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1_Population/FB23/"/>
    </mc:Choice>
  </mc:AlternateContent>
  <xr:revisionPtr revIDLastSave="649" documentId="8_{6704F4FD-13A8-47D4-AB5A-98B3DAE962DE}" xr6:coauthVersionLast="47" xr6:coauthVersionMax="47" xr10:uidLastSave="{4219F5D0-A894-4A13-ACA3-693D4D72983F}"/>
  <bookViews>
    <workbookView minimized="1" xWindow="9080" yWindow="1270" windowWidth="8630" windowHeight="4630" tabRatio="783" firstSheet="1" xr2:uid="{00000000-000D-0000-FFFF-FFFF00000000}"/>
  </bookViews>
  <sheets>
    <sheet name="Table 2" sheetId="23" r:id="rId1"/>
    <sheet name="Table 7" sheetId="10" r:id="rId2"/>
    <sheet name="Pop 25+ by race &amp; gender" sheetId="19" r:id="rId3"/>
    <sheet name="Sheet2" sheetId="33" state="hidden" r:id="rId4"/>
    <sheet name="Attainment 25+ by race &amp; gender" sheetId="9" r:id="rId5"/>
    <sheet name="Attainment by Race Trends" sheetId="31" r:id="rId6"/>
    <sheet name="Historical Attainment Rates" sheetId="24" r:id="rId7"/>
    <sheet name="Sheet3" sheetId="35" state="hidden" r:id="rId8"/>
  </sheets>
  <definedNames>
    <definedName name="ck">'Attainment by Race Trends'!$CI$9</definedName>
    <definedName name="_xlnm.Print_Area" localSheetId="0">'Table 2'!$A$1:$J$69</definedName>
    <definedName name="_xlnm.Print_Area" localSheetId="1">'Table 7'!$A$1:$AH$74</definedName>
  </definedNames>
  <calcPr calcId="191028"/>
  <pivotCaches>
    <pivotCache cacheId="1522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40" i="10" l="1"/>
  <c r="W11" i="10"/>
  <c r="T7" i="10"/>
  <c r="S8" i="10"/>
  <c r="S7" i="10"/>
  <c r="R56" i="10"/>
  <c r="R42" i="10"/>
  <c r="Q27" i="10"/>
  <c r="R9" i="10"/>
  <c r="R27" i="10"/>
  <c r="Q56" i="10"/>
  <c r="Q42" i="10"/>
  <c r="Q9" i="10"/>
  <c r="P56" i="10"/>
  <c r="P42" i="10"/>
  <c r="P27" i="10"/>
  <c r="P9" i="10"/>
  <c r="O27" i="10"/>
  <c r="O9" i="10"/>
  <c r="N56" i="10"/>
  <c r="N42" i="10"/>
  <c r="N27" i="10"/>
  <c r="N9" i="10"/>
  <c r="J56" i="10"/>
  <c r="J42" i="10"/>
  <c r="J27" i="10"/>
  <c r="J9" i="10"/>
  <c r="I56" i="10"/>
  <c r="I42" i="10"/>
  <c r="I27" i="10"/>
  <c r="I9" i="10"/>
  <c r="H56" i="10"/>
  <c r="H42" i="10"/>
  <c r="H27" i="10"/>
  <c r="H9" i="10"/>
  <c r="G27" i="10"/>
  <c r="G9" i="10"/>
  <c r="F56" i="10"/>
  <c r="F42" i="10"/>
  <c r="F27" i="10"/>
  <c r="F9" i="10"/>
  <c r="G25" i="23"/>
  <c r="G6" i="23"/>
  <c r="C65" i="23"/>
  <c r="C64" i="23"/>
  <c r="C63" i="23"/>
  <c r="C62" i="23"/>
  <c r="C61" i="23"/>
  <c r="C60" i="23"/>
  <c r="C59" i="23"/>
  <c r="C58" i="23"/>
  <c r="C57" i="23"/>
  <c r="C56" i="23"/>
  <c r="C54" i="23"/>
  <c r="C53" i="23"/>
  <c r="C52" i="23"/>
  <c r="C51" i="23"/>
  <c r="C50" i="23"/>
  <c r="C49" i="23"/>
  <c r="C48" i="23"/>
  <c r="C47" i="23"/>
  <c r="C46" i="23"/>
  <c r="C45" i="23"/>
  <c r="C44" i="23"/>
  <c r="C43" i="23"/>
  <c r="C42" i="23"/>
  <c r="C40" i="23"/>
  <c r="C39" i="23"/>
  <c r="C38" i="23"/>
  <c r="C37" i="23"/>
  <c r="C36" i="23"/>
  <c r="C35" i="23"/>
  <c r="C34" i="23"/>
  <c r="C33" i="23"/>
  <c r="C32" i="23"/>
  <c r="C31" i="23"/>
  <c r="C30" i="23"/>
  <c r="C29" i="23"/>
  <c r="C28" i="23"/>
  <c r="C27" i="23"/>
  <c r="C25" i="23"/>
  <c r="C24" i="23"/>
  <c r="C23" i="23"/>
  <c r="C22" i="23"/>
  <c r="C21" i="23"/>
  <c r="C20" i="23"/>
  <c r="C19" i="23"/>
  <c r="C18" i="23"/>
  <c r="C17" i="23"/>
  <c r="C16" i="23"/>
  <c r="C15" i="23"/>
  <c r="C14" i="23"/>
  <c r="C13" i="23"/>
  <c r="C12" i="23"/>
  <c r="C11" i="23"/>
  <c r="C10" i="23"/>
  <c r="C9" i="23"/>
  <c r="C7" i="23"/>
  <c r="C6" i="23"/>
  <c r="AC65" i="10"/>
  <c r="AC66" i="10"/>
  <c r="AC62" i="10"/>
  <c r="AC63" i="10"/>
  <c r="AC64" i="10"/>
  <c r="AC61" i="10"/>
  <c r="AC58" i="10"/>
  <c r="AC59" i="10"/>
  <c r="AC60" i="10"/>
  <c r="AC57" i="10"/>
  <c r="AC55" i="10"/>
  <c r="AC54" i="10"/>
  <c r="AC52" i="10"/>
  <c r="AC53" i="10"/>
  <c r="AC51" i="10"/>
  <c r="AC48" i="10"/>
  <c r="AC49" i="10"/>
  <c r="AC50" i="10"/>
  <c r="AC47" i="10"/>
  <c r="AC44" i="10"/>
  <c r="AC45" i="10"/>
  <c r="AC46" i="10"/>
  <c r="AC43" i="10"/>
  <c r="AC41" i="10"/>
  <c r="AC37" i="10"/>
  <c r="AC38" i="10"/>
  <c r="AC39" i="10"/>
  <c r="AC36" i="10"/>
  <c r="AC33" i="10"/>
  <c r="AC34" i="10"/>
  <c r="AC35" i="10"/>
  <c r="AC32" i="10"/>
  <c r="AC29" i="10"/>
  <c r="AC30" i="10"/>
  <c r="AC31" i="10"/>
  <c r="AC28" i="10"/>
  <c r="AC26" i="10"/>
  <c r="AC25" i="10"/>
  <c r="AC23" i="10"/>
  <c r="AC24" i="10"/>
  <c r="AC22" i="10"/>
  <c r="AC19" i="10"/>
  <c r="AC20" i="10"/>
  <c r="AC21" i="10"/>
  <c r="AC18" i="10"/>
  <c r="AC15" i="10"/>
  <c r="AC16" i="10"/>
  <c r="AC17" i="10"/>
  <c r="AC14" i="10"/>
  <c r="AC11" i="10"/>
  <c r="AC12" i="10"/>
  <c r="AC13" i="10"/>
  <c r="AC10" i="10"/>
  <c r="AC8" i="10"/>
  <c r="AC7" i="10"/>
  <c r="V66" i="10"/>
  <c r="V65" i="10"/>
  <c r="V62" i="10"/>
  <c r="V63" i="10"/>
  <c r="V64" i="10"/>
  <c r="V61" i="10"/>
  <c r="V58" i="10"/>
  <c r="V59" i="10"/>
  <c r="V60" i="10"/>
  <c r="V57" i="10"/>
  <c r="V55" i="10"/>
  <c r="V54" i="10"/>
  <c r="V52" i="10"/>
  <c r="V53" i="10"/>
  <c r="V51" i="10"/>
  <c r="V48" i="10"/>
  <c r="V49" i="10"/>
  <c r="V50" i="10"/>
  <c r="V47" i="10"/>
  <c r="V44" i="10"/>
  <c r="V45" i="10"/>
  <c r="V46" i="10"/>
  <c r="V43" i="10"/>
  <c r="V41" i="10"/>
  <c r="V40" i="10"/>
  <c r="V37" i="10"/>
  <c r="V38" i="10"/>
  <c r="V39" i="10"/>
  <c r="V36" i="10"/>
  <c r="V33" i="10"/>
  <c r="V34" i="10"/>
  <c r="V35" i="10"/>
  <c r="V32" i="10"/>
  <c r="V29" i="10"/>
  <c r="V30" i="10"/>
  <c r="V31" i="10"/>
  <c r="V28" i="10"/>
  <c r="V26" i="10"/>
  <c r="V25" i="10"/>
  <c r="V23" i="10"/>
  <c r="V24" i="10"/>
  <c r="V22" i="10"/>
  <c r="V19" i="10"/>
  <c r="V20" i="10"/>
  <c r="V21" i="10"/>
  <c r="V18" i="10"/>
  <c r="V15" i="10"/>
  <c r="V16" i="10"/>
  <c r="V17" i="10"/>
  <c r="V14" i="10"/>
  <c r="V11" i="10"/>
  <c r="V12" i="10"/>
  <c r="V13" i="10"/>
  <c r="V10" i="10"/>
  <c r="V8" i="10"/>
  <c r="V7" i="10"/>
  <c r="R66" i="10"/>
  <c r="R65" i="10"/>
  <c r="R62" i="10"/>
  <c r="R63" i="10"/>
  <c r="R64" i="10"/>
  <c r="R61" i="10"/>
  <c r="R58" i="10"/>
  <c r="R59" i="10"/>
  <c r="R60" i="10"/>
  <c r="R57" i="10"/>
  <c r="R55" i="10"/>
  <c r="R52" i="10"/>
  <c r="R53" i="10"/>
  <c r="R51" i="10"/>
  <c r="R48" i="10"/>
  <c r="R49" i="10"/>
  <c r="R50" i="10"/>
  <c r="R47" i="10"/>
  <c r="R44" i="10"/>
  <c r="R45" i="10"/>
  <c r="R46" i="10"/>
  <c r="R43" i="10"/>
  <c r="R41" i="10"/>
  <c r="R40" i="10"/>
  <c r="R37" i="10"/>
  <c r="R38" i="10"/>
  <c r="R39" i="10"/>
  <c r="R36" i="10"/>
  <c r="R33" i="10"/>
  <c r="R34" i="10"/>
  <c r="R35" i="10"/>
  <c r="R32" i="10"/>
  <c r="R29" i="10"/>
  <c r="R30" i="10"/>
  <c r="R31" i="10"/>
  <c r="R28" i="10"/>
  <c r="R26" i="10"/>
  <c r="R25" i="10"/>
  <c r="R23" i="10"/>
  <c r="R24" i="10"/>
  <c r="R22" i="10"/>
  <c r="R19" i="10"/>
  <c r="R20" i="10"/>
  <c r="R21" i="10"/>
  <c r="R18" i="10"/>
  <c r="R15" i="10"/>
  <c r="R16" i="10"/>
  <c r="R17" i="10"/>
  <c r="R14" i="10"/>
  <c r="R11" i="10"/>
  <c r="R12" i="10"/>
  <c r="R13" i="10"/>
  <c r="R10" i="10"/>
  <c r="R8" i="10"/>
  <c r="R7" i="10"/>
  <c r="G65" i="23"/>
  <c r="G64" i="23"/>
  <c r="G61" i="23"/>
  <c r="G62" i="23"/>
  <c r="G63" i="23"/>
  <c r="G60" i="23"/>
  <c r="G57" i="23"/>
  <c r="G58" i="23"/>
  <c r="G59" i="23"/>
  <c r="G56" i="23"/>
  <c r="G54" i="23"/>
  <c r="G53" i="23"/>
  <c r="G51" i="23"/>
  <c r="G52" i="23"/>
  <c r="G50" i="23"/>
  <c r="G47" i="23"/>
  <c r="G48" i="23"/>
  <c r="G49" i="23"/>
  <c r="G46" i="23"/>
  <c r="G43" i="23"/>
  <c r="G44" i="23"/>
  <c r="G45" i="23"/>
  <c r="G42" i="23"/>
  <c r="G40" i="23"/>
  <c r="G39" i="23"/>
  <c r="G36" i="23"/>
  <c r="G37" i="23"/>
  <c r="G38" i="23"/>
  <c r="G35" i="23"/>
  <c r="G32" i="23"/>
  <c r="G33" i="23"/>
  <c r="G34" i="23"/>
  <c r="G31" i="23"/>
  <c r="G28" i="23"/>
  <c r="G29" i="23"/>
  <c r="G30" i="23"/>
  <c r="G27" i="23"/>
  <c r="G24" i="23"/>
  <c r="G22" i="23"/>
  <c r="G23" i="23"/>
  <c r="G21" i="23"/>
  <c r="G18" i="23"/>
  <c r="G19" i="23"/>
  <c r="G20" i="23"/>
  <c r="G17" i="23"/>
  <c r="G14" i="23"/>
  <c r="G15" i="23"/>
  <c r="G16" i="23"/>
  <c r="G13" i="23"/>
  <c r="G10" i="23"/>
  <c r="G11" i="23"/>
  <c r="G12" i="23"/>
  <c r="G9" i="23"/>
  <c r="G7" i="23"/>
  <c r="LV2" i="9"/>
  <c r="LU24" i="9"/>
  <c r="LV53" i="9"/>
  <c r="LW53" i="9"/>
  <c r="LX53" i="9"/>
  <c r="LY53" i="9"/>
  <c r="LZ53" i="9"/>
  <c r="LV39" i="9"/>
  <c r="LW39" i="9"/>
  <c r="LX39" i="9"/>
  <c r="LY39" i="9"/>
  <c r="LZ39" i="9"/>
  <c r="LV24" i="9"/>
  <c r="LW24" i="9"/>
  <c r="LX24" i="9"/>
  <c r="LY24" i="9"/>
  <c r="LZ24" i="9"/>
  <c r="LT53" i="9"/>
  <c r="LT39" i="9"/>
  <c r="LT24" i="9"/>
  <c r="LR53" i="9"/>
  <c r="LS53" i="9"/>
  <c r="LR39" i="9"/>
  <c r="LS39" i="9"/>
  <c r="LR24" i="9"/>
  <c r="LS24" i="9"/>
  <c r="OW53" i="9"/>
  <c r="OW39" i="9"/>
  <c r="OW24" i="9"/>
  <c r="OW6" i="9"/>
  <c r="MA39" i="9"/>
  <c r="IQ53" i="9"/>
  <c r="IQ39" i="9"/>
  <c r="IQ24" i="9"/>
  <c r="EX53" i="9"/>
  <c r="EX39" i="9"/>
  <c r="EX24" i="9"/>
  <c r="BW53" i="9"/>
  <c r="BX53" i="9"/>
  <c r="BY53" i="9"/>
  <c r="BZ53" i="9"/>
  <c r="CA53" i="9"/>
  <c r="CB53" i="9"/>
  <c r="BW39" i="9"/>
  <c r="BX39" i="9"/>
  <c r="BY39" i="9"/>
  <c r="BZ39" i="9"/>
  <c r="CA39" i="9"/>
  <c r="CA5" i="9" s="1"/>
  <c r="CB39" i="9"/>
  <c r="BW24" i="9"/>
  <c r="BX24" i="9"/>
  <c r="BY24" i="9"/>
  <c r="BZ24" i="9"/>
  <c r="CA24" i="9"/>
  <c r="CB24" i="9"/>
  <c r="BX5" i="9"/>
  <c r="BY5" i="9"/>
  <c r="BZ5" i="9"/>
  <c r="CB5" i="9"/>
  <c r="BX6" i="9"/>
  <c r="BY6" i="9"/>
  <c r="BZ6" i="9"/>
  <c r="CA6" i="9"/>
  <c r="CB6" i="9"/>
  <c r="Y8" i="10" l="1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8" i="10"/>
  <c r="Y29" i="10"/>
  <c r="Y30" i="10"/>
  <c r="Y31" i="10"/>
  <c r="Y32" i="10"/>
  <c r="Y33" i="10"/>
  <c r="Y34" i="10"/>
  <c r="Y35" i="10"/>
  <c r="Y36" i="10"/>
  <c r="Y37" i="10"/>
  <c r="Y38" i="10"/>
  <c r="Y39" i="10"/>
  <c r="Y40" i="10"/>
  <c r="Y41" i="10"/>
  <c r="Y43" i="10"/>
  <c r="Y44" i="10"/>
  <c r="Y45" i="10"/>
  <c r="Y46" i="10"/>
  <c r="Y47" i="10"/>
  <c r="Y48" i="10"/>
  <c r="Y49" i="10"/>
  <c r="Y50" i="10"/>
  <c r="Y51" i="10"/>
  <c r="Y52" i="10"/>
  <c r="Y53" i="10"/>
  <c r="Y54" i="10"/>
  <c r="Y55" i="10"/>
  <c r="Y57" i="10"/>
  <c r="Y58" i="10"/>
  <c r="Y59" i="10"/>
  <c r="Y60" i="10"/>
  <c r="Y61" i="10"/>
  <c r="Y62" i="10"/>
  <c r="Y63" i="10"/>
  <c r="Y64" i="10"/>
  <c r="Y65" i="10"/>
  <c r="Y66" i="10"/>
  <c r="AD8" i="10"/>
  <c r="AE8" i="10"/>
  <c r="AF8" i="10"/>
  <c r="AG8" i="10"/>
  <c r="AH8" i="10"/>
  <c r="AD10" i="10"/>
  <c r="AE10" i="10"/>
  <c r="AF10" i="10"/>
  <c r="AG10" i="10"/>
  <c r="AH10" i="10"/>
  <c r="AD11" i="10"/>
  <c r="AE11" i="10"/>
  <c r="AF11" i="10"/>
  <c r="AG11" i="10"/>
  <c r="AH11" i="10"/>
  <c r="AD12" i="10"/>
  <c r="AE12" i="10"/>
  <c r="AF12" i="10"/>
  <c r="AG12" i="10"/>
  <c r="AH12" i="10"/>
  <c r="AD13" i="10"/>
  <c r="AE13" i="10"/>
  <c r="AF13" i="10"/>
  <c r="AG13" i="10"/>
  <c r="AH13" i="10"/>
  <c r="AD14" i="10"/>
  <c r="AE14" i="10"/>
  <c r="AF14" i="10"/>
  <c r="AG14" i="10"/>
  <c r="AH14" i="10"/>
  <c r="AD15" i="10"/>
  <c r="AE15" i="10"/>
  <c r="AF15" i="10"/>
  <c r="AG15" i="10"/>
  <c r="AH15" i="10"/>
  <c r="AD16" i="10"/>
  <c r="AE16" i="10"/>
  <c r="AF16" i="10"/>
  <c r="AG16" i="10"/>
  <c r="AH16" i="10"/>
  <c r="AD17" i="10"/>
  <c r="AE17" i="10"/>
  <c r="AF17" i="10"/>
  <c r="AG17" i="10"/>
  <c r="AH17" i="10"/>
  <c r="AD18" i="10"/>
  <c r="AE18" i="10"/>
  <c r="AF18" i="10"/>
  <c r="AG18" i="10"/>
  <c r="AH18" i="10"/>
  <c r="AD19" i="10"/>
  <c r="AE19" i="10"/>
  <c r="AF19" i="10"/>
  <c r="AG19" i="10"/>
  <c r="AH19" i="10"/>
  <c r="AD20" i="10"/>
  <c r="AE20" i="10"/>
  <c r="AF20" i="10"/>
  <c r="AG20" i="10"/>
  <c r="AH20" i="10"/>
  <c r="AD21" i="10"/>
  <c r="AE21" i="10"/>
  <c r="AF21" i="10"/>
  <c r="AG21" i="10"/>
  <c r="AH21" i="10"/>
  <c r="AD22" i="10"/>
  <c r="AE22" i="10"/>
  <c r="AF22" i="10"/>
  <c r="AG22" i="10"/>
  <c r="AH22" i="10"/>
  <c r="AD23" i="10"/>
  <c r="AE23" i="10"/>
  <c r="AF23" i="10"/>
  <c r="AG23" i="10"/>
  <c r="AH23" i="10"/>
  <c r="AD24" i="10"/>
  <c r="AE24" i="10"/>
  <c r="AF24" i="10"/>
  <c r="AG24" i="10"/>
  <c r="AH24" i="10"/>
  <c r="AD25" i="10"/>
  <c r="AE25" i="10"/>
  <c r="AF25" i="10"/>
  <c r="AG25" i="10"/>
  <c r="AH25" i="10"/>
  <c r="AD26" i="10"/>
  <c r="AE26" i="10"/>
  <c r="AF26" i="10"/>
  <c r="AG26" i="10"/>
  <c r="AH26" i="10"/>
  <c r="AD28" i="10"/>
  <c r="AE28" i="10"/>
  <c r="AF28" i="10"/>
  <c r="AG28" i="10"/>
  <c r="AH28" i="10"/>
  <c r="AD29" i="10"/>
  <c r="AE29" i="10"/>
  <c r="AF29" i="10"/>
  <c r="AG29" i="10"/>
  <c r="AH29" i="10"/>
  <c r="AD30" i="10"/>
  <c r="AE30" i="10"/>
  <c r="AF30" i="10"/>
  <c r="AG30" i="10"/>
  <c r="AH30" i="10"/>
  <c r="AD31" i="10"/>
  <c r="AE31" i="10"/>
  <c r="AF31" i="10"/>
  <c r="AG31" i="10"/>
  <c r="AH31" i="10"/>
  <c r="AD32" i="10"/>
  <c r="AE32" i="10"/>
  <c r="AF32" i="10"/>
  <c r="AG32" i="10"/>
  <c r="AH32" i="10"/>
  <c r="AD33" i="10"/>
  <c r="AE33" i="10"/>
  <c r="AF33" i="10"/>
  <c r="AG33" i="10"/>
  <c r="AH33" i="10"/>
  <c r="AD34" i="10"/>
  <c r="AE34" i="10"/>
  <c r="AF34" i="10"/>
  <c r="AG34" i="10"/>
  <c r="AH34" i="10"/>
  <c r="AD35" i="10"/>
  <c r="AE35" i="10"/>
  <c r="AF35" i="10"/>
  <c r="AG35" i="10"/>
  <c r="AH35" i="10"/>
  <c r="AD36" i="10"/>
  <c r="AE36" i="10"/>
  <c r="AF36" i="10"/>
  <c r="AG36" i="10"/>
  <c r="AH36" i="10"/>
  <c r="AD37" i="10"/>
  <c r="AE37" i="10"/>
  <c r="AF37" i="10"/>
  <c r="AG37" i="10"/>
  <c r="AH37" i="10"/>
  <c r="AD38" i="10"/>
  <c r="AE38" i="10"/>
  <c r="AF38" i="10"/>
  <c r="AG38" i="10"/>
  <c r="AH38" i="10"/>
  <c r="AD39" i="10"/>
  <c r="AE39" i="10"/>
  <c r="AF39" i="10"/>
  <c r="AG39" i="10"/>
  <c r="AH39" i="10"/>
  <c r="AD40" i="10"/>
  <c r="AE40" i="10"/>
  <c r="AF40" i="10"/>
  <c r="AG40" i="10"/>
  <c r="AH40" i="10"/>
  <c r="AD41" i="10"/>
  <c r="AE41" i="10"/>
  <c r="AF41" i="10"/>
  <c r="AG41" i="10"/>
  <c r="AH41" i="10"/>
  <c r="AD43" i="10"/>
  <c r="AE43" i="10"/>
  <c r="AF43" i="10"/>
  <c r="AG43" i="10"/>
  <c r="AH43" i="10"/>
  <c r="AD44" i="10"/>
  <c r="AE44" i="10"/>
  <c r="AF44" i="10"/>
  <c r="AG44" i="10"/>
  <c r="AH44" i="10"/>
  <c r="AD45" i="10"/>
  <c r="AE45" i="10"/>
  <c r="AF45" i="10"/>
  <c r="AG45" i="10"/>
  <c r="AH45" i="10"/>
  <c r="AD46" i="10"/>
  <c r="AE46" i="10"/>
  <c r="AF46" i="10"/>
  <c r="AG46" i="10"/>
  <c r="AH46" i="10"/>
  <c r="AD47" i="10"/>
  <c r="AE47" i="10"/>
  <c r="AF47" i="10"/>
  <c r="AG47" i="10"/>
  <c r="AH47" i="10"/>
  <c r="AD48" i="10"/>
  <c r="AE48" i="10"/>
  <c r="AF48" i="10"/>
  <c r="AG48" i="10"/>
  <c r="AH48" i="10"/>
  <c r="AD49" i="10"/>
  <c r="AE49" i="10"/>
  <c r="AF49" i="10"/>
  <c r="AG49" i="10"/>
  <c r="AH49" i="10"/>
  <c r="AD50" i="10"/>
  <c r="AE50" i="10"/>
  <c r="AF50" i="10"/>
  <c r="AG50" i="10"/>
  <c r="AH50" i="10"/>
  <c r="AD51" i="10"/>
  <c r="AE51" i="10"/>
  <c r="AF51" i="10"/>
  <c r="AG51" i="10"/>
  <c r="AH51" i="10"/>
  <c r="AD52" i="10"/>
  <c r="AE52" i="10"/>
  <c r="AF52" i="10"/>
  <c r="AG52" i="10"/>
  <c r="AH52" i="10"/>
  <c r="AD53" i="10"/>
  <c r="AE53" i="10"/>
  <c r="AF53" i="10"/>
  <c r="AG53" i="10"/>
  <c r="AH53" i="10"/>
  <c r="AD54" i="10"/>
  <c r="AE54" i="10"/>
  <c r="AF54" i="10"/>
  <c r="AG54" i="10"/>
  <c r="AH54" i="10"/>
  <c r="AD55" i="10"/>
  <c r="AE55" i="10"/>
  <c r="AF55" i="10"/>
  <c r="AG55" i="10"/>
  <c r="AH55" i="10"/>
  <c r="AD57" i="10"/>
  <c r="AE57" i="10"/>
  <c r="AF57" i="10"/>
  <c r="AG57" i="10"/>
  <c r="AH57" i="10"/>
  <c r="AD58" i="10"/>
  <c r="AE58" i="10"/>
  <c r="AF58" i="10"/>
  <c r="AG58" i="10"/>
  <c r="AH58" i="10"/>
  <c r="AD59" i="10"/>
  <c r="AE59" i="10"/>
  <c r="AF59" i="10"/>
  <c r="AG59" i="10"/>
  <c r="AH59" i="10"/>
  <c r="AD60" i="10"/>
  <c r="AE60" i="10"/>
  <c r="AF60" i="10"/>
  <c r="AG60" i="10"/>
  <c r="AH60" i="10"/>
  <c r="AD61" i="10"/>
  <c r="AE61" i="10"/>
  <c r="AF61" i="10"/>
  <c r="AG61" i="10"/>
  <c r="AH61" i="10"/>
  <c r="AD62" i="10"/>
  <c r="AE62" i="10"/>
  <c r="AF62" i="10"/>
  <c r="AG62" i="10"/>
  <c r="AH62" i="10"/>
  <c r="AD63" i="10"/>
  <c r="AE63" i="10"/>
  <c r="AF63" i="10"/>
  <c r="AG63" i="10"/>
  <c r="AH63" i="10"/>
  <c r="AD64" i="10"/>
  <c r="AE64" i="10"/>
  <c r="AF64" i="10"/>
  <c r="AG64" i="10"/>
  <c r="AH64" i="10"/>
  <c r="AD65" i="10"/>
  <c r="AE65" i="10"/>
  <c r="AF65" i="10"/>
  <c r="AG65" i="10"/>
  <c r="AH65" i="10"/>
  <c r="AD66" i="10"/>
  <c r="AE66" i="10"/>
  <c r="AF66" i="10"/>
  <c r="AG66" i="10"/>
  <c r="AH66" i="10"/>
  <c r="AA8" i="10"/>
  <c r="AB8" i="10"/>
  <c r="AA10" i="10"/>
  <c r="AB10" i="10"/>
  <c r="AA11" i="10"/>
  <c r="AB11" i="10"/>
  <c r="AA12" i="10"/>
  <c r="AB12" i="10"/>
  <c r="AA13" i="10"/>
  <c r="AB13" i="10"/>
  <c r="AA14" i="10"/>
  <c r="AB14" i="10"/>
  <c r="AA15" i="10"/>
  <c r="AB15" i="10"/>
  <c r="AA16" i="10"/>
  <c r="AB16" i="10"/>
  <c r="AA17" i="10"/>
  <c r="AB17" i="10"/>
  <c r="AA18" i="10"/>
  <c r="AB18" i="10"/>
  <c r="AA19" i="10"/>
  <c r="AB19" i="10"/>
  <c r="AA20" i="10"/>
  <c r="AB20" i="10"/>
  <c r="AA21" i="10"/>
  <c r="AB21" i="10"/>
  <c r="AA22" i="10"/>
  <c r="AB22" i="10"/>
  <c r="AA23" i="10"/>
  <c r="AB23" i="10"/>
  <c r="AA24" i="10"/>
  <c r="AB24" i="10"/>
  <c r="AA25" i="10"/>
  <c r="AB25" i="10"/>
  <c r="AA26" i="10"/>
  <c r="AB26" i="10"/>
  <c r="AA28" i="10"/>
  <c r="AB28" i="10"/>
  <c r="AA29" i="10"/>
  <c r="AB29" i="10"/>
  <c r="AA30" i="10"/>
  <c r="AB30" i="10"/>
  <c r="AA31" i="10"/>
  <c r="AB31" i="10"/>
  <c r="AA32" i="10"/>
  <c r="AB32" i="10"/>
  <c r="AA33" i="10"/>
  <c r="AB33" i="10"/>
  <c r="AA34" i="10"/>
  <c r="AB34" i="10"/>
  <c r="AA35" i="10"/>
  <c r="AB35" i="10"/>
  <c r="AA36" i="10"/>
  <c r="AB36" i="10"/>
  <c r="AA37" i="10"/>
  <c r="AB37" i="10"/>
  <c r="AA38" i="10"/>
  <c r="AB38" i="10"/>
  <c r="AA39" i="10"/>
  <c r="AB39" i="10"/>
  <c r="AA40" i="10"/>
  <c r="AB40" i="10"/>
  <c r="AA41" i="10"/>
  <c r="AB41" i="10"/>
  <c r="AA43" i="10"/>
  <c r="AB43" i="10"/>
  <c r="AA44" i="10"/>
  <c r="AB44" i="10"/>
  <c r="AA45" i="10"/>
  <c r="AB45" i="10"/>
  <c r="AA46" i="10"/>
  <c r="AB46" i="10"/>
  <c r="AA47" i="10"/>
  <c r="AB47" i="10"/>
  <c r="AA48" i="10"/>
  <c r="AB48" i="10"/>
  <c r="AA49" i="10"/>
  <c r="AB49" i="10"/>
  <c r="AA50" i="10"/>
  <c r="AB50" i="10"/>
  <c r="AA51" i="10"/>
  <c r="AB51" i="10"/>
  <c r="AA52" i="10"/>
  <c r="AB52" i="10"/>
  <c r="AA53" i="10"/>
  <c r="AB53" i="10"/>
  <c r="AA54" i="10"/>
  <c r="AB54" i="10"/>
  <c r="AA55" i="10"/>
  <c r="AB55" i="10"/>
  <c r="AA57" i="10"/>
  <c r="AB57" i="10"/>
  <c r="AA58" i="10"/>
  <c r="AB58" i="10"/>
  <c r="AA59" i="10"/>
  <c r="AB59" i="10"/>
  <c r="AA60" i="10"/>
  <c r="AB60" i="10"/>
  <c r="AA61" i="10"/>
  <c r="AB61" i="10"/>
  <c r="AA62" i="10"/>
  <c r="AB62" i="10"/>
  <c r="AA63" i="10"/>
  <c r="AB63" i="10"/>
  <c r="AA64" i="10"/>
  <c r="AB64" i="10"/>
  <c r="AA65" i="10"/>
  <c r="AB65" i="10"/>
  <c r="AA66" i="10"/>
  <c r="AB66" i="10"/>
  <c r="AH7" i="10"/>
  <c r="AG7" i="10"/>
  <c r="AF7" i="10"/>
  <c r="AE7" i="10"/>
  <c r="AD7" i="10"/>
  <c r="W8" i="10"/>
  <c r="X8" i="10"/>
  <c r="Z8" i="10"/>
  <c r="W10" i="10"/>
  <c r="X10" i="10"/>
  <c r="Z10" i="10"/>
  <c r="X11" i="10"/>
  <c r="Z11" i="10"/>
  <c r="W12" i="10"/>
  <c r="X12" i="10"/>
  <c r="Z12" i="10"/>
  <c r="W13" i="10"/>
  <c r="X13" i="10"/>
  <c r="Z13" i="10"/>
  <c r="W14" i="10"/>
  <c r="X14" i="10"/>
  <c r="Z14" i="10"/>
  <c r="W15" i="10"/>
  <c r="X15" i="10"/>
  <c r="Z15" i="10"/>
  <c r="W16" i="10"/>
  <c r="X16" i="10"/>
  <c r="Z16" i="10"/>
  <c r="W17" i="10"/>
  <c r="X17" i="10"/>
  <c r="Z17" i="10"/>
  <c r="W18" i="10"/>
  <c r="X18" i="10"/>
  <c r="Z18" i="10"/>
  <c r="W19" i="10"/>
  <c r="X19" i="10"/>
  <c r="Z19" i="10"/>
  <c r="W20" i="10"/>
  <c r="X20" i="10"/>
  <c r="Z20" i="10"/>
  <c r="W21" i="10"/>
  <c r="X21" i="10"/>
  <c r="Z21" i="10"/>
  <c r="W22" i="10"/>
  <c r="X22" i="10"/>
  <c r="Z22" i="10"/>
  <c r="W23" i="10"/>
  <c r="X23" i="10"/>
  <c r="Z23" i="10"/>
  <c r="W24" i="10"/>
  <c r="X24" i="10"/>
  <c r="Z24" i="10"/>
  <c r="W25" i="10"/>
  <c r="X25" i="10"/>
  <c r="Z25" i="10"/>
  <c r="W26" i="10"/>
  <c r="X26" i="10"/>
  <c r="Z26" i="10"/>
  <c r="W28" i="10"/>
  <c r="X28" i="10"/>
  <c r="Z28" i="10"/>
  <c r="W29" i="10"/>
  <c r="X29" i="10"/>
  <c r="Z29" i="10"/>
  <c r="W30" i="10"/>
  <c r="X30" i="10"/>
  <c r="Z30" i="10"/>
  <c r="W31" i="10"/>
  <c r="X31" i="10"/>
  <c r="Z31" i="10"/>
  <c r="W32" i="10"/>
  <c r="X32" i="10"/>
  <c r="Z32" i="10"/>
  <c r="W33" i="10"/>
  <c r="X33" i="10"/>
  <c r="Z33" i="10"/>
  <c r="W34" i="10"/>
  <c r="X34" i="10"/>
  <c r="Z34" i="10"/>
  <c r="W35" i="10"/>
  <c r="X35" i="10"/>
  <c r="Z35" i="10"/>
  <c r="W36" i="10"/>
  <c r="X36" i="10"/>
  <c r="Z36" i="10"/>
  <c r="W37" i="10"/>
  <c r="X37" i="10"/>
  <c r="Z37" i="10"/>
  <c r="W38" i="10"/>
  <c r="X38" i="10"/>
  <c r="Z38" i="10"/>
  <c r="W39" i="10"/>
  <c r="X39" i="10"/>
  <c r="Z39" i="10"/>
  <c r="W40" i="10"/>
  <c r="X40" i="10"/>
  <c r="Z40" i="10"/>
  <c r="W41" i="10"/>
  <c r="X41" i="10"/>
  <c r="Z41" i="10"/>
  <c r="W43" i="10"/>
  <c r="X43" i="10"/>
  <c r="Z43" i="10"/>
  <c r="W44" i="10"/>
  <c r="X44" i="10"/>
  <c r="Z44" i="10"/>
  <c r="W45" i="10"/>
  <c r="X45" i="10"/>
  <c r="Z45" i="10"/>
  <c r="W46" i="10"/>
  <c r="X46" i="10"/>
  <c r="Z46" i="10"/>
  <c r="W47" i="10"/>
  <c r="X47" i="10"/>
  <c r="Z47" i="10"/>
  <c r="W48" i="10"/>
  <c r="X48" i="10"/>
  <c r="Z48" i="10"/>
  <c r="W49" i="10"/>
  <c r="X49" i="10"/>
  <c r="Z49" i="10"/>
  <c r="W50" i="10"/>
  <c r="X50" i="10"/>
  <c r="Z50" i="10"/>
  <c r="W51" i="10"/>
  <c r="X51" i="10"/>
  <c r="Z51" i="10"/>
  <c r="W52" i="10"/>
  <c r="X52" i="10"/>
  <c r="Z52" i="10"/>
  <c r="W53" i="10"/>
  <c r="X53" i="10"/>
  <c r="Z53" i="10"/>
  <c r="W54" i="10"/>
  <c r="X54" i="10"/>
  <c r="Z54" i="10"/>
  <c r="W55" i="10"/>
  <c r="X55" i="10"/>
  <c r="Z55" i="10"/>
  <c r="W57" i="10"/>
  <c r="X57" i="10"/>
  <c r="Z57" i="10"/>
  <c r="W58" i="10"/>
  <c r="X58" i="10"/>
  <c r="Z58" i="10"/>
  <c r="W59" i="10"/>
  <c r="X59" i="10"/>
  <c r="Z59" i="10"/>
  <c r="W60" i="10"/>
  <c r="X60" i="10"/>
  <c r="Z60" i="10"/>
  <c r="W61" i="10"/>
  <c r="X61" i="10"/>
  <c r="Z61" i="10"/>
  <c r="W62" i="10"/>
  <c r="X62" i="10"/>
  <c r="Z62" i="10"/>
  <c r="W63" i="10"/>
  <c r="X63" i="10"/>
  <c r="Z63" i="10"/>
  <c r="W64" i="10"/>
  <c r="X64" i="10"/>
  <c r="Z64" i="10"/>
  <c r="W65" i="10"/>
  <c r="X65" i="10"/>
  <c r="Z65" i="10"/>
  <c r="W66" i="10"/>
  <c r="X66" i="10"/>
  <c r="Z66" i="10"/>
  <c r="Z7" i="10"/>
  <c r="Y7" i="10"/>
  <c r="X7" i="10"/>
  <c r="W7" i="10"/>
  <c r="N8" i="10"/>
  <c r="O8" i="10"/>
  <c r="P8" i="10"/>
  <c r="Q8" i="10"/>
  <c r="N10" i="10"/>
  <c r="O10" i="10"/>
  <c r="P10" i="10"/>
  <c r="Q10" i="10"/>
  <c r="N11" i="10"/>
  <c r="O11" i="10"/>
  <c r="P11" i="10"/>
  <c r="Q11" i="10"/>
  <c r="N12" i="10"/>
  <c r="O12" i="10"/>
  <c r="P12" i="10"/>
  <c r="Q12" i="10"/>
  <c r="N13" i="10"/>
  <c r="O13" i="10"/>
  <c r="P13" i="10"/>
  <c r="Q13" i="10"/>
  <c r="N14" i="10"/>
  <c r="O14" i="10"/>
  <c r="P14" i="10"/>
  <c r="Q14" i="10"/>
  <c r="N15" i="10"/>
  <c r="O15" i="10"/>
  <c r="P15" i="10"/>
  <c r="Q15" i="10"/>
  <c r="N16" i="10"/>
  <c r="O16" i="10"/>
  <c r="P16" i="10"/>
  <c r="Q16" i="10"/>
  <c r="N17" i="10"/>
  <c r="O17" i="10"/>
  <c r="P17" i="10"/>
  <c r="Q17" i="10"/>
  <c r="N18" i="10"/>
  <c r="O18" i="10"/>
  <c r="P18" i="10"/>
  <c r="Q18" i="10"/>
  <c r="N19" i="10"/>
  <c r="O19" i="10"/>
  <c r="P19" i="10"/>
  <c r="Q19" i="10"/>
  <c r="N20" i="10"/>
  <c r="O20" i="10"/>
  <c r="P20" i="10"/>
  <c r="Q20" i="10"/>
  <c r="N21" i="10"/>
  <c r="O21" i="10"/>
  <c r="P21" i="10"/>
  <c r="Q21" i="10"/>
  <c r="N22" i="10"/>
  <c r="O22" i="10"/>
  <c r="P22" i="10"/>
  <c r="Q22" i="10"/>
  <c r="N23" i="10"/>
  <c r="O23" i="10"/>
  <c r="P23" i="10"/>
  <c r="Q23" i="10"/>
  <c r="N24" i="10"/>
  <c r="O24" i="10"/>
  <c r="P24" i="10"/>
  <c r="Q24" i="10"/>
  <c r="N25" i="10"/>
  <c r="O25" i="10"/>
  <c r="P25" i="10"/>
  <c r="Q25" i="10"/>
  <c r="N26" i="10"/>
  <c r="O26" i="10"/>
  <c r="P26" i="10"/>
  <c r="Q26" i="10"/>
  <c r="N28" i="10"/>
  <c r="O28" i="10"/>
  <c r="P28" i="10"/>
  <c r="Q28" i="10"/>
  <c r="N29" i="10"/>
  <c r="O29" i="10"/>
  <c r="P29" i="10"/>
  <c r="Q29" i="10"/>
  <c r="N30" i="10"/>
  <c r="O30" i="10"/>
  <c r="P30" i="10"/>
  <c r="Q30" i="10"/>
  <c r="N31" i="10"/>
  <c r="O31" i="10"/>
  <c r="P31" i="10"/>
  <c r="Q31" i="10"/>
  <c r="N32" i="10"/>
  <c r="O32" i="10"/>
  <c r="P32" i="10"/>
  <c r="Q32" i="10"/>
  <c r="N33" i="10"/>
  <c r="O33" i="10"/>
  <c r="P33" i="10"/>
  <c r="Q33" i="10"/>
  <c r="N34" i="10"/>
  <c r="O34" i="10"/>
  <c r="P34" i="10"/>
  <c r="Q34" i="10"/>
  <c r="N35" i="10"/>
  <c r="O35" i="10"/>
  <c r="P35" i="10"/>
  <c r="Q35" i="10"/>
  <c r="N36" i="10"/>
  <c r="O36" i="10"/>
  <c r="P36" i="10"/>
  <c r="Q36" i="10"/>
  <c r="N37" i="10"/>
  <c r="O37" i="10"/>
  <c r="P37" i="10"/>
  <c r="Q37" i="10"/>
  <c r="N38" i="10"/>
  <c r="O38" i="10"/>
  <c r="P38" i="10"/>
  <c r="Q38" i="10"/>
  <c r="N39" i="10"/>
  <c r="O39" i="10"/>
  <c r="P39" i="10"/>
  <c r="Q39" i="10"/>
  <c r="N40" i="10"/>
  <c r="O40" i="10"/>
  <c r="P40" i="10"/>
  <c r="Q40" i="10"/>
  <c r="N41" i="10"/>
  <c r="O41" i="10"/>
  <c r="P41" i="10"/>
  <c r="Q41" i="10"/>
  <c r="O42" i="10"/>
  <c r="N43" i="10"/>
  <c r="O43" i="10"/>
  <c r="P43" i="10"/>
  <c r="Q43" i="10"/>
  <c r="N44" i="10"/>
  <c r="O44" i="10"/>
  <c r="P44" i="10"/>
  <c r="Q44" i="10"/>
  <c r="N45" i="10"/>
  <c r="O45" i="10"/>
  <c r="P45" i="10"/>
  <c r="Q45" i="10"/>
  <c r="N46" i="10"/>
  <c r="O46" i="10"/>
  <c r="P46" i="10"/>
  <c r="Q46" i="10"/>
  <c r="N47" i="10"/>
  <c r="O47" i="10"/>
  <c r="P47" i="10"/>
  <c r="Q47" i="10"/>
  <c r="N48" i="10"/>
  <c r="O48" i="10"/>
  <c r="P48" i="10"/>
  <c r="Q48" i="10"/>
  <c r="N49" i="10"/>
  <c r="O49" i="10"/>
  <c r="P49" i="10"/>
  <c r="Q49" i="10"/>
  <c r="N50" i="10"/>
  <c r="O50" i="10"/>
  <c r="P50" i="10"/>
  <c r="Q50" i="10"/>
  <c r="N51" i="10"/>
  <c r="O51" i="10"/>
  <c r="P51" i="10"/>
  <c r="Q51" i="10"/>
  <c r="N52" i="10"/>
  <c r="O52" i="10"/>
  <c r="P52" i="10"/>
  <c r="Q52" i="10"/>
  <c r="N53" i="10"/>
  <c r="O53" i="10"/>
  <c r="P53" i="10"/>
  <c r="Q53" i="10"/>
  <c r="N54" i="10"/>
  <c r="O54" i="10"/>
  <c r="P54" i="10"/>
  <c r="Q54" i="10"/>
  <c r="R54" i="10"/>
  <c r="N55" i="10"/>
  <c r="O55" i="10"/>
  <c r="P55" i="10"/>
  <c r="Q55" i="10"/>
  <c r="O56" i="10"/>
  <c r="N57" i="10"/>
  <c r="O57" i="10"/>
  <c r="P57" i="10"/>
  <c r="Q57" i="10"/>
  <c r="N58" i="10"/>
  <c r="O58" i="10"/>
  <c r="P58" i="10"/>
  <c r="Q58" i="10"/>
  <c r="N59" i="10"/>
  <c r="O59" i="10"/>
  <c r="P59" i="10"/>
  <c r="Q59" i="10"/>
  <c r="N60" i="10"/>
  <c r="O60" i="10"/>
  <c r="P60" i="10"/>
  <c r="Q60" i="10"/>
  <c r="N61" i="10"/>
  <c r="O61" i="10"/>
  <c r="P61" i="10"/>
  <c r="Q61" i="10"/>
  <c r="N62" i="10"/>
  <c r="O62" i="10"/>
  <c r="P62" i="10"/>
  <c r="Q62" i="10"/>
  <c r="N63" i="10"/>
  <c r="O63" i="10"/>
  <c r="P63" i="10"/>
  <c r="Q63" i="10"/>
  <c r="N64" i="10"/>
  <c r="O64" i="10"/>
  <c r="P64" i="10"/>
  <c r="Q64" i="10"/>
  <c r="N65" i="10"/>
  <c r="O65" i="10"/>
  <c r="P65" i="10"/>
  <c r="Q65" i="10"/>
  <c r="N66" i="10"/>
  <c r="O66" i="10"/>
  <c r="P66" i="10"/>
  <c r="Q66" i="10"/>
  <c r="Q7" i="10"/>
  <c r="P7" i="10"/>
  <c r="O7" i="10"/>
  <c r="N7" i="10"/>
  <c r="F8" i="10"/>
  <c r="G8" i="10"/>
  <c r="H8" i="10"/>
  <c r="I8" i="10"/>
  <c r="J8" i="10"/>
  <c r="F10" i="10"/>
  <c r="G10" i="10"/>
  <c r="H10" i="10"/>
  <c r="I10" i="10"/>
  <c r="J10" i="10"/>
  <c r="F11" i="10"/>
  <c r="G11" i="10"/>
  <c r="H11" i="10"/>
  <c r="I11" i="10"/>
  <c r="J11" i="10"/>
  <c r="F12" i="10"/>
  <c r="G12" i="10"/>
  <c r="H12" i="10"/>
  <c r="I12" i="10"/>
  <c r="J12" i="10"/>
  <c r="F13" i="10"/>
  <c r="G13" i="10"/>
  <c r="H13" i="10"/>
  <c r="I13" i="10"/>
  <c r="J13" i="10"/>
  <c r="F14" i="10"/>
  <c r="G14" i="10"/>
  <c r="H14" i="10"/>
  <c r="I14" i="10"/>
  <c r="J14" i="10"/>
  <c r="F15" i="10"/>
  <c r="G15" i="10"/>
  <c r="H15" i="10"/>
  <c r="I15" i="10"/>
  <c r="J15" i="10"/>
  <c r="F16" i="10"/>
  <c r="G16" i="10"/>
  <c r="H16" i="10"/>
  <c r="I16" i="10"/>
  <c r="J16" i="10"/>
  <c r="F17" i="10"/>
  <c r="G17" i="10"/>
  <c r="H17" i="10"/>
  <c r="I17" i="10"/>
  <c r="J17" i="10"/>
  <c r="F18" i="10"/>
  <c r="G18" i="10"/>
  <c r="H18" i="10"/>
  <c r="I18" i="10"/>
  <c r="J18" i="10"/>
  <c r="F19" i="10"/>
  <c r="G19" i="10"/>
  <c r="H19" i="10"/>
  <c r="I19" i="10"/>
  <c r="J19" i="10"/>
  <c r="F20" i="10"/>
  <c r="G20" i="10"/>
  <c r="H20" i="10"/>
  <c r="I20" i="10"/>
  <c r="J20" i="10"/>
  <c r="F21" i="10"/>
  <c r="G21" i="10"/>
  <c r="H21" i="10"/>
  <c r="I21" i="10"/>
  <c r="J21" i="10"/>
  <c r="F22" i="10"/>
  <c r="G22" i="10"/>
  <c r="H22" i="10"/>
  <c r="I22" i="10"/>
  <c r="J22" i="10"/>
  <c r="F23" i="10"/>
  <c r="G23" i="10"/>
  <c r="H23" i="10"/>
  <c r="I23" i="10"/>
  <c r="J23" i="10"/>
  <c r="F24" i="10"/>
  <c r="G24" i="10"/>
  <c r="H24" i="10"/>
  <c r="I24" i="10"/>
  <c r="J24" i="10"/>
  <c r="F25" i="10"/>
  <c r="G25" i="10"/>
  <c r="H25" i="10"/>
  <c r="I25" i="10"/>
  <c r="J25" i="10"/>
  <c r="F26" i="10"/>
  <c r="G26" i="10"/>
  <c r="H26" i="10"/>
  <c r="I26" i="10"/>
  <c r="J26" i="10"/>
  <c r="F28" i="10"/>
  <c r="G28" i="10"/>
  <c r="H28" i="10"/>
  <c r="I28" i="10"/>
  <c r="J28" i="10"/>
  <c r="F29" i="10"/>
  <c r="G29" i="10"/>
  <c r="H29" i="10"/>
  <c r="I29" i="10"/>
  <c r="J29" i="10"/>
  <c r="F30" i="10"/>
  <c r="G30" i="10"/>
  <c r="H30" i="10"/>
  <c r="I30" i="10"/>
  <c r="J30" i="10"/>
  <c r="F31" i="10"/>
  <c r="G31" i="10"/>
  <c r="H31" i="10"/>
  <c r="I31" i="10"/>
  <c r="J31" i="10"/>
  <c r="F32" i="10"/>
  <c r="G32" i="10"/>
  <c r="H32" i="10"/>
  <c r="I32" i="10"/>
  <c r="J32" i="10"/>
  <c r="F33" i="10"/>
  <c r="G33" i="10"/>
  <c r="H33" i="10"/>
  <c r="I33" i="10"/>
  <c r="J33" i="10"/>
  <c r="F34" i="10"/>
  <c r="G34" i="10"/>
  <c r="H34" i="10"/>
  <c r="I34" i="10"/>
  <c r="J34" i="10"/>
  <c r="F35" i="10"/>
  <c r="G35" i="10"/>
  <c r="H35" i="10"/>
  <c r="I35" i="10"/>
  <c r="J35" i="10"/>
  <c r="F36" i="10"/>
  <c r="G36" i="10"/>
  <c r="H36" i="10"/>
  <c r="I36" i="10"/>
  <c r="J36" i="10"/>
  <c r="F37" i="10"/>
  <c r="G37" i="10"/>
  <c r="H37" i="10"/>
  <c r="I37" i="10"/>
  <c r="J37" i="10"/>
  <c r="F38" i="10"/>
  <c r="G38" i="10"/>
  <c r="H38" i="10"/>
  <c r="I38" i="10"/>
  <c r="J38" i="10"/>
  <c r="F39" i="10"/>
  <c r="G39" i="10"/>
  <c r="H39" i="10"/>
  <c r="I39" i="10"/>
  <c r="J39" i="10"/>
  <c r="F40" i="10"/>
  <c r="G40" i="10"/>
  <c r="H40" i="10"/>
  <c r="I40" i="10"/>
  <c r="J40" i="10"/>
  <c r="F41" i="10"/>
  <c r="G41" i="10"/>
  <c r="H41" i="10"/>
  <c r="I41" i="10"/>
  <c r="J41" i="10"/>
  <c r="G42" i="10"/>
  <c r="F43" i="10"/>
  <c r="G43" i="10"/>
  <c r="H43" i="10"/>
  <c r="I43" i="10"/>
  <c r="J43" i="10"/>
  <c r="F44" i="10"/>
  <c r="G44" i="10"/>
  <c r="H44" i="10"/>
  <c r="I44" i="10"/>
  <c r="J44" i="10"/>
  <c r="F45" i="10"/>
  <c r="G45" i="10"/>
  <c r="H45" i="10"/>
  <c r="I45" i="10"/>
  <c r="J45" i="10"/>
  <c r="F46" i="10"/>
  <c r="G46" i="10"/>
  <c r="H46" i="10"/>
  <c r="I46" i="10"/>
  <c r="J46" i="10"/>
  <c r="F47" i="10"/>
  <c r="G47" i="10"/>
  <c r="H47" i="10"/>
  <c r="I47" i="10"/>
  <c r="J47" i="10"/>
  <c r="F48" i="10"/>
  <c r="G48" i="10"/>
  <c r="H48" i="10"/>
  <c r="I48" i="10"/>
  <c r="J48" i="10"/>
  <c r="F49" i="10"/>
  <c r="G49" i="10"/>
  <c r="H49" i="10"/>
  <c r="I49" i="10"/>
  <c r="J49" i="10"/>
  <c r="F50" i="10"/>
  <c r="G50" i="10"/>
  <c r="H50" i="10"/>
  <c r="I50" i="10"/>
  <c r="J50" i="10"/>
  <c r="F51" i="10"/>
  <c r="G51" i="10"/>
  <c r="H51" i="10"/>
  <c r="I51" i="10"/>
  <c r="J51" i="10"/>
  <c r="F52" i="10"/>
  <c r="G52" i="10"/>
  <c r="H52" i="10"/>
  <c r="I52" i="10"/>
  <c r="J52" i="10"/>
  <c r="F53" i="10"/>
  <c r="G53" i="10"/>
  <c r="H53" i="10"/>
  <c r="I53" i="10"/>
  <c r="J53" i="10"/>
  <c r="F54" i="10"/>
  <c r="G54" i="10"/>
  <c r="H54" i="10"/>
  <c r="I54" i="10"/>
  <c r="J54" i="10"/>
  <c r="F55" i="10"/>
  <c r="G55" i="10"/>
  <c r="H55" i="10"/>
  <c r="I55" i="10"/>
  <c r="J55" i="10"/>
  <c r="G56" i="10"/>
  <c r="F57" i="10"/>
  <c r="G57" i="10"/>
  <c r="H57" i="10"/>
  <c r="I57" i="10"/>
  <c r="J57" i="10"/>
  <c r="F58" i="10"/>
  <c r="G58" i="10"/>
  <c r="H58" i="10"/>
  <c r="I58" i="10"/>
  <c r="J58" i="10"/>
  <c r="F59" i="10"/>
  <c r="G59" i="10"/>
  <c r="H59" i="10"/>
  <c r="I59" i="10"/>
  <c r="J59" i="10"/>
  <c r="F60" i="10"/>
  <c r="G60" i="10"/>
  <c r="H60" i="10"/>
  <c r="I60" i="10"/>
  <c r="J60" i="10"/>
  <c r="F61" i="10"/>
  <c r="G61" i="10"/>
  <c r="H61" i="10"/>
  <c r="I61" i="10"/>
  <c r="J61" i="10"/>
  <c r="F62" i="10"/>
  <c r="G62" i="10"/>
  <c r="H62" i="10"/>
  <c r="I62" i="10"/>
  <c r="J62" i="10"/>
  <c r="F63" i="10"/>
  <c r="G63" i="10"/>
  <c r="H63" i="10"/>
  <c r="I63" i="10"/>
  <c r="J63" i="10"/>
  <c r="F64" i="10"/>
  <c r="G64" i="10"/>
  <c r="H64" i="10"/>
  <c r="I64" i="10"/>
  <c r="J64" i="10"/>
  <c r="F65" i="10"/>
  <c r="G65" i="10"/>
  <c r="H65" i="10"/>
  <c r="I65" i="10"/>
  <c r="J65" i="10"/>
  <c r="F66" i="10"/>
  <c r="G66" i="10"/>
  <c r="H66" i="10"/>
  <c r="I66" i="10"/>
  <c r="J66" i="10"/>
  <c r="J7" i="10"/>
  <c r="I7" i="10"/>
  <c r="H7" i="10"/>
  <c r="G7" i="10"/>
  <c r="F7" i="10"/>
  <c r="DI7" i="31"/>
  <c r="DI8" i="31"/>
  <c r="DI9" i="31"/>
  <c r="DI10" i="31"/>
  <c r="DI11" i="31"/>
  <c r="DI12" i="31"/>
  <c r="DI13" i="31"/>
  <c r="DI14" i="31"/>
  <c r="DI15" i="31"/>
  <c r="DI16" i="31"/>
  <c r="DI17" i="31"/>
  <c r="DI18" i="31"/>
  <c r="DI19" i="31"/>
  <c r="DI20" i="31"/>
  <c r="DI21" i="31"/>
  <c r="DI22" i="31"/>
  <c r="DI23" i="31"/>
  <c r="DI24" i="31"/>
  <c r="DI25" i="31"/>
  <c r="DI26" i="31"/>
  <c r="DI27" i="31"/>
  <c r="DI28" i="31"/>
  <c r="DI29" i="31"/>
  <c r="DI30" i="31"/>
  <c r="DI31" i="31"/>
  <c r="DI32" i="31"/>
  <c r="DI33" i="31"/>
  <c r="DI34" i="31"/>
  <c r="DI35" i="31"/>
  <c r="DI36" i="31"/>
  <c r="DI37" i="31"/>
  <c r="DI38" i="31"/>
  <c r="DI39" i="31"/>
  <c r="DI40" i="31"/>
  <c r="DI41" i="31"/>
  <c r="DI42" i="31"/>
  <c r="DI43" i="31"/>
  <c r="DI44" i="31"/>
  <c r="DI45" i="31"/>
  <c r="DI46" i="31"/>
  <c r="DI47" i="31"/>
  <c r="DI48" i="31"/>
  <c r="DI49" i="31"/>
  <c r="DI50" i="31"/>
  <c r="DI51" i="31"/>
  <c r="DI52" i="31"/>
  <c r="DI53" i="31"/>
  <c r="DI54" i="31"/>
  <c r="DI55" i="31"/>
  <c r="DI56" i="31"/>
  <c r="DI57" i="31"/>
  <c r="DI58" i="31"/>
  <c r="DI59" i="31"/>
  <c r="DI60" i="31"/>
  <c r="DI61" i="31"/>
  <c r="DI62" i="31"/>
  <c r="DI63" i="31"/>
  <c r="DI64" i="31"/>
  <c r="DI65" i="31"/>
  <c r="DG7" i="31"/>
  <c r="DG8" i="31"/>
  <c r="DG9" i="31"/>
  <c r="DG10" i="31"/>
  <c r="DG11" i="31"/>
  <c r="DG12" i="31"/>
  <c r="DG13" i="31"/>
  <c r="DG14" i="31"/>
  <c r="DG15" i="31"/>
  <c r="DG16" i="31"/>
  <c r="DG17" i="31"/>
  <c r="DG18" i="31"/>
  <c r="DG19" i="31"/>
  <c r="DG20" i="31"/>
  <c r="DG21" i="31"/>
  <c r="DG22" i="31"/>
  <c r="DG23" i="31"/>
  <c r="DG24" i="31"/>
  <c r="DG25" i="31"/>
  <c r="DG26" i="31"/>
  <c r="DG27" i="31"/>
  <c r="DG28" i="31"/>
  <c r="DG29" i="31"/>
  <c r="DG30" i="31"/>
  <c r="DG31" i="31"/>
  <c r="DG32" i="31"/>
  <c r="DG33" i="31"/>
  <c r="DG34" i="31"/>
  <c r="DG35" i="31"/>
  <c r="DG36" i="31"/>
  <c r="DG37" i="31"/>
  <c r="DG38" i="31"/>
  <c r="DG39" i="31"/>
  <c r="DG40" i="31"/>
  <c r="DG41" i="31"/>
  <c r="DG42" i="31"/>
  <c r="DG43" i="31"/>
  <c r="DG44" i="31"/>
  <c r="DG45" i="31"/>
  <c r="DG46" i="31"/>
  <c r="DG47" i="31"/>
  <c r="DG48" i="31"/>
  <c r="DG49" i="31"/>
  <c r="DG50" i="31"/>
  <c r="DG51" i="31"/>
  <c r="DG52" i="31"/>
  <c r="DG53" i="31"/>
  <c r="DG54" i="31"/>
  <c r="DG55" i="31"/>
  <c r="DG56" i="31"/>
  <c r="DG57" i="31"/>
  <c r="DG58" i="31"/>
  <c r="DG59" i="31"/>
  <c r="DG60" i="31"/>
  <c r="DG61" i="31"/>
  <c r="DG62" i="31"/>
  <c r="DG63" i="31"/>
  <c r="DG64" i="31"/>
  <c r="DG65" i="31"/>
  <c r="DE7" i="31"/>
  <c r="DE8" i="31"/>
  <c r="DE9" i="31"/>
  <c r="DE10" i="31"/>
  <c r="DE11" i="31"/>
  <c r="DE12" i="31"/>
  <c r="DE13" i="31"/>
  <c r="DE14" i="31"/>
  <c r="DE15" i="31"/>
  <c r="DE16" i="31"/>
  <c r="DE17" i="31"/>
  <c r="DE18" i="31"/>
  <c r="DE19" i="31"/>
  <c r="DE20" i="31"/>
  <c r="DE21" i="31"/>
  <c r="DE22" i="31"/>
  <c r="DE23" i="31"/>
  <c r="DE24" i="31"/>
  <c r="DE25" i="31"/>
  <c r="DE26" i="31"/>
  <c r="DE27" i="31"/>
  <c r="DE28" i="31"/>
  <c r="DE29" i="31"/>
  <c r="DE30" i="31"/>
  <c r="DE31" i="31"/>
  <c r="DE32" i="31"/>
  <c r="DE33" i="31"/>
  <c r="DE34" i="31"/>
  <c r="DE35" i="31"/>
  <c r="DE36" i="31"/>
  <c r="DE37" i="31"/>
  <c r="DE38" i="31"/>
  <c r="DE39" i="31"/>
  <c r="DE40" i="31"/>
  <c r="DE41" i="31"/>
  <c r="DE42" i="31"/>
  <c r="DE43" i="31"/>
  <c r="DE44" i="31"/>
  <c r="DE45" i="31"/>
  <c r="DE46" i="31"/>
  <c r="DE47" i="31"/>
  <c r="DE48" i="31"/>
  <c r="DE49" i="31"/>
  <c r="DE50" i="31"/>
  <c r="DE51" i="31"/>
  <c r="DE52" i="31"/>
  <c r="DE53" i="31"/>
  <c r="DE54" i="31"/>
  <c r="DE55" i="31"/>
  <c r="DE56" i="31"/>
  <c r="DE57" i="31"/>
  <c r="DE58" i="31"/>
  <c r="DE59" i="31"/>
  <c r="DE60" i="31"/>
  <c r="DE61" i="31"/>
  <c r="DE62" i="31"/>
  <c r="DE63" i="31"/>
  <c r="DE64" i="31"/>
  <c r="DE65" i="31"/>
  <c r="DC7" i="31"/>
  <c r="DC8" i="31"/>
  <c r="DC9" i="31"/>
  <c r="DC10" i="31"/>
  <c r="DC11" i="31"/>
  <c r="DC12" i="31"/>
  <c r="DC13" i="31"/>
  <c r="DC14" i="31"/>
  <c r="DC15" i="31"/>
  <c r="DC16" i="31"/>
  <c r="DC17" i="31"/>
  <c r="DC18" i="31"/>
  <c r="DC19" i="31"/>
  <c r="DC20" i="31"/>
  <c r="DC21" i="31"/>
  <c r="DC22" i="31"/>
  <c r="DC23" i="31"/>
  <c r="DC24" i="31"/>
  <c r="DC25" i="31"/>
  <c r="DC26" i="31"/>
  <c r="DC27" i="31"/>
  <c r="DC28" i="31"/>
  <c r="DC29" i="31"/>
  <c r="DC30" i="31"/>
  <c r="DC31" i="31"/>
  <c r="DC32" i="31"/>
  <c r="DC33" i="31"/>
  <c r="DC34" i="31"/>
  <c r="DC35" i="31"/>
  <c r="DC36" i="31"/>
  <c r="DC37" i="31"/>
  <c r="DC38" i="31"/>
  <c r="DC39" i="31"/>
  <c r="DC40" i="31"/>
  <c r="DC41" i="31"/>
  <c r="DC42" i="31"/>
  <c r="DC43" i="31"/>
  <c r="DC44" i="31"/>
  <c r="DC45" i="31"/>
  <c r="DC46" i="31"/>
  <c r="DC47" i="31"/>
  <c r="DC48" i="31"/>
  <c r="DC49" i="31"/>
  <c r="DC50" i="31"/>
  <c r="DC51" i="31"/>
  <c r="DC52" i="31"/>
  <c r="DC53" i="31"/>
  <c r="DC54" i="31"/>
  <c r="DC55" i="31"/>
  <c r="DC56" i="31"/>
  <c r="DC57" i="31"/>
  <c r="DC58" i="31"/>
  <c r="DC59" i="31"/>
  <c r="DC60" i="31"/>
  <c r="DC61" i="31"/>
  <c r="DC62" i="31"/>
  <c r="DC63" i="31"/>
  <c r="DC64" i="31"/>
  <c r="DC65" i="31"/>
  <c r="DA7" i="31"/>
  <c r="DA8" i="31"/>
  <c r="DA9" i="31"/>
  <c r="DA10" i="31"/>
  <c r="DA11" i="31"/>
  <c r="DA12" i="31"/>
  <c r="DA13" i="31"/>
  <c r="DA14" i="31"/>
  <c r="DA15" i="31"/>
  <c r="DA16" i="31"/>
  <c r="DA17" i="31"/>
  <c r="DA18" i="31"/>
  <c r="DA19" i="31"/>
  <c r="DA20" i="31"/>
  <c r="DA21" i="31"/>
  <c r="DA22" i="31"/>
  <c r="DA23" i="31"/>
  <c r="DA24" i="31"/>
  <c r="DA25" i="31"/>
  <c r="DA26" i="31"/>
  <c r="DA27" i="31"/>
  <c r="DA28" i="31"/>
  <c r="DA29" i="31"/>
  <c r="DA30" i="31"/>
  <c r="DA31" i="31"/>
  <c r="DA32" i="31"/>
  <c r="DA33" i="31"/>
  <c r="DA34" i="31"/>
  <c r="DA35" i="31"/>
  <c r="DA36" i="31"/>
  <c r="DA37" i="31"/>
  <c r="DA38" i="31"/>
  <c r="DA39" i="31"/>
  <c r="DA40" i="31"/>
  <c r="DA41" i="31"/>
  <c r="DA42" i="31"/>
  <c r="DA43" i="31"/>
  <c r="DA44" i="31"/>
  <c r="DA45" i="31"/>
  <c r="DA46" i="31"/>
  <c r="DA47" i="31"/>
  <c r="DA48" i="31"/>
  <c r="DA49" i="31"/>
  <c r="DA50" i="31"/>
  <c r="DA51" i="31"/>
  <c r="DA52" i="31"/>
  <c r="DA53" i="31"/>
  <c r="DA54" i="31"/>
  <c r="DA55" i="31"/>
  <c r="DA56" i="31"/>
  <c r="DA57" i="31"/>
  <c r="DA58" i="31"/>
  <c r="DA59" i="31"/>
  <c r="DA60" i="31"/>
  <c r="DA61" i="31"/>
  <c r="DA62" i="31"/>
  <c r="DA63" i="31"/>
  <c r="DA64" i="31"/>
  <c r="DA65" i="31"/>
  <c r="CZ7" i="31"/>
  <c r="CZ8" i="31"/>
  <c r="CZ9" i="31"/>
  <c r="CZ10" i="31"/>
  <c r="CZ11" i="31"/>
  <c r="CZ12" i="31"/>
  <c r="CZ13" i="31"/>
  <c r="CZ14" i="31"/>
  <c r="CZ15" i="31"/>
  <c r="CZ16" i="31"/>
  <c r="CZ17" i="31"/>
  <c r="CZ18" i="31"/>
  <c r="CZ19" i="31"/>
  <c r="CZ20" i="31"/>
  <c r="CZ21" i="31"/>
  <c r="CZ22" i="31"/>
  <c r="CZ23" i="31"/>
  <c r="CZ24" i="31"/>
  <c r="CZ25" i="31"/>
  <c r="CZ26" i="31"/>
  <c r="CZ27" i="31"/>
  <c r="CZ28" i="31"/>
  <c r="CZ29" i="31"/>
  <c r="CZ30" i="31"/>
  <c r="CZ31" i="31"/>
  <c r="CZ32" i="31"/>
  <c r="CZ33" i="31"/>
  <c r="CZ34" i="31"/>
  <c r="CZ35" i="31"/>
  <c r="CZ36" i="31"/>
  <c r="CZ37" i="31"/>
  <c r="CZ38" i="31"/>
  <c r="CZ39" i="31"/>
  <c r="CZ40" i="31"/>
  <c r="CZ41" i="31"/>
  <c r="CZ42" i="31"/>
  <c r="CZ43" i="31"/>
  <c r="CZ44" i="31"/>
  <c r="CZ45" i="31"/>
  <c r="CZ46" i="31"/>
  <c r="CZ47" i="31"/>
  <c r="CZ48" i="31"/>
  <c r="CZ49" i="31"/>
  <c r="CZ50" i="31"/>
  <c r="CZ51" i="31"/>
  <c r="CZ52" i="31"/>
  <c r="CZ53" i="31"/>
  <c r="CZ54" i="31"/>
  <c r="CZ55" i="31"/>
  <c r="CZ56" i="31"/>
  <c r="CZ57" i="31"/>
  <c r="CZ58" i="31"/>
  <c r="CZ59" i="31"/>
  <c r="CZ60" i="31"/>
  <c r="CZ61" i="31"/>
  <c r="CZ62" i="31"/>
  <c r="CZ63" i="31"/>
  <c r="CZ64" i="31"/>
  <c r="CZ65" i="31"/>
  <c r="DI6" i="31"/>
  <c r="DG6" i="31"/>
  <c r="DE6" i="31"/>
  <c r="DC6" i="31"/>
  <c r="DA6" i="31"/>
  <c r="DY52" i="19"/>
  <c r="DY38" i="19"/>
  <c r="DY23" i="19"/>
  <c r="DY5" i="19"/>
  <c r="DH7" i="31"/>
  <c r="DH8" i="31"/>
  <c r="DH9" i="31"/>
  <c r="DH10" i="31"/>
  <c r="DH11" i="31"/>
  <c r="DH12" i="31"/>
  <c r="DH13" i="31"/>
  <c r="DH14" i="31"/>
  <c r="DH15" i="31"/>
  <c r="DH16" i="31"/>
  <c r="DH17" i="31"/>
  <c r="DH18" i="31"/>
  <c r="DH19" i="31"/>
  <c r="DH20" i="31"/>
  <c r="DH21" i="31"/>
  <c r="DH22" i="31"/>
  <c r="DH23" i="31"/>
  <c r="DH24" i="31"/>
  <c r="DH25" i="31"/>
  <c r="DH26" i="31"/>
  <c r="DH27" i="31"/>
  <c r="DH28" i="31"/>
  <c r="DH29" i="31"/>
  <c r="DH30" i="31"/>
  <c r="DH31" i="31"/>
  <c r="DH32" i="31"/>
  <c r="DH33" i="31"/>
  <c r="DH34" i="31"/>
  <c r="DH35" i="31"/>
  <c r="DH36" i="31"/>
  <c r="DH37" i="31"/>
  <c r="DH38" i="31"/>
  <c r="DH39" i="31"/>
  <c r="DH40" i="31"/>
  <c r="DH41" i="31"/>
  <c r="DH42" i="31"/>
  <c r="DH43" i="31"/>
  <c r="DH44" i="31"/>
  <c r="DH45" i="31"/>
  <c r="DH46" i="31"/>
  <c r="DH47" i="31"/>
  <c r="DH48" i="31"/>
  <c r="DH49" i="31"/>
  <c r="DH50" i="31"/>
  <c r="DH51" i="31"/>
  <c r="DH52" i="31"/>
  <c r="DH53" i="31"/>
  <c r="DH54" i="31"/>
  <c r="DH55" i="31"/>
  <c r="DH56" i="31"/>
  <c r="DH57" i="31"/>
  <c r="DH58" i="31"/>
  <c r="DH59" i="31"/>
  <c r="DH60" i="31"/>
  <c r="DH61" i="31"/>
  <c r="DH62" i="31"/>
  <c r="DH63" i="31"/>
  <c r="DH64" i="31"/>
  <c r="DH65" i="31"/>
  <c r="DF7" i="31"/>
  <c r="DF8" i="31"/>
  <c r="DF9" i="31"/>
  <c r="DF10" i="31"/>
  <c r="DF11" i="31"/>
  <c r="DF12" i="31"/>
  <c r="DF13" i="31"/>
  <c r="DF14" i="31"/>
  <c r="DF15" i="31"/>
  <c r="DF16" i="31"/>
  <c r="DF17" i="31"/>
  <c r="DF18" i="31"/>
  <c r="DF19" i="31"/>
  <c r="DF20" i="31"/>
  <c r="DF21" i="31"/>
  <c r="DF22" i="31"/>
  <c r="DF23" i="31"/>
  <c r="DF24" i="31"/>
  <c r="DF25" i="31"/>
  <c r="DF26" i="31"/>
  <c r="DF27" i="31"/>
  <c r="DF28" i="31"/>
  <c r="DF29" i="31"/>
  <c r="DF30" i="31"/>
  <c r="DF31" i="31"/>
  <c r="DF32" i="31"/>
  <c r="DF33" i="31"/>
  <c r="DF34" i="31"/>
  <c r="DF35" i="31"/>
  <c r="DF36" i="31"/>
  <c r="DF37" i="31"/>
  <c r="DF38" i="31"/>
  <c r="DF39" i="31"/>
  <c r="DF40" i="31"/>
  <c r="DF41" i="31"/>
  <c r="DF42" i="31"/>
  <c r="DF43" i="31"/>
  <c r="DF44" i="31"/>
  <c r="DF45" i="31"/>
  <c r="DF46" i="31"/>
  <c r="DF47" i="31"/>
  <c r="DF48" i="31"/>
  <c r="DF49" i="31"/>
  <c r="DF50" i="31"/>
  <c r="DF51" i="31"/>
  <c r="DF52" i="31"/>
  <c r="DF53" i="31"/>
  <c r="DF54" i="31"/>
  <c r="DF55" i="31"/>
  <c r="DF56" i="31"/>
  <c r="DF57" i="31"/>
  <c r="DF58" i="31"/>
  <c r="DF59" i="31"/>
  <c r="DF60" i="31"/>
  <c r="DF61" i="31"/>
  <c r="DF62" i="31"/>
  <c r="DF63" i="31"/>
  <c r="DF64" i="31"/>
  <c r="DF65" i="31"/>
  <c r="DD7" i="31"/>
  <c r="DD8" i="31"/>
  <c r="DD9" i="31"/>
  <c r="DD10" i="31"/>
  <c r="DD11" i="31"/>
  <c r="DD12" i="31"/>
  <c r="DD13" i="31"/>
  <c r="DD14" i="31"/>
  <c r="DD15" i="31"/>
  <c r="DD16" i="31"/>
  <c r="DD17" i="31"/>
  <c r="DD18" i="31"/>
  <c r="DD19" i="31"/>
  <c r="DD20" i="31"/>
  <c r="DD21" i="31"/>
  <c r="DD22" i="31"/>
  <c r="DD23" i="31"/>
  <c r="DD24" i="31"/>
  <c r="DD25" i="31"/>
  <c r="DD26" i="31"/>
  <c r="DD27" i="31"/>
  <c r="DD28" i="31"/>
  <c r="DD29" i="31"/>
  <c r="DD30" i="31"/>
  <c r="DD31" i="31"/>
  <c r="DD32" i="31"/>
  <c r="DD33" i="31"/>
  <c r="DD34" i="31"/>
  <c r="DD35" i="31"/>
  <c r="DD36" i="31"/>
  <c r="DD37" i="31"/>
  <c r="DD38" i="31"/>
  <c r="DD39" i="31"/>
  <c r="DD40" i="31"/>
  <c r="DD41" i="31"/>
  <c r="DD42" i="31"/>
  <c r="DD43" i="31"/>
  <c r="DD44" i="31"/>
  <c r="DD45" i="31"/>
  <c r="DD46" i="31"/>
  <c r="DD47" i="31"/>
  <c r="DD48" i="31"/>
  <c r="DD49" i="31"/>
  <c r="DD50" i="31"/>
  <c r="DD51" i="31"/>
  <c r="DD52" i="31"/>
  <c r="DD53" i="31"/>
  <c r="DD54" i="31"/>
  <c r="DD55" i="31"/>
  <c r="DD56" i="31"/>
  <c r="DD57" i="31"/>
  <c r="DD58" i="31"/>
  <c r="DD59" i="31"/>
  <c r="DD60" i="31"/>
  <c r="DD61" i="31"/>
  <c r="DD62" i="31"/>
  <c r="DD63" i="31"/>
  <c r="DD64" i="31"/>
  <c r="DD65" i="31"/>
  <c r="DB7" i="31"/>
  <c r="DB8" i="31"/>
  <c r="DB9" i="31"/>
  <c r="DB10" i="31"/>
  <c r="DB11" i="31"/>
  <c r="DB12" i="31"/>
  <c r="DB13" i="31"/>
  <c r="DB14" i="31"/>
  <c r="DB15" i="31"/>
  <c r="DB16" i="31"/>
  <c r="DB17" i="31"/>
  <c r="DB18" i="31"/>
  <c r="DB19" i="31"/>
  <c r="DB20" i="31"/>
  <c r="DB21" i="31"/>
  <c r="DB22" i="31"/>
  <c r="DB23" i="31"/>
  <c r="DB24" i="31"/>
  <c r="DB25" i="31"/>
  <c r="DB26" i="31"/>
  <c r="DB27" i="31"/>
  <c r="DB28" i="31"/>
  <c r="DB29" i="31"/>
  <c r="DB30" i="31"/>
  <c r="DB31" i="31"/>
  <c r="DB32" i="31"/>
  <c r="DB33" i="31"/>
  <c r="DB34" i="31"/>
  <c r="DB35" i="31"/>
  <c r="DB36" i="31"/>
  <c r="DB37" i="31"/>
  <c r="DB38" i="31"/>
  <c r="DB39" i="31"/>
  <c r="DB40" i="31"/>
  <c r="DB41" i="31"/>
  <c r="DB42" i="31"/>
  <c r="DB43" i="31"/>
  <c r="DB44" i="31"/>
  <c r="DB45" i="31"/>
  <c r="DB46" i="31"/>
  <c r="DB47" i="31"/>
  <c r="DB48" i="31"/>
  <c r="DB49" i="31"/>
  <c r="DB50" i="31"/>
  <c r="DB51" i="31"/>
  <c r="DB52" i="31"/>
  <c r="DB53" i="31"/>
  <c r="DB54" i="31"/>
  <c r="DB55" i="31"/>
  <c r="DB56" i="31"/>
  <c r="DB57" i="31"/>
  <c r="DB58" i="31"/>
  <c r="DB59" i="31"/>
  <c r="DB60" i="31"/>
  <c r="DB61" i="31"/>
  <c r="DB62" i="31"/>
  <c r="DB63" i="31"/>
  <c r="DB64" i="31"/>
  <c r="DB65" i="31"/>
  <c r="DH6" i="31"/>
  <c r="DF6" i="31"/>
  <c r="DD6" i="31"/>
  <c r="DB6" i="31"/>
  <c r="HY53" i="9"/>
  <c r="HX53" i="9"/>
  <c r="HW53" i="9"/>
  <c r="HV53" i="9"/>
  <c r="HU53" i="9"/>
  <c r="HY39" i="9"/>
  <c r="HX39" i="9"/>
  <c r="HW39" i="9"/>
  <c r="HV39" i="9"/>
  <c r="HU39" i="9"/>
  <c r="HU5" i="9" s="1"/>
  <c r="HY24" i="9"/>
  <c r="HX24" i="9"/>
  <c r="HW24" i="9"/>
  <c r="HV24" i="9"/>
  <c r="HU24" i="9"/>
  <c r="HY6" i="9"/>
  <c r="HY5" i="9" s="1"/>
  <c r="HX6" i="9"/>
  <c r="HW6" i="9"/>
  <c r="HV6" i="9"/>
  <c r="HU6" i="9"/>
  <c r="CV26" i="31"/>
  <c r="CV27" i="31"/>
  <c r="CV28" i="31"/>
  <c r="CV29" i="31"/>
  <c r="CV30" i="31"/>
  <c r="CV31" i="31"/>
  <c r="CV32" i="31"/>
  <c r="CV33" i="31"/>
  <c r="CV34" i="31"/>
  <c r="CV35" i="31"/>
  <c r="CV36" i="31"/>
  <c r="CV37" i="31"/>
  <c r="CV38" i="31"/>
  <c r="CV39" i="31"/>
  <c r="CV41" i="31"/>
  <c r="CV42" i="31"/>
  <c r="CV43" i="31"/>
  <c r="CV44" i="31"/>
  <c r="CV45" i="31"/>
  <c r="CV46" i="31"/>
  <c r="CV47" i="31"/>
  <c r="CV48" i="31"/>
  <c r="CV49" i="31"/>
  <c r="CV50" i="31"/>
  <c r="CV51" i="31"/>
  <c r="CV52" i="31"/>
  <c r="CV53" i="31"/>
  <c r="CV55" i="31"/>
  <c r="CV56" i="31"/>
  <c r="CV57" i="31"/>
  <c r="CV58" i="31"/>
  <c r="CV59" i="31"/>
  <c r="CV60" i="31"/>
  <c r="CV61" i="31"/>
  <c r="CV62" i="31"/>
  <c r="CV63" i="31"/>
  <c r="CV64" i="31"/>
  <c r="CV65" i="31"/>
  <c r="CV8" i="31"/>
  <c r="CV9" i="31"/>
  <c r="CV10" i="31"/>
  <c r="CV11" i="31"/>
  <c r="CV12" i="31"/>
  <c r="CV13" i="31"/>
  <c r="CV14" i="31"/>
  <c r="CV15" i="31"/>
  <c r="CV16" i="31"/>
  <c r="CV17" i="31"/>
  <c r="CV18" i="31"/>
  <c r="CV19" i="31"/>
  <c r="CV20" i="31"/>
  <c r="CV21" i="31"/>
  <c r="CV22" i="31"/>
  <c r="CV23" i="31"/>
  <c r="CV24" i="31"/>
  <c r="DX8" i="31"/>
  <c r="DX9" i="31"/>
  <c r="DX10" i="31"/>
  <c r="DX11" i="31"/>
  <c r="DX12" i="31"/>
  <c r="DX13" i="31"/>
  <c r="DX14" i="31"/>
  <c r="DX15" i="31"/>
  <c r="DX16" i="31"/>
  <c r="DX17" i="31"/>
  <c r="DX18" i="31"/>
  <c r="DX19" i="31"/>
  <c r="DX20" i="31"/>
  <c r="DX21" i="31"/>
  <c r="DX22" i="31"/>
  <c r="DX23" i="31"/>
  <c r="DX24" i="31"/>
  <c r="DX26" i="31"/>
  <c r="DX27" i="31"/>
  <c r="DX28" i="31"/>
  <c r="DX29" i="31"/>
  <c r="DX30" i="31"/>
  <c r="DX31" i="31"/>
  <c r="DX32" i="31"/>
  <c r="DX33" i="31"/>
  <c r="DX34" i="31"/>
  <c r="DX35" i="31"/>
  <c r="DX36" i="31"/>
  <c r="DX37" i="31"/>
  <c r="DX38" i="31"/>
  <c r="DX39" i="31"/>
  <c r="DX41" i="31"/>
  <c r="DX42" i="31"/>
  <c r="DX43" i="31"/>
  <c r="DX44" i="31"/>
  <c r="DX45" i="31"/>
  <c r="DX46" i="31"/>
  <c r="DX47" i="31"/>
  <c r="DX48" i="31"/>
  <c r="DX49" i="31"/>
  <c r="DX50" i="31"/>
  <c r="DX51" i="31"/>
  <c r="DX52" i="31"/>
  <c r="DX53" i="31"/>
  <c r="DX55" i="31"/>
  <c r="DX56" i="31"/>
  <c r="DX57" i="31"/>
  <c r="DX58" i="31"/>
  <c r="DX59" i="31"/>
  <c r="DX60" i="31"/>
  <c r="DX61" i="31"/>
  <c r="DX62" i="31"/>
  <c r="DX63" i="31"/>
  <c r="DX64" i="31"/>
  <c r="DX65" i="31"/>
  <c r="DV8" i="31"/>
  <c r="DV9" i="31"/>
  <c r="DV10" i="31"/>
  <c r="DV11" i="31"/>
  <c r="DV12" i="31"/>
  <c r="DV13" i="31"/>
  <c r="DV14" i="31"/>
  <c r="DV15" i="31"/>
  <c r="DV16" i="31"/>
  <c r="DV17" i="31"/>
  <c r="DV18" i="31"/>
  <c r="DV19" i="31"/>
  <c r="DV20" i="31"/>
  <c r="DV21" i="31"/>
  <c r="DV22" i="31"/>
  <c r="DV23" i="31"/>
  <c r="DV24" i="31"/>
  <c r="DV26" i="31"/>
  <c r="DV27" i="31"/>
  <c r="DV28" i="31"/>
  <c r="DV29" i="31"/>
  <c r="DV30" i="31"/>
  <c r="DV31" i="31"/>
  <c r="DV32" i="31"/>
  <c r="DV33" i="31"/>
  <c r="DV34" i="31"/>
  <c r="DV35" i="31"/>
  <c r="DV36" i="31"/>
  <c r="DV37" i="31"/>
  <c r="DV38" i="31"/>
  <c r="DV39" i="31"/>
  <c r="DV41" i="31"/>
  <c r="DV42" i="31"/>
  <c r="DV43" i="31"/>
  <c r="DV44" i="31"/>
  <c r="DV45" i="31"/>
  <c r="DV46" i="31"/>
  <c r="DV47" i="31"/>
  <c r="DV48" i="31"/>
  <c r="DV49" i="31"/>
  <c r="DV50" i="31"/>
  <c r="DV51" i="31"/>
  <c r="DV52" i="31"/>
  <c r="DV53" i="31"/>
  <c r="DV55" i="31"/>
  <c r="DV56" i="31"/>
  <c r="DV57" i="31"/>
  <c r="DV58" i="31"/>
  <c r="DV59" i="31"/>
  <c r="DV60" i="31"/>
  <c r="DV61" i="31"/>
  <c r="DV62" i="31"/>
  <c r="DV63" i="31"/>
  <c r="DV64" i="31"/>
  <c r="DV65" i="31"/>
  <c r="DT8" i="31"/>
  <c r="DT9" i="31"/>
  <c r="DT10" i="31"/>
  <c r="DT11" i="31"/>
  <c r="DT12" i="31"/>
  <c r="DT13" i="31"/>
  <c r="DT14" i="31"/>
  <c r="DT15" i="31"/>
  <c r="DT16" i="31"/>
  <c r="DT17" i="31"/>
  <c r="DT18" i="31"/>
  <c r="DT19" i="31"/>
  <c r="DT20" i="31"/>
  <c r="DT21" i="31"/>
  <c r="DT22" i="31"/>
  <c r="DT23" i="31"/>
  <c r="DT24" i="31"/>
  <c r="DT26" i="31"/>
  <c r="DT27" i="31"/>
  <c r="DT28" i="31"/>
  <c r="DT29" i="31"/>
  <c r="DT30" i="31"/>
  <c r="DT31" i="31"/>
  <c r="DT32" i="31"/>
  <c r="DT33" i="31"/>
  <c r="DT34" i="31"/>
  <c r="DT35" i="31"/>
  <c r="DT36" i="31"/>
  <c r="DT37" i="31"/>
  <c r="DT38" i="31"/>
  <c r="DT39" i="31"/>
  <c r="DT41" i="31"/>
  <c r="DT42" i="31"/>
  <c r="DT43" i="31"/>
  <c r="DT44" i="31"/>
  <c r="DT45" i="31"/>
  <c r="DT46" i="31"/>
  <c r="DT47" i="31"/>
  <c r="DT48" i="31"/>
  <c r="DT49" i="31"/>
  <c r="DT50" i="31"/>
  <c r="DT51" i="31"/>
  <c r="DT52" i="31"/>
  <c r="DT53" i="31"/>
  <c r="DT55" i="31"/>
  <c r="DT56" i="31"/>
  <c r="DT57" i="31"/>
  <c r="DT58" i="31"/>
  <c r="DT59" i="31"/>
  <c r="DT60" i="31"/>
  <c r="DT61" i="31"/>
  <c r="DT62" i="31"/>
  <c r="DT63" i="31"/>
  <c r="DT64" i="31"/>
  <c r="DT65" i="31"/>
  <c r="DZ38" i="19"/>
  <c r="EA38" i="19"/>
  <c r="EB38" i="19"/>
  <c r="EC38" i="19"/>
  <c r="DZ23" i="19"/>
  <c r="EA23" i="19"/>
  <c r="EB23" i="19"/>
  <c r="EC23" i="19"/>
  <c r="EC5" i="19"/>
  <c r="EB5" i="19"/>
  <c r="EA5" i="19"/>
  <c r="DR59" i="31"/>
  <c r="DR58" i="31"/>
  <c r="DR49" i="31"/>
  <c r="DR48" i="31"/>
  <c r="DR39" i="31"/>
  <c r="DR38" i="31"/>
  <c r="DR31" i="31"/>
  <c r="DR30" i="31"/>
  <c r="DR21" i="31"/>
  <c r="DR13" i="31"/>
  <c r="DZ5" i="19"/>
  <c r="ZZ53" i="9"/>
  <c r="AAA53" i="9"/>
  <c r="DR54" i="31" s="1"/>
  <c r="AAB53" i="9"/>
  <c r="DT54" i="31" s="1"/>
  <c r="AAC53" i="9"/>
  <c r="DV54" i="31" s="1"/>
  <c r="AAD53" i="9"/>
  <c r="DX54" i="31" s="1"/>
  <c r="ZZ39" i="9"/>
  <c r="AAA39" i="9"/>
  <c r="DR40" i="31" s="1"/>
  <c r="AAB39" i="9"/>
  <c r="DT40" i="31" s="1"/>
  <c r="AAC39" i="9"/>
  <c r="DV40" i="31" s="1"/>
  <c r="AAD39" i="9"/>
  <c r="DX40" i="31" s="1"/>
  <c r="ZZ24" i="9"/>
  <c r="AAA24" i="9"/>
  <c r="DR25" i="31" s="1"/>
  <c r="AAB24" i="9"/>
  <c r="DT25" i="31" s="1"/>
  <c r="AAC24" i="9"/>
  <c r="DV25" i="31" s="1"/>
  <c r="AAD24" i="9"/>
  <c r="DX25" i="31" s="1"/>
  <c r="DR8" i="31"/>
  <c r="DR9" i="31"/>
  <c r="DR10" i="31"/>
  <c r="DR11" i="31"/>
  <c r="DR12" i="31"/>
  <c r="DR14" i="31"/>
  <c r="DR15" i="31"/>
  <c r="DR16" i="31"/>
  <c r="DR17" i="31"/>
  <c r="DR18" i="31"/>
  <c r="DR19" i="31"/>
  <c r="DR20" i="31"/>
  <c r="DR22" i="31"/>
  <c r="DR23" i="31"/>
  <c r="DR24" i="31"/>
  <c r="DR26" i="31"/>
  <c r="DR27" i="31"/>
  <c r="DR28" i="31"/>
  <c r="DR29" i="31"/>
  <c r="DR32" i="31"/>
  <c r="DR33" i="31"/>
  <c r="DR34" i="31"/>
  <c r="DR35" i="31"/>
  <c r="DR36" i="31"/>
  <c r="DR37" i="31"/>
  <c r="DR41" i="31"/>
  <c r="DR42" i="31"/>
  <c r="DR43" i="31"/>
  <c r="DR44" i="31"/>
  <c r="DR45" i="31"/>
  <c r="DR46" i="31"/>
  <c r="DR47" i="31"/>
  <c r="DR50" i="31"/>
  <c r="DR51" i="31"/>
  <c r="DR52" i="31"/>
  <c r="DR53" i="31"/>
  <c r="DR55" i="31"/>
  <c r="DR56" i="31"/>
  <c r="DR57" i="31"/>
  <c r="DR60" i="31"/>
  <c r="DR61" i="31"/>
  <c r="DR62" i="31"/>
  <c r="DR63" i="31"/>
  <c r="DR64" i="31"/>
  <c r="DR65" i="31"/>
  <c r="HV5" i="9" l="1"/>
  <c r="HW5" i="9"/>
  <c r="HX5" i="9"/>
  <c r="ZZ6" i="9" l="1"/>
  <c r="ZZ5" i="9" s="1"/>
  <c r="AAA6" i="9"/>
  <c r="AAB6" i="9"/>
  <c r="AAC6" i="9"/>
  <c r="AAD6" i="9"/>
  <c r="DX7" i="31" s="1"/>
  <c r="DP8" i="31"/>
  <c r="DP9" i="31"/>
  <c r="DP10" i="31"/>
  <c r="DP11" i="31"/>
  <c r="DP12" i="31"/>
  <c r="DP13" i="31"/>
  <c r="DP14" i="31"/>
  <c r="DP15" i="31"/>
  <c r="DP16" i="31"/>
  <c r="DP17" i="31"/>
  <c r="DP18" i="31"/>
  <c r="DP19" i="31"/>
  <c r="DP20" i="31"/>
  <c r="DP21" i="31"/>
  <c r="DP22" i="31"/>
  <c r="DP23" i="31"/>
  <c r="DP24" i="31"/>
  <c r="DP25" i="31"/>
  <c r="DP26" i="31"/>
  <c r="DP27" i="31"/>
  <c r="DP28" i="31"/>
  <c r="DP29" i="31"/>
  <c r="DP30" i="31"/>
  <c r="DP31" i="31"/>
  <c r="DP32" i="31"/>
  <c r="DP33" i="31"/>
  <c r="DP34" i="31"/>
  <c r="DP35" i="31"/>
  <c r="DP36" i="31"/>
  <c r="DP37" i="31"/>
  <c r="DP38" i="31"/>
  <c r="DP39" i="31"/>
  <c r="DP40" i="31"/>
  <c r="DP41" i="31"/>
  <c r="DP42" i="31"/>
  <c r="DP43" i="31"/>
  <c r="DP44" i="31"/>
  <c r="DP45" i="31"/>
  <c r="DP46" i="31"/>
  <c r="DP47" i="31"/>
  <c r="DP48" i="31"/>
  <c r="DP49" i="31"/>
  <c r="DP50" i="31"/>
  <c r="DP51" i="31"/>
  <c r="DP52" i="31"/>
  <c r="DP53" i="31"/>
  <c r="DP54" i="31"/>
  <c r="DP55" i="31"/>
  <c r="DP56" i="31"/>
  <c r="DP57" i="31"/>
  <c r="DP58" i="31"/>
  <c r="DP59" i="31"/>
  <c r="DP60" i="31"/>
  <c r="DP61" i="31"/>
  <c r="DP62" i="31"/>
  <c r="DP63" i="31"/>
  <c r="DP64" i="31"/>
  <c r="DP65" i="31"/>
  <c r="DY4" i="19"/>
  <c r="CZ6" i="31" s="1"/>
  <c r="EC4" i="19"/>
  <c r="EB4" i="19"/>
  <c r="DY8" i="31"/>
  <c r="DY9" i="31"/>
  <c r="DY10" i="31"/>
  <c r="DY11" i="31"/>
  <c r="DY12" i="31"/>
  <c r="DY13" i="31"/>
  <c r="DY14" i="31"/>
  <c r="DY15" i="31"/>
  <c r="DY16" i="31"/>
  <c r="DY17" i="31"/>
  <c r="DY18" i="31"/>
  <c r="DY19" i="31"/>
  <c r="DY20" i="31"/>
  <c r="DY21" i="31"/>
  <c r="DY22" i="31"/>
  <c r="DY23" i="31"/>
  <c r="DY24" i="31"/>
  <c r="DY26" i="31"/>
  <c r="DY27" i="31"/>
  <c r="DY28" i="31"/>
  <c r="DY29" i="31"/>
  <c r="DY30" i="31"/>
  <c r="DY31" i="31"/>
  <c r="DY32" i="31"/>
  <c r="DY33" i="31"/>
  <c r="DY34" i="31"/>
  <c r="DY35" i="31"/>
  <c r="DY36" i="31"/>
  <c r="DY37" i="31"/>
  <c r="DY38" i="31"/>
  <c r="DY39" i="31"/>
  <c r="DY41" i="31"/>
  <c r="DY42" i="31"/>
  <c r="DY43" i="31"/>
  <c r="DY44" i="31"/>
  <c r="DY45" i="31"/>
  <c r="DY46" i="31"/>
  <c r="DY47" i="31"/>
  <c r="DY48" i="31"/>
  <c r="DY49" i="31"/>
  <c r="DY50" i="31"/>
  <c r="DY51" i="31"/>
  <c r="DY52" i="31"/>
  <c r="DY53" i="31"/>
  <c r="DY55" i="31"/>
  <c r="DY56" i="31"/>
  <c r="DY57" i="31"/>
  <c r="DY58" i="31"/>
  <c r="DY59" i="31"/>
  <c r="DY60" i="31"/>
  <c r="DY61" i="31"/>
  <c r="DY62" i="31"/>
  <c r="DY63" i="31"/>
  <c r="DY64" i="31"/>
  <c r="DY65" i="31"/>
  <c r="DW8" i="31"/>
  <c r="DW9" i="31"/>
  <c r="DW10" i="31"/>
  <c r="DW11" i="31"/>
  <c r="DW12" i="31"/>
  <c r="DW13" i="31"/>
  <c r="DW14" i="31"/>
  <c r="DW15" i="31"/>
  <c r="DW16" i="31"/>
  <c r="DW17" i="31"/>
  <c r="DW18" i="31"/>
  <c r="DW19" i="31"/>
  <c r="DW20" i="31"/>
  <c r="DW21" i="31"/>
  <c r="DW22" i="31"/>
  <c r="DW23" i="31"/>
  <c r="DW24" i="31"/>
  <c r="DW26" i="31"/>
  <c r="DW27" i="31"/>
  <c r="DW28" i="31"/>
  <c r="DW29" i="31"/>
  <c r="DW30" i="31"/>
  <c r="DW31" i="31"/>
  <c r="DW32" i="31"/>
  <c r="DW33" i="31"/>
  <c r="DW34" i="31"/>
  <c r="DW35" i="31"/>
  <c r="DW36" i="31"/>
  <c r="DW37" i="31"/>
  <c r="DW38" i="31"/>
  <c r="DW39" i="31"/>
  <c r="DW41" i="31"/>
  <c r="DW42" i="31"/>
  <c r="DW43" i="31"/>
  <c r="DW44" i="31"/>
  <c r="DW45" i="31"/>
  <c r="DW46" i="31"/>
  <c r="DW47" i="31"/>
  <c r="DW48" i="31"/>
  <c r="DW49" i="31"/>
  <c r="DW50" i="31"/>
  <c r="DW51" i="31"/>
  <c r="DW52" i="31"/>
  <c r="DW53" i="31"/>
  <c r="DW55" i="31"/>
  <c r="DW56" i="31"/>
  <c r="DW57" i="31"/>
  <c r="DW58" i="31"/>
  <c r="DW59" i="31"/>
  <c r="DW60" i="31"/>
  <c r="DW61" i="31"/>
  <c r="DW62" i="31"/>
  <c r="DW63" i="31"/>
  <c r="DW64" i="31"/>
  <c r="DW65" i="31"/>
  <c r="DU8" i="31"/>
  <c r="DU9" i="31"/>
  <c r="DU10" i="31"/>
  <c r="DU11" i="31"/>
  <c r="DU12" i="31"/>
  <c r="DU13" i="31"/>
  <c r="DU14" i="31"/>
  <c r="DU15" i="31"/>
  <c r="DU16" i="31"/>
  <c r="DU17" i="31"/>
  <c r="DU18" i="31"/>
  <c r="DU19" i="31"/>
  <c r="DU20" i="31"/>
  <c r="DU21" i="31"/>
  <c r="DU22" i="31"/>
  <c r="DU23" i="31"/>
  <c r="DU24" i="31"/>
  <c r="DU26" i="31"/>
  <c r="DU27" i="31"/>
  <c r="DU28" i="31"/>
  <c r="DU29" i="31"/>
  <c r="DU30" i="31"/>
  <c r="DU31" i="31"/>
  <c r="DU32" i="31"/>
  <c r="DU33" i="31"/>
  <c r="DU34" i="31"/>
  <c r="DU35" i="31"/>
  <c r="DU36" i="31"/>
  <c r="DU37" i="31"/>
  <c r="DU38" i="31"/>
  <c r="DU39" i="31"/>
  <c r="DU41" i="31"/>
  <c r="DU42" i="31"/>
  <c r="DU43" i="31"/>
  <c r="DU44" i="31"/>
  <c r="DU45" i="31"/>
  <c r="DU46" i="31"/>
  <c r="DU47" i="31"/>
  <c r="DU48" i="31"/>
  <c r="DU49" i="31"/>
  <c r="DU50" i="31"/>
  <c r="DU51" i="31"/>
  <c r="DU52" i="31"/>
  <c r="DU53" i="31"/>
  <c r="DU55" i="31"/>
  <c r="DU56" i="31"/>
  <c r="DU57" i="31"/>
  <c r="DU58" i="31"/>
  <c r="DU59" i="31"/>
  <c r="DU60" i="31"/>
  <c r="DU61" i="31"/>
  <c r="DU62" i="31"/>
  <c r="DU63" i="31"/>
  <c r="DU64" i="31"/>
  <c r="DU65" i="31"/>
  <c r="DS8" i="31"/>
  <c r="DS9" i="31"/>
  <c r="DS10" i="31"/>
  <c r="DS11" i="31"/>
  <c r="DS12" i="31"/>
  <c r="DS13" i="31"/>
  <c r="DS14" i="31"/>
  <c r="DS15" i="31"/>
  <c r="DS16" i="31"/>
  <c r="DS17" i="31"/>
  <c r="DS18" i="31"/>
  <c r="DS19" i="31"/>
  <c r="DS20" i="31"/>
  <c r="DS21" i="31"/>
  <c r="DS22" i="31"/>
  <c r="DS23" i="31"/>
  <c r="DS24" i="31"/>
  <c r="DS26" i="31"/>
  <c r="DS27" i="31"/>
  <c r="DS28" i="31"/>
  <c r="DS29" i="31"/>
  <c r="DS30" i="31"/>
  <c r="DS31" i="31"/>
  <c r="DS32" i="31"/>
  <c r="DS33" i="31"/>
  <c r="DS34" i="31"/>
  <c r="DS35" i="31"/>
  <c r="DS36" i="31"/>
  <c r="DS37" i="31"/>
  <c r="DS38" i="31"/>
  <c r="DS39" i="31"/>
  <c r="DS41" i="31"/>
  <c r="DS42" i="31"/>
  <c r="DS43" i="31"/>
  <c r="DS44" i="31"/>
  <c r="DS45" i="31"/>
  <c r="DS46" i="31"/>
  <c r="DS47" i="31"/>
  <c r="DS48" i="31"/>
  <c r="DS49" i="31"/>
  <c r="DS50" i="31"/>
  <c r="DS51" i="31"/>
  <c r="DS52" i="31"/>
  <c r="DS53" i="31"/>
  <c r="DS55" i="31"/>
  <c r="DS56" i="31"/>
  <c r="DS57" i="31"/>
  <c r="DS58" i="31"/>
  <c r="DS59" i="31"/>
  <c r="DS60" i="31"/>
  <c r="DS61" i="31"/>
  <c r="DS62" i="31"/>
  <c r="DS63" i="31"/>
  <c r="DS64" i="31"/>
  <c r="DS65" i="31"/>
  <c r="EY52" i="19"/>
  <c r="EY38" i="19"/>
  <c r="EY23" i="19"/>
  <c r="EY5" i="19"/>
  <c r="DQ8" i="31"/>
  <c r="DQ9" i="31"/>
  <c r="DQ10" i="31"/>
  <c r="DQ11" i="31"/>
  <c r="DQ12" i="31"/>
  <c r="DQ13" i="31"/>
  <c r="DQ14" i="31"/>
  <c r="DQ15" i="31"/>
  <c r="DQ16" i="31"/>
  <c r="DQ17" i="31"/>
  <c r="DQ18" i="31"/>
  <c r="DQ19" i="31"/>
  <c r="DQ20" i="31"/>
  <c r="DQ21" i="31"/>
  <c r="DQ22" i="31"/>
  <c r="DQ23" i="31"/>
  <c r="DQ24" i="31"/>
  <c r="DQ26" i="31"/>
  <c r="DQ27" i="31"/>
  <c r="DQ28" i="31"/>
  <c r="DQ29" i="31"/>
  <c r="DQ30" i="31"/>
  <c r="DQ31" i="31"/>
  <c r="DQ32" i="31"/>
  <c r="DQ33" i="31"/>
  <c r="DQ34" i="31"/>
  <c r="DQ35" i="31"/>
  <c r="DQ36" i="31"/>
  <c r="DQ37" i="31"/>
  <c r="DQ38" i="31"/>
  <c r="DQ39" i="31"/>
  <c r="DQ41" i="31"/>
  <c r="DQ42" i="31"/>
  <c r="DQ43" i="31"/>
  <c r="DQ44" i="31"/>
  <c r="DQ45" i="31"/>
  <c r="DQ46" i="31"/>
  <c r="DQ47" i="31"/>
  <c r="DQ48" i="31"/>
  <c r="DQ49" i="31"/>
  <c r="DQ50" i="31"/>
  <c r="DQ51" i="31"/>
  <c r="DQ52" i="31"/>
  <c r="DQ53" i="31"/>
  <c r="DQ55" i="31"/>
  <c r="DQ56" i="31"/>
  <c r="DQ57" i="31"/>
  <c r="DQ58" i="31"/>
  <c r="DQ59" i="31"/>
  <c r="DQ60" i="31"/>
  <c r="DQ61" i="31"/>
  <c r="DQ62" i="31"/>
  <c r="DQ63" i="31"/>
  <c r="DQ64" i="31"/>
  <c r="DQ65" i="31"/>
  <c r="AZ53" i="9"/>
  <c r="BA53" i="9"/>
  <c r="BB53" i="9"/>
  <c r="BC53" i="9"/>
  <c r="BD53" i="9"/>
  <c r="AZ39" i="9"/>
  <c r="BA39" i="9"/>
  <c r="BB39" i="9"/>
  <c r="BC39" i="9"/>
  <c r="BD39" i="9"/>
  <c r="AZ24" i="9"/>
  <c r="BA24" i="9"/>
  <c r="BB24" i="9"/>
  <c r="BC24" i="9"/>
  <c r="BD24" i="9"/>
  <c r="AZ6" i="9"/>
  <c r="BA6" i="9"/>
  <c r="BB6" i="9"/>
  <c r="BC6" i="9"/>
  <c r="BD6" i="9"/>
  <c r="IX53" i="9"/>
  <c r="IX39" i="9"/>
  <c r="IX24" i="9"/>
  <c r="IX6" i="9"/>
  <c r="IT53" i="9"/>
  <c r="IU53" i="9"/>
  <c r="IV53" i="9"/>
  <c r="IW53" i="9"/>
  <c r="IT39" i="9"/>
  <c r="IU39" i="9"/>
  <c r="IV39" i="9"/>
  <c r="IW39" i="9"/>
  <c r="IT24" i="9"/>
  <c r="IU24" i="9"/>
  <c r="IV24" i="9"/>
  <c r="IW24" i="9"/>
  <c r="IT6" i="9"/>
  <c r="IU6" i="9"/>
  <c r="IV6" i="9"/>
  <c r="IW6" i="9"/>
  <c r="LQ53" i="9"/>
  <c r="LQ39" i="9"/>
  <c r="LQ24" i="9"/>
  <c r="LV6" i="9"/>
  <c r="LW6" i="9"/>
  <c r="LX6" i="9"/>
  <c r="LY6" i="9"/>
  <c r="LZ6" i="9"/>
  <c r="UM53" i="9"/>
  <c r="UN53" i="9"/>
  <c r="UO53" i="9"/>
  <c r="UP53" i="9"/>
  <c r="UQ53" i="9"/>
  <c r="UM39" i="9"/>
  <c r="UN39" i="9"/>
  <c r="UO39" i="9"/>
  <c r="UP39" i="9"/>
  <c r="UQ39" i="9"/>
  <c r="UM24" i="9"/>
  <c r="UN24" i="9"/>
  <c r="UO24" i="9"/>
  <c r="UP24" i="9"/>
  <c r="UQ24" i="9"/>
  <c r="UM6" i="9"/>
  <c r="UN6" i="9"/>
  <c r="UO6" i="9"/>
  <c r="UP6" i="9"/>
  <c r="UQ6" i="9"/>
  <c r="AAY53" i="9"/>
  <c r="AAZ53" i="9"/>
  <c r="ABA53" i="9"/>
  <c r="ABB53" i="9"/>
  <c r="ABC53" i="9"/>
  <c r="AAY39" i="9"/>
  <c r="AAZ39" i="9"/>
  <c r="ABA39" i="9"/>
  <c r="ABB39" i="9"/>
  <c r="ABC39" i="9"/>
  <c r="AAY24" i="9"/>
  <c r="AAZ24" i="9"/>
  <c r="ABA24" i="9"/>
  <c r="ABB24" i="9"/>
  <c r="ABC24" i="9"/>
  <c r="AAY6" i="9"/>
  <c r="AAZ6" i="9"/>
  <c r="ABA6" i="9"/>
  <c r="ABB6" i="9"/>
  <c r="ABC6" i="9"/>
  <c r="ADV53" i="9"/>
  <c r="ADW53" i="9"/>
  <c r="ADX53" i="9"/>
  <c r="ADY53" i="9"/>
  <c r="ADZ53" i="9"/>
  <c r="ADV39" i="9"/>
  <c r="ADW39" i="9"/>
  <c r="ADX39" i="9"/>
  <c r="ADY39" i="9"/>
  <c r="ADZ39" i="9"/>
  <c r="ADV24" i="9"/>
  <c r="ADW24" i="9"/>
  <c r="ADX24" i="9"/>
  <c r="ADY24" i="9"/>
  <c r="ADZ24" i="9"/>
  <c r="ADV6" i="9"/>
  <c r="ADW6" i="9"/>
  <c r="ADX6" i="9"/>
  <c r="ADY6" i="9"/>
  <c r="ADZ6" i="9"/>
  <c r="RP53" i="9"/>
  <c r="RQ53" i="9"/>
  <c r="RR53" i="9"/>
  <c r="RS53" i="9"/>
  <c r="RT53" i="9"/>
  <c r="RP39" i="9"/>
  <c r="RQ39" i="9"/>
  <c r="RR39" i="9"/>
  <c r="RS39" i="9"/>
  <c r="RT39" i="9"/>
  <c r="RP24" i="9"/>
  <c r="RQ24" i="9"/>
  <c r="RR24" i="9"/>
  <c r="RS24" i="9"/>
  <c r="RT24" i="9"/>
  <c r="RP6" i="9"/>
  <c r="RQ6" i="9"/>
  <c r="RR6" i="9"/>
  <c r="RS6" i="9"/>
  <c r="RT6" i="9"/>
  <c r="OS53" i="9"/>
  <c r="OT53" i="9"/>
  <c r="OU53" i="9"/>
  <c r="OV53" i="9"/>
  <c r="OS39" i="9"/>
  <c r="OT39" i="9"/>
  <c r="OU39" i="9"/>
  <c r="OV39" i="9"/>
  <c r="OS24" i="9"/>
  <c r="OT24" i="9"/>
  <c r="OU24" i="9"/>
  <c r="OV24" i="9"/>
  <c r="OS6" i="9"/>
  <c r="OT6" i="9"/>
  <c r="OU6" i="9"/>
  <c r="OV6" i="9"/>
  <c r="ET53" i="9"/>
  <c r="EU53" i="9"/>
  <c r="EV53" i="9"/>
  <c r="EW53" i="9"/>
  <c r="ET39" i="9"/>
  <c r="EU39" i="9"/>
  <c r="EV39" i="9"/>
  <c r="EW39" i="9"/>
  <c r="ET24" i="9"/>
  <c r="EU24" i="9"/>
  <c r="EV24" i="9"/>
  <c r="EW24" i="9"/>
  <c r="ET6" i="9"/>
  <c r="EU6" i="9"/>
  <c r="EV6" i="9"/>
  <c r="EW6" i="9"/>
  <c r="EX6" i="9"/>
  <c r="AAC5" i="9" l="1"/>
  <c r="DV6" i="31" s="1"/>
  <c r="DV7" i="31"/>
  <c r="AAB5" i="9"/>
  <c r="DT6" i="31" s="1"/>
  <c r="DT7" i="31"/>
  <c r="BB5" i="9"/>
  <c r="DS7" i="31"/>
  <c r="AAA5" i="9"/>
  <c r="DR7" i="31"/>
  <c r="DS25" i="31"/>
  <c r="AAD5" i="9"/>
  <c r="DX6" i="31" s="1"/>
  <c r="DS54" i="31"/>
  <c r="DP6" i="31"/>
  <c r="DP7" i="31"/>
  <c r="EA4" i="19"/>
  <c r="DZ4" i="19"/>
  <c r="DR6" i="31" s="1"/>
  <c r="EY4" i="19"/>
  <c r="DS6" i="31" s="1"/>
  <c r="DS40" i="31"/>
  <c r="ADX5" i="9"/>
  <c r="LV5" i="9"/>
  <c r="RS5" i="9"/>
  <c r="BC5" i="9"/>
  <c r="RR5" i="9"/>
  <c r="EU5" i="9"/>
  <c r="ABA5" i="9"/>
  <c r="ABC5" i="9"/>
  <c r="IU5" i="9"/>
  <c r="ABB5" i="9"/>
  <c r="UQ5" i="9"/>
  <c r="AZ5" i="9"/>
  <c r="BD5" i="9"/>
  <c r="BA5" i="9"/>
  <c r="IT5" i="9"/>
  <c r="IW5" i="9"/>
  <c r="IX5" i="9"/>
  <c r="IV5" i="9"/>
  <c r="LW5" i="9"/>
  <c r="LX5" i="9"/>
  <c r="LY5" i="9"/>
  <c r="LZ5" i="9"/>
  <c r="UO5" i="9"/>
  <c r="UP5" i="9"/>
  <c r="UN5" i="9"/>
  <c r="UM5" i="9"/>
  <c r="AAZ5" i="9"/>
  <c r="AAY5" i="9"/>
  <c r="ADW5" i="9"/>
  <c r="ADV5" i="9"/>
  <c r="ADZ5" i="9"/>
  <c r="ADY5" i="9"/>
  <c r="RQ5" i="9"/>
  <c r="RP5" i="9"/>
  <c r="RT5" i="9"/>
  <c r="OW5" i="9"/>
  <c r="OV5" i="9"/>
  <c r="OT5" i="9"/>
  <c r="OU5" i="9"/>
  <c r="OS5" i="9"/>
  <c r="EV5" i="9"/>
  <c r="EW5" i="9"/>
  <c r="ET5" i="9"/>
  <c r="EX5" i="9"/>
  <c r="FA52" i="19" l="1"/>
  <c r="DW54" i="31" s="1"/>
  <c r="FB52" i="19"/>
  <c r="DY54" i="31" s="1"/>
  <c r="FA38" i="19"/>
  <c r="DW40" i="31" s="1"/>
  <c r="FB38" i="19"/>
  <c r="DY40" i="31" s="1"/>
  <c r="FA23" i="19"/>
  <c r="DW25" i="31" s="1"/>
  <c r="FB23" i="19"/>
  <c r="DY25" i="31" s="1"/>
  <c r="FA5" i="19"/>
  <c r="DW7" i="31" s="1"/>
  <c r="FB5" i="19"/>
  <c r="DY7" i="31" s="1"/>
  <c r="EZ52" i="19"/>
  <c r="DU54" i="31" s="1"/>
  <c r="EZ38" i="19"/>
  <c r="DU40" i="31" s="1"/>
  <c r="EZ23" i="19"/>
  <c r="DU25" i="31" s="1"/>
  <c r="EZ5" i="19"/>
  <c r="DU7" i="31" s="1"/>
  <c r="EX52" i="19"/>
  <c r="DQ54" i="31" s="1"/>
  <c r="EX38" i="19"/>
  <c r="DQ40" i="31" s="1"/>
  <c r="EX23" i="19"/>
  <c r="DQ25" i="31" s="1"/>
  <c r="EX5" i="19"/>
  <c r="DQ7" i="31" s="1"/>
  <c r="FB4" i="19" l="1"/>
  <c r="DY6" i="31" s="1"/>
  <c r="FA4" i="19"/>
  <c r="DW6" i="31" s="1"/>
  <c r="EZ4" i="19"/>
  <c r="DU6" i="31" s="1"/>
  <c r="EX4" i="19"/>
  <c r="DQ6" i="31" s="1"/>
  <c r="CT8" i="31" l="1"/>
  <c r="CU8" i="31"/>
  <c r="CW8" i="31"/>
  <c r="CX8" i="31"/>
  <c r="CY8" i="31"/>
  <c r="DJ8" i="31"/>
  <c r="DK8" i="31"/>
  <c r="DL8" i="31"/>
  <c r="DM8" i="31"/>
  <c r="DN8" i="31"/>
  <c r="DO8" i="31"/>
  <c r="CT9" i="31"/>
  <c r="CU9" i="31"/>
  <c r="C10" i="10" s="1"/>
  <c r="CW9" i="31"/>
  <c r="CX9" i="31"/>
  <c r="CY9" i="31"/>
  <c r="E10" i="10" s="1"/>
  <c r="DJ9" i="31"/>
  <c r="DK9" i="31"/>
  <c r="K10" i="10" s="1"/>
  <c r="DL9" i="31"/>
  <c r="DM9" i="31"/>
  <c r="L10" i="10" s="1"/>
  <c r="DN9" i="31"/>
  <c r="DO9" i="31"/>
  <c r="CT10" i="31"/>
  <c r="CU10" i="31"/>
  <c r="C11" i="10" s="1"/>
  <c r="CW10" i="31"/>
  <c r="D11" i="10" s="1"/>
  <c r="CX10" i="31"/>
  <c r="CY10" i="31"/>
  <c r="E11" i="10" s="1"/>
  <c r="DJ10" i="31"/>
  <c r="DK10" i="31"/>
  <c r="DL10" i="31"/>
  <c r="DM10" i="31"/>
  <c r="L11" i="10" s="1"/>
  <c r="DN10" i="31"/>
  <c r="DO10" i="31"/>
  <c r="CT11" i="31"/>
  <c r="CU11" i="31"/>
  <c r="C12" i="10" s="1"/>
  <c r="CW11" i="31"/>
  <c r="CX11" i="31"/>
  <c r="CY11" i="31"/>
  <c r="DJ11" i="31"/>
  <c r="DK11" i="31"/>
  <c r="K12" i="10" s="1"/>
  <c r="DL11" i="31"/>
  <c r="DM11" i="31"/>
  <c r="L12" i="10" s="1"/>
  <c r="DN11" i="31"/>
  <c r="DO11" i="31"/>
  <c r="CT12" i="31"/>
  <c r="CU12" i="31"/>
  <c r="C13" i="10" s="1"/>
  <c r="CW12" i="31"/>
  <c r="CX12" i="31"/>
  <c r="CY12" i="31"/>
  <c r="E13" i="10" s="1"/>
  <c r="DJ12" i="31"/>
  <c r="DK12" i="31"/>
  <c r="DL12" i="31"/>
  <c r="DM12" i="31"/>
  <c r="L13" i="10" s="1"/>
  <c r="DN12" i="31"/>
  <c r="DO12" i="31"/>
  <c r="M13" i="10" s="1"/>
  <c r="CT13" i="31"/>
  <c r="CU13" i="31"/>
  <c r="C14" i="10" s="1"/>
  <c r="CW13" i="31"/>
  <c r="CX13" i="31"/>
  <c r="CY13" i="31"/>
  <c r="E14" i="10" s="1"/>
  <c r="DJ13" i="31"/>
  <c r="DK13" i="31"/>
  <c r="K14" i="10" s="1"/>
  <c r="DL13" i="31"/>
  <c r="DM13" i="31"/>
  <c r="L14" i="10" s="1"/>
  <c r="DN13" i="31"/>
  <c r="DO13" i="31"/>
  <c r="CT14" i="31"/>
  <c r="CU14" i="31"/>
  <c r="C15" i="10" s="1"/>
  <c r="CW14" i="31"/>
  <c r="D15" i="10" s="1"/>
  <c r="CX14" i="31"/>
  <c r="CY14" i="31"/>
  <c r="E15" i="10" s="1"/>
  <c r="DJ14" i="31"/>
  <c r="DK14" i="31"/>
  <c r="DL14" i="31"/>
  <c r="DM14" i="31"/>
  <c r="DN14" i="31"/>
  <c r="DO14" i="31"/>
  <c r="CT15" i="31"/>
  <c r="CU15" i="31"/>
  <c r="C16" i="10" s="1"/>
  <c r="CW15" i="31"/>
  <c r="CX15" i="31"/>
  <c r="CY15" i="31"/>
  <c r="DJ15" i="31"/>
  <c r="DK15" i="31"/>
  <c r="K16" i="10" s="1"/>
  <c r="DL15" i="31"/>
  <c r="DM15" i="31"/>
  <c r="L16" i="10" s="1"/>
  <c r="DN15" i="31"/>
  <c r="DO15" i="31"/>
  <c r="CT16" i="31"/>
  <c r="CU16" i="31"/>
  <c r="CW16" i="31"/>
  <c r="CX16" i="31"/>
  <c r="CY16" i="31"/>
  <c r="E17" i="10" s="1"/>
  <c r="DJ16" i="31"/>
  <c r="DK16" i="31"/>
  <c r="DL16" i="31"/>
  <c r="DM16" i="31"/>
  <c r="L17" i="10" s="1"/>
  <c r="DN16" i="31"/>
  <c r="DO16" i="31"/>
  <c r="M17" i="10" s="1"/>
  <c r="CT17" i="31"/>
  <c r="CU17" i="31"/>
  <c r="C18" i="10" s="1"/>
  <c r="CW17" i="31"/>
  <c r="D18" i="10" s="1"/>
  <c r="CX17" i="31"/>
  <c r="CY17" i="31"/>
  <c r="E18" i="10" s="1"/>
  <c r="DJ17" i="31"/>
  <c r="DK17" i="31"/>
  <c r="DL17" i="31"/>
  <c r="DM17" i="31"/>
  <c r="L18" i="10" s="1"/>
  <c r="DN17" i="31"/>
  <c r="DO17" i="31"/>
  <c r="CT18" i="31"/>
  <c r="CU18" i="31"/>
  <c r="C19" i="10" s="1"/>
  <c r="CW18" i="31"/>
  <c r="D19" i="10" s="1"/>
  <c r="CX18" i="31"/>
  <c r="CY18" i="31"/>
  <c r="E19" i="10" s="1"/>
  <c r="DJ18" i="31"/>
  <c r="DK18" i="31"/>
  <c r="DL18" i="31"/>
  <c r="DM18" i="31"/>
  <c r="L19" i="10" s="1"/>
  <c r="DN18" i="31"/>
  <c r="DO18" i="31"/>
  <c r="CT19" i="31"/>
  <c r="CU19" i="31"/>
  <c r="C20" i="10" s="1"/>
  <c r="CW19" i="31"/>
  <c r="CX19" i="31"/>
  <c r="CY19" i="31"/>
  <c r="DJ19" i="31"/>
  <c r="DK19" i="31"/>
  <c r="K20" i="10" s="1"/>
  <c r="DL19" i="31"/>
  <c r="DM19" i="31"/>
  <c r="L20" i="10" s="1"/>
  <c r="DN19" i="31"/>
  <c r="DO19" i="31"/>
  <c r="CT20" i="31"/>
  <c r="CU20" i="31"/>
  <c r="C21" i="10" s="1"/>
  <c r="CW20" i="31"/>
  <c r="D21" i="10" s="1"/>
  <c r="CX20" i="31"/>
  <c r="CY20" i="31"/>
  <c r="E21" i="10" s="1"/>
  <c r="DJ20" i="31"/>
  <c r="DK20" i="31"/>
  <c r="DL20" i="31"/>
  <c r="DM20" i="31"/>
  <c r="L21" i="10" s="1"/>
  <c r="DN20" i="31"/>
  <c r="DO20" i="31"/>
  <c r="M21" i="10" s="1"/>
  <c r="CT21" i="31"/>
  <c r="CU21" i="31"/>
  <c r="C22" i="10" s="1"/>
  <c r="CW21" i="31"/>
  <c r="D22" i="10" s="1"/>
  <c r="CX21" i="31"/>
  <c r="CY21" i="31"/>
  <c r="E22" i="10" s="1"/>
  <c r="DJ21" i="31"/>
  <c r="DK21" i="31"/>
  <c r="K22" i="10" s="1"/>
  <c r="DL21" i="31"/>
  <c r="DM21" i="31"/>
  <c r="L22" i="10" s="1"/>
  <c r="DN21" i="31"/>
  <c r="DO21" i="31"/>
  <c r="CT22" i="31"/>
  <c r="CU22" i="31"/>
  <c r="C23" i="10" s="1"/>
  <c r="CW22" i="31"/>
  <c r="CX22" i="31"/>
  <c r="CY22" i="31"/>
  <c r="E23" i="10" s="1"/>
  <c r="DJ22" i="31"/>
  <c r="DK22" i="31"/>
  <c r="DL22" i="31"/>
  <c r="DM22" i="31"/>
  <c r="L23" i="10" s="1"/>
  <c r="DN22" i="31"/>
  <c r="DO22" i="31"/>
  <c r="M23" i="10" s="1"/>
  <c r="CT23" i="31"/>
  <c r="CU23" i="31"/>
  <c r="C24" i="10" s="1"/>
  <c r="CW23" i="31"/>
  <c r="CX23" i="31"/>
  <c r="CY23" i="31"/>
  <c r="E24" i="10" s="1"/>
  <c r="DJ23" i="31"/>
  <c r="DK23" i="31"/>
  <c r="K24" i="10" s="1"/>
  <c r="DL23" i="31"/>
  <c r="DM23" i="31"/>
  <c r="L24" i="10" s="1"/>
  <c r="DN23" i="31"/>
  <c r="DO23" i="31"/>
  <c r="CT24" i="31"/>
  <c r="CU24" i="31"/>
  <c r="C25" i="10" s="1"/>
  <c r="CW24" i="31"/>
  <c r="CX24" i="31"/>
  <c r="CY24" i="31"/>
  <c r="E25" i="10" s="1"/>
  <c r="DJ24" i="31"/>
  <c r="DK24" i="31"/>
  <c r="DL24" i="31"/>
  <c r="DM24" i="31"/>
  <c r="L25" i="10" s="1"/>
  <c r="DN24" i="31"/>
  <c r="DO24" i="31"/>
  <c r="DJ26" i="31"/>
  <c r="DK26" i="31"/>
  <c r="DL26" i="31"/>
  <c r="DM26" i="31"/>
  <c r="DN26" i="31"/>
  <c r="DO26" i="31"/>
  <c r="CT27" i="31"/>
  <c r="CU27" i="31"/>
  <c r="C28" i="10" s="1"/>
  <c r="CW27" i="31"/>
  <c r="CX27" i="31"/>
  <c r="CY27" i="31"/>
  <c r="E28" i="10" s="1"/>
  <c r="DJ27" i="31"/>
  <c r="DK27" i="31"/>
  <c r="K28" i="10" s="1"/>
  <c r="DL27" i="31"/>
  <c r="DM27" i="31"/>
  <c r="L28" i="10" s="1"/>
  <c r="DN27" i="31"/>
  <c r="DO27" i="31"/>
  <c r="CT28" i="31"/>
  <c r="CU28" i="31"/>
  <c r="C29" i="10" s="1"/>
  <c r="CW28" i="31"/>
  <c r="CX28" i="31"/>
  <c r="CY28" i="31"/>
  <c r="DJ28" i="31"/>
  <c r="DK28" i="31"/>
  <c r="K29" i="10" s="1"/>
  <c r="DL28" i="31"/>
  <c r="DM28" i="31"/>
  <c r="L29" i="10" s="1"/>
  <c r="DN28" i="31"/>
  <c r="DO28" i="31"/>
  <c r="CT29" i="31"/>
  <c r="CU29" i="31"/>
  <c r="C30" i="10" s="1"/>
  <c r="CW29" i="31"/>
  <c r="D30" i="10" s="1"/>
  <c r="CX29" i="31"/>
  <c r="CY29" i="31"/>
  <c r="E30" i="10" s="1"/>
  <c r="DJ29" i="31"/>
  <c r="DK29" i="31"/>
  <c r="DL29" i="31"/>
  <c r="DM29" i="31"/>
  <c r="L30" i="10" s="1"/>
  <c r="DN29" i="31"/>
  <c r="DO29" i="31"/>
  <c r="CT30" i="31"/>
  <c r="CU30" i="31"/>
  <c r="C31" i="10" s="1"/>
  <c r="CW30" i="31"/>
  <c r="D31" i="10" s="1"/>
  <c r="CX30" i="31"/>
  <c r="CY30" i="31"/>
  <c r="E31" i="10" s="1"/>
  <c r="DJ30" i="31"/>
  <c r="DK30" i="31"/>
  <c r="DL30" i="31"/>
  <c r="DM30" i="31"/>
  <c r="L31" i="10" s="1"/>
  <c r="DN30" i="31"/>
  <c r="DO30" i="31"/>
  <c r="CT31" i="31"/>
  <c r="CU31" i="31"/>
  <c r="C32" i="10" s="1"/>
  <c r="CW31" i="31"/>
  <c r="CX31" i="31"/>
  <c r="CY31" i="31"/>
  <c r="E32" i="10" s="1"/>
  <c r="DJ31" i="31"/>
  <c r="DK31" i="31"/>
  <c r="K32" i="10" s="1"/>
  <c r="DL31" i="31"/>
  <c r="DM31" i="31"/>
  <c r="L32" i="10" s="1"/>
  <c r="DN31" i="31"/>
  <c r="DO31" i="31"/>
  <c r="CT32" i="31"/>
  <c r="CU32" i="31"/>
  <c r="C33" i="10" s="1"/>
  <c r="CW32" i="31"/>
  <c r="D33" i="10" s="1"/>
  <c r="CX32" i="31"/>
  <c r="CY32" i="31"/>
  <c r="E33" i="10" s="1"/>
  <c r="DJ32" i="31"/>
  <c r="DK32" i="31"/>
  <c r="K33" i="10" s="1"/>
  <c r="DL32" i="31"/>
  <c r="DM32" i="31"/>
  <c r="L33" i="10" s="1"/>
  <c r="DN32" i="31"/>
  <c r="DO32" i="31"/>
  <c r="CT33" i="31"/>
  <c r="CU33" i="31"/>
  <c r="C34" i="10" s="1"/>
  <c r="CW33" i="31"/>
  <c r="CX33" i="31"/>
  <c r="CY33" i="31"/>
  <c r="E34" i="10" s="1"/>
  <c r="DJ33" i="31"/>
  <c r="DK33" i="31"/>
  <c r="DL33" i="31"/>
  <c r="DM33" i="31"/>
  <c r="L34" i="10" s="1"/>
  <c r="DN33" i="31"/>
  <c r="DO33" i="31"/>
  <c r="CT34" i="31"/>
  <c r="CU34" i="31"/>
  <c r="C35" i="10" s="1"/>
  <c r="CW34" i="31"/>
  <c r="D35" i="10" s="1"/>
  <c r="CX34" i="31"/>
  <c r="CY34" i="31"/>
  <c r="E35" i="10" s="1"/>
  <c r="DJ34" i="31"/>
  <c r="DK34" i="31"/>
  <c r="DL34" i="31"/>
  <c r="DM34" i="31"/>
  <c r="L35" i="10" s="1"/>
  <c r="DN34" i="31"/>
  <c r="DO34" i="31"/>
  <c r="CT35" i="31"/>
  <c r="CU35" i="31"/>
  <c r="C36" i="10" s="1"/>
  <c r="CW35" i="31"/>
  <c r="CX35" i="31"/>
  <c r="CY35" i="31"/>
  <c r="E36" i="10" s="1"/>
  <c r="DJ35" i="31"/>
  <c r="DK35" i="31"/>
  <c r="K36" i="10" s="1"/>
  <c r="DL35" i="31"/>
  <c r="DM35" i="31"/>
  <c r="L36" i="10" s="1"/>
  <c r="DN35" i="31"/>
  <c r="DO35" i="31"/>
  <c r="CT36" i="31"/>
  <c r="CU36" i="31"/>
  <c r="C37" i="10" s="1"/>
  <c r="CW36" i="31"/>
  <c r="CX36" i="31"/>
  <c r="CY36" i="31"/>
  <c r="E37" i="10" s="1"/>
  <c r="DJ36" i="31"/>
  <c r="DK36" i="31"/>
  <c r="K37" i="10" s="1"/>
  <c r="DL36" i="31"/>
  <c r="DM36" i="31"/>
  <c r="L37" i="10" s="1"/>
  <c r="DN36" i="31"/>
  <c r="DO36" i="31"/>
  <c r="M37" i="10" s="1"/>
  <c r="CT37" i="31"/>
  <c r="CU37" i="31"/>
  <c r="C38" i="10" s="1"/>
  <c r="CW37" i="31"/>
  <c r="CX37" i="31"/>
  <c r="CY37" i="31"/>
  <c r="E38" i="10" s="1"/>
  <c r="DJ37" i="31"/>
  <c r="DK37" i="31"/>
  <c r="DL37" i="31"/>
  <c r="DM37" i="31"/>
  <c r="L38" i="10" s="1"/>
  <c r="DN37" i="31"/>
  <c r="DO37" i="31"/>
  <c r="CT38" i="31"/>
  <c r="CU38" i="31"/>
  <c r="C39" i="10" s="1"/>
  <c r="CW38" i="31"/>
  <c r="D39" i="10" s="1"/>
  <c r="CX38" i="31"/>
  <c r="CY38" i="31"/>
  <c r="E39" i="10" s="1"/>
  <c r="DJ38" i="31"/>
  <c r="DK38" i="31"/>
  <c r="K39" i="10" s="1"/>
  <c r="DL38" i="31"/>
  <c r="DM38" i="31"/>
  <c r="L39" i="10" s="1"/>
  <c r="DN38" i="31"/>
  <c r="DO38" i="31"/>
  <c r="CT39" i="31"/>
  <c r="CU39" i="31"/>
  <c r="C40" i="10" s="1"/>
  <c r="CW39" i="31"/>
  <c r="D40" i="10" s="1"/>
  <c r="CX39" i="31"/>
  <c r="CY39" i="31"/>
  <c r="E40" i="10" s="1"/>
  <c r="DJ39" i="31"/>
  <c r="DK39" i="31"/>
  <c r="K40" i="10" s="1"/>
  <c r="DL39" i="31"/>
  <c r="DM39" i="31"/>
  <c r="L40" i="10" s="1"/>
  <c r="DN39" i="31"/>
  <c r="DO39" i="31"/>
  <c r="DJ41" i="31"/>
  <c r="DK41" i="31"/>
  <c r="DL41" i="31"/>
  <c r="DM41" i="31"/>
  <c r="DN41" i="31"/>
  <c r="DO41" i="31"/>
  <c r="CT42" i="31"/>
  <c r="CU42" i="31"/>
  <c r="CW42" i="31"/>
  <c r="D43" i="10" s="1"/>
  <c r="CX42" i="31"/>
  <c r="CY42" i="31"/>
  <c r="E43" i="10" s="1"/>
  <c r="DJ42" i="31"/>
  <c r="DK42" i="31"/>
  <c r="DL42" i="31"/>
  <c r="DM42" i="31"/>
  <c r="L43" i="10" s="1"/>
  <c r="DN42" i="31"/>
  <c r="DO42" i="31"/>
  <c r="CT43" i="31"/>
  <c r="CU43" i="31"/>
  <c r="C44" i="10" s="1"/>
  <c r="CW43" i="31"/>
  <c r="D44" i="10" s="1"/>
  <c r="CX43" i="31"/>
  <c r="CY43" i="31"/>
  <c r="E44" i="10" s="1"/>
  <c r="DJ43" i="31"/>
  <c r="DK43" i="31"/>
  <c r="K44" i="10" s="1"/>
  <c r="DL43" i="31"/>
  <c r="DM43" i="31"/>
  <c r="DN43" i="31"/>
  <c r="DO43" i="31"/>
  <c r="CT44" i="31"/>
  <c r="CU44" i="31"/>
  <c r="CW44" i="31"/>
  <c r="D45" i="10" s="1"/>
  <c r="CX44" i="31"/>
  <c r="CY44" i="31"/>
  <c r="E45" i="10" s="1"/>
  <c r="DJ44" i="31"/>
  <c r="DK44" i="31"/>
  <c r="DL44" i="31"/>
  <c r="DM44" i="31"/>
  <c r="L45" i="10" s="1"/>
  <c r="DN44" i="31"/>
  <c r="DO44" i="31"/>
  <c r="M45" i="10" s="1"/>
  <c r="CT45" i="31"/>
  <c r="CU45" i="31"/>
  <c r="CW45" i="31"/>
  <c r="D46" i="10" s="1"/>
  <c r="CX45" i="31"/>
  <c r="CY45" i="31"/>
  <c r="DJ45" i="31"/>
  <c r="DK45" i="31"/>
  <c r="K46" i="10" s="1"/>
  <c r="DL45" i="31"/>
  <c r="DM45" i="31"/>
  <c r="L46" i="10" s="1"/>
  <c r="DN45" i="31"/>
  <c r="DO45" i="31"/>
  <c r="CT46" i="31"/>
  <c r="CU46" i="31"/>
  <c r="C47" i="10" s="1"/>
  <c r="CW46" i="31"/>
  <c r="D47" i="10" s="1"/>
  <c r="CX46" i="31"/>
  <c r="CY46" i="31"/>
  <c r="E47" i="10" s="1"/>
  <c r="DJ46" i="31"/>
  <c r="DK46" i="31"/>
  <c r="DL46" i="31"/>
  <c r="DM46" i="31"/>
  <c r="DN46" i="31"/>
  <c r="DO46" i="31"/>
  <c r="M47" i="10" s="1"/>
  <c r="CT47" i="31"/>
  <c r="CU47" i="31"/>
  <c r="C48" i="10" s="1"/>
  <c r="CW47" i="31"/>
  <c r="D48" i="10" s="1"/>
  <c r="CX47" i="31"/>
  <c r="CY47" i="31"/>
  <c r="E48" i="10" s="1"/>
  <c r="DJ47" i="31"/>
  <c r="DK47" i="31"/>
  <c r="K48" i="10" s="1"/>
  <c r="DL47" i="31"/>
  <c r="DM47" i="31"/>
  <c r="DN47" i="31"/>
  <c r="DO47" i="31"/>
  <c r="CT48" i="31"/>
  <c r="CU48" i="31"/>
  <c r="C49" i="10" s="1"/>
  <c r="CW48" i="31"/>
  <c r="CX48" i="31"/>
  <c r="CY48" i="31"/>
  <c r="DJ48" i="31"/>
  <c r="DK48" i="31"/>
  <c r="K49" i="10" s="1"/>
  <c r="DL48" i="31"/>
  <c r="DM48" i="31"/>
  <c r="L49" i="10" s="1"/>
  <c r="DN48" i="31"/>
  <c r="DO48" i="31"/>
  <c r="CT49" i="31"/>
  <c r="CU49" i="31"/>
  <c r="C50" i="10" s="1"/>
  <c r="CW49" i="31"/>
  <c r="CX49" i="31"/>
  <c r="CY49" i="31"/>
  <c r="E50" i="10" s="1"/>
  <c r="DJ49" i="31"/>
  <c r="DK49" i="31"/>
  <c r="DL49" i="31"/>
  <c r="DM49" i="31"/>
  <c r="DN49" i="31"/>
  <c r="DO49" i="31"/>
  <c r="CT50" i="31"/>
  <c r="CU50" i="31"/>
  <c r="C51" i="10" s="1"/>
  <c r="CW50" i="31"/>
  <c r="CX50" i="31"/>
  <c r="CY50" i="31"/>
  <c r="DJ50" i="31"/>
  <c r="DK50" i="31"/>
  <c r="DL50" i="31"/>
  <c r="DM50" i="31"/>
  <c r="DN50" i="31"/>
  <c r="DO50" i="31"/>
  <c r="M51" i="10" s="1"/>
  <c r="CT51" i="31"/>
  <c r="CU51" i="31"/>
  <c r="C52" i="10" s="1"/>
  <c r="CW51" i="31"/>
  <c r="CX51" i="31"/>
  <c r="CY51" i="31"/>
  <c r="E52" i="10" s="1"/>
  <c r="DJ51" i="31"/>
  <c r="DK51" i="31"/>
  <c r="DL51" i="31"/>
  <c r="DM51" i="31"/>
  <c r="L52" i="10" s="1"/>
  <c r="DN51" i="31"/>
  <c r="DO51" i="31"/>
  <c r="CT52" i="31"/>
  <c r="CU52" i="31"/>
  <c r="CW52" i="31"/>
  <c r="D53" i="10" s="1"/>
  <c r="CX52" i="31"/>
  <c r="CY52" i="31"/>
  <c r="E53" i="10" s="1"/>
  <c r="DJ52" i="31"/>
  <c r="DK52" i="31"/>
  <c r="K53" i="10" s="1"/>
  <c r="DL52" i="31"/>
  <c r="DM52" i="31"/>
  <c r="L53" i="10" s="1"/>
  <c r="DN52" i="31"/>
  <c r="DO52" i="31"/>
  <c r="CT53" i="31"/>
  <c r="CU53" i="31"/>
  <c r="CW53" i="31"/>
  <c r="CX53" i="31"/>
  <c r="CY53" i="31"/>
  <c r="E54" i="10" s="1"/>
  <c r="DJ53" i="31"/>
  <c r="DK53" i="31"/>
  <c r="DL53" i="31"/>
  <c r="DM53" i="31"/>
  <c r="DN53" i="31"/>
  <c r="DO53" i="31"/>
  <c r="DJ55" i="31"/>
  <c r="DK55" i="31"/>
  <c r="DL55" i="31"/>
  <c r="DM55" i="31"/>
  <c r="DN55" i="31"/>
  <c r="DO55" i="31"/>
  <c r="CT56" i="31"/>
  <c r="CU56" i="31"/>
  <c r="C57" i="10" s="1"/>
  <c r="CW56" i="31"/>
  <c r="CX56" i="31"/>
  <c r="CY56" i="31"/>
  <c r="DJ56" i="31"/>
  <c r="DK56" i="31"/>
  <c r="DL56" i="31"/>
  <c r="DM56" i="31"/>
  <c r="DN56" i="31"/>
  <c r="DO56" i="31"/>
  <c r="CT57" i="31"/>
  <c r="CU57" i="31"/>
  <c r="CW57" i="31"/>
  <c r="T58" i="10" s="1"/>
  <c r="CX57" i="31"/>
  <c r="CY57" i="31"/>
  <c r="E58" i="10" s="1"/>
  <c r="DJ57" i="31"/>
  <c r="DK57" i="31"/>
  <c r="DL57" i="31"/>
  <c r="DM57" i="31"/>
  <c r="DN57" i="31"/>
  <c r="DO57" i="31"/>
  <c r="M58" i="10" s="1"/>
  <c r="CT58" i="31"/>
  <c r="CU58" i="31"/>
  <c r="C59" i="10" s="1"/>
  <c r="CW58" i="31"/>
  <c r="D59" i="10" s="1"/>
  <c r="CX58" i="31"/>
  <c r="CY58" i="31"/>
  <c r="DJ58" i="31"/>
  <c r="DK58" i="31"/>
  <c r="DL58" i="31"/>
  <c r="DM58" i="31"/>
  <c r="L59" i="10" s="1"/>
  <c r="DN58" i="31"/>
  <c r="DO58" i="31"/>
  <c r="M59" i="10" s="1"/>
  <c r="CT59" i="31"/>
  <c r="CU59" i="31"/>
  <c r="CW59" i="31"/>
  <c r="T60" i="10" s="1"/>
  <c r="CX59" i="31"/>
  <c r="CY59" i="31"/>
  <c r="DJ59" i="31"/>
  <c r="DK59" i="31"/>
  <c r="K60" i="10" s="1"/>
  <c r="DL59" i="31"/>
  <c r="DM59" i="31"/>
  <c r="DN59" i="31"/>
  <c r="DO59" i="31"/>
  <c r="CT60" i="31"/>
  <c r="CU60" i="31"/>
  <c r="C61" i="10" s="1"/>
  <c r="CW60" i="31"/>
  <c r="D61" i="10" s="1"/>
  <c r="CX60" i="31"/>
  <c r="CY60" i="31"/>
  <c r="DJ60" i="31"/>
  <c r="DK60" i="31"/>
  <c r="DL60" i="31"/>
  <c r="DM60" i="31"/>
  <c r="L61" i="10" s="1"/>
  <c r="DN60" i="31"/>
  <c r="DO60" i="31"/>
  <c r="CT61" i="31"/>
  <c r="CU61" i="31"/>
  <c r="CW61" i="31"/>
  <c r="T62" i="10" s="1"/>
  <c r="CX61" i="31"/>
  <c r="CY61" i="31"/>
  <c r="DJ61" i="31"/>
  <c r="DK61" i="31"/>
  <c r="K62" i="10" s="1"/>
  <c r="DL61" i="31"/>
  <c r="DM61" i="31"/>
  <c r="DN61" i="31"/>
  <c r="DO61" i="31"/>
  <c r="CT62" i="31"/>
  <c r="CU62" i="31"/>
  <c r="C63" i="10" s="1"/>
  <c r="CW62" i="31"/>
  <c r="CX62" i="31"/>
  <c r="CY62" i="31"/>
  <c r="DJ62" i="31"/>
  <c r="DK62" i="31"/>
  <c r="DL62" i="31"/>
  <c r="DM62" i="31"/>
  <c r="DN62" i="31"/>
  <c r="DO62" i="31"/>
  <c r="M63" i="10" s="1"/>
  <c r="CT63" i="31"/>
  <c r="CU63" i="31"/>
  <c r="CW63" i="31"/>
  <c r="T64" i="10" s="1"/>
  <c r="CX63" i="31"/>
  <c r="CY63" i="31"/>
  <c r="E64" i="10" s="1"/>
  <c r="DJ63" i="31"/>
  <c r="DK63" i="31"/>
  <c r="DL63" i="31"/>
  <c r="DM63" i="31"/>
  <c r="DN63" i="31"/>
  <c r="DO63" i="31"/>
  <c r="CT64" i="31"/>
  <c r="CU64" i="31"/>
  <c r="C65" i="10" s="1"/>
  <c r="CW64" i="31"/>
  <c r="D65" i="10" s="1"/>
  <c r="CX64" i="31"/>
  <c r="CY64" i="31"/>
  <c r="DJ64" i="31"/>
  <c r="DK64" i="31"/>
  <c r="DL64" i="31"/>
  <c r="DM64" i="31"/>
  <c r="L65" i="10" s="1"/>
  <c r="DN64" i="31"/>
  <c r="DO64" i="31"/>
  <c r="CT65" i="31"/>
  <c r="CU65" i="31"/>
  <c r="CW65" i="31"/>
  <c r="T66" i="10" s="1"/>
  <c r="CX65" i="31"/>
  <c r="CY65" i="31"/>
  <c r="DJ65" i="31"/>
  <c r="DK65" i="31"/>
  <c r="DL65" i="31"/>
  <c r="DM65" i="31"/>
  <c r="DN65" i="31"/>
  <c r="DO65" i="31"/>
  <c r="A1" i="33"/>
  <c r="L15" i="10"/>
  <c r="E29" i="10"/>
  <c r="E12" i="10"/>
  <c r="E16" i="10"/>
  <c r="C17" i="10"/>
  <c r="E20" i="10"/>
  <c r="I57" i="23"/>
  <c r="I58" i="23"/>
  <c r="I59" i="23"/>
  <c r="I60" i="23"/>
  <c r="I61" i="23"/>
  <c r="I62" i="23"/>
  <c r="I63" i="23"/>
  <c r="I64" i="23"/>
  <c r="I65" i="23"/>
  <c r="I56" i="23"/>
  <c r="I43" i="23"/>
  <c r="I44" i="23"/>
  <c r="I45" i="23"/>
  <c r="I46" i="23"/>
  <c r="I47" i="23"/>
  <c r="I48" i="23"/>
  <c r="I49" i="23"/>
  <c r="I50" i="23"/>
  <c r="I51" i="23"/>
  <c r="I52" i="23"/>
  <c r="I53" i="23"/>
  <c r="I42" i="23"/>
  <c r="I28" i="23"/>
  <c r="I29" i="23"/>
  <c r="I30" i="23"/>
  <c r="I31" i="23"/>
  <c r="I32" i="23"/>
  <c r="I33" i="23"/>
  <c r="I34" i="23"/>
  <c r="I35" i="23"/>
  <c r="I36" i="23"/>
  <c r="I37" i="23"/>
  <c r="I38" i="23"/>
  <c r="I39" i="23"/>
  <c r="I27" i="23"/>
  <c r="I10" i="23"/>
  <c r="I11" i="23"/>
  <c r="I12" i="23"/>
  <c r="I13" i="23"/>
  <c r="I14" i="23"/>
  <c r="I15" i="23"/>
  <c r="I16" i="23"/>
  <c r="I17" i="23"/>
  <c r="I18" i="23"/>
  <c r="I19" i="23"/>
  <c r="I20" i="23"/>
  <c r="I21" i="23"/>
  <c r="I22" i="23"/>
  <c r="I23" i="23"/>
  <c r="I24" i="23"/>
  <c r="I9" i="23"/>
  <c r="H57" i="23"/>
  <c r="H58" i="23"/>
  <c r="H59" i="23"/>
  <c r="H60" i="23"/>
  <c r="H61" i="23"/>
  <c r="H62" i="23"/>
  <c r="H63" i="23"/>
  <c r="H64" i="23"/>
  <c r="H65" i="23"/>
  <c r="H56" i="23"/>
  <c r="H43" i="23"/>
  <c r="H44" i="23"/>
  <c r="H45" i="23"/>
  <c r="H46" i="23"/>
  <c r="H47" i="23"/>
  <c r="H48" i="23"/>
  <c r="H49" i="23"/>
  <c r="H50" i="23"/>
  <c r="H51" i="23"/>
  <c r="H52" i="23"/>
  <c r="H53" i="23"/>
  <c r="H42" i="23"/>
  <c r="H28" i="23"/>
  <c r="H29" i="23"/>
  <c r="H30" i="23"/>
  <c r="H31" i="23"/>
  <c r="H32" i="23"/>
  <c r="H33" i="23"/>
  <c r="H34" i="23"/>
  <c r="H35" i="23"/>
  <c r="H36" i="23"/>
  <c r="H37" i="23"/>
  <c r="H38" i="23"/>
  <c r="H39" i="23"/>
  <c r="H27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9" i="23"/>
  <c r="E57" i="23"/>
  <c r="E58" i="23"/>
  <c r="E59" i="23"/>
  <c r="E60" i="23"/>
  <c r="E61" i="23"/>
  <c r="E62" i="23"/>
  <c r="E63" i="23"/>
  <c r="E64" i="23"/>
  <c r="E65" i="23"/>
  <c r="E56" i="23"/>
  <c r="E43" i="23"/>
  <c r="E44" i="23"/>
  <c r="E45" i="23"/>
  <c r="E46" i="23"/>
  <c r="E47" i="23"/>
  <c r="E48" i="23"/>
  <c r="E49" i="23"/>
  <c r="E50" i="23"/>
  <c r="E51" i="23"/>
  <c r="E52" i="23"/>
  <c r="E53" i="23"/>
  <c r="E42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27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9" i="23"/>
  <c r="D57" i="23"/>
  <c r="D58" i="23"/>
  <c r="D59" i="23"/>
  <c r="D60" i="23"/>
  <c r="D61" i="23"/>
  <c r="D62" i="23"/>
  <c r="D63" i="23"/>
  <c r="D64" i="23"/>
  <c r="D65" i="23"/>
  <c r="D56" i="23"/>
  <c r="D43" i="23"/>
  <c r="D44" i="23"/>
  <c r="D45" i="23"/>
  <c r="D46" i="23"/>
  <c r="D47" i="23"/>
  <c r="D48" i="23"/>
  <c r="D49" i="23"/>
  <c r="D50" i="23"/>
  <c r="D51" i="23"/>
  <c r="D52" i="23"/>
  <c r="D53" i="23"/>
  <c r="D42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27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9" i="23"/>
  <c r="CH9" i="31"/>
  <c r="CH10" i="31"/>
  <c r="CH11" i="31"/>
  <c r="CH12" i="31"/>
  <c r="CH13" i="31"/>
  <c r="CH14" i="31"/>
  <c r="CH15" i="31"/>
  <c r="CH16" i="31"/>
  <c r="CH17" i="31"/>
  <c r="CH18" i="31"/>
  <c r="CH19" i="31"/>
  <c r="CH20" i="31"/>
  <c r="CH21" i="31"/>
  <c r="CH22" i="31"/>
  <c r="CH23" i="31"/>
  <c r="CH24" i="31"/>
  <c r="CH27" i="31"/>
  <c r="CH28" i="31"/>
  <c r="CH29" i="31"/>
  <c r="CH30" i="31"/>
  <c r="CH31" i="31"/>
  <c r="CH32" i="31"/>
  <c r="CH33" i="31"/>
  <c r="CH34" i="31"/>
  <c r="CH35" i="31"/>
  <c r="CH36" i="31"/>
  <c r="CH37" i="31"/>
  <c r="CH38" i="31"/>
  <c r="CH39" i="31"/>
  <c r="CH42" i="31"/>
  <c r="CH43" i="31"/>
  <c r="CH44" i="31"/>
  <c r="CH45" i="31"/>
  <c r="CH46" i="31"/>
  <c r="CH47" i="31"/>
  <c r="CH48" i="31"/>
  <c r="CH49" i="31"/>
  <c r="CH50" i="31"/>
  <c r="CH51" i="31"/>
  <c r="CH52" i="31"/>
  <c r="CH53" i="31"/>
  <c r="CH56" i="31"/>
  <c r="CH57" i="31"/>
  <c r="CH58" i="31"/>
  <c r="CH59" i="31"/>
  <c r="CH60" i="31"/>
  <c r="CH61" i="31"/>
  <c r="CH62" i="31"/>
  <c r="CH63" i="31"/>
  <c r="CH64" i="31"/>
  <c r="CH65" i="31"/>
  <c r="CI9" i="31"/>
  <c r="CI10" i="31"/>
  <c r="CI11" i="31"/>
  <c r="CI12" i="31"/>
  <c r="CI13" i="31"/>
  <c r="CI14" i="31"/>
  <c r="CI15" i="31"/>
  <c r="CI16" i="31"/>
  <c r="CI17" i="31"/>
  <c r="CI18" i="31"/>
  <c r="CI19" i="31"/>
  <c r="CI20" i="31"/>
  <c r="CI21" i="31"/>
  <c r="CI22" i="31"/>
  <c r="CI23" i="31"/>
  <c r="CI24" i="31"/>
  <c r="CI27" i="31"/>
  <c r="CI28" i="31"/>
  <c r="CI29" i="31"/>
  <c r="CI30" i="31"/>
  <c r="CI31" i="31"/>
  <c r="CI32" i="31"/>
  <c r="CI33" i="31"/>
  <c r="CI34" i="31"/>
  <c r="CI35" i="31"/>
  <c r="CI36" i="31"/>
  <c r="CI37" i="31"/>
  <c r="CI38" i="31"/>
  <c r="CI39" i="31"/>
  <c r="CI42" i="31"/>
  <c r="CI43" i="31"/>
  <c r="CI44" i="31"/>
  <c r="CI45" i="31"/>
  <c r="CI46" i="31"/>
  <c r="CI47" i="31"/>
  <c r="CI48" i="31"/>
  <c r="CI49" i="31"/>
  <c r="CI50" i="31"/>
  <c r="CI51" i="31"/>
  <c r="CI52" i="31"/>
  <c r="CI53" i="31"/>
  <c r="CI56" i="31"/>
  <c r="CI57" i="31"/>
  <c r="CI58" i="31"/>
  <c r="CI59" i="31"/>
  <c r="CI60" i="31"/>
  <c r="CI61" i="31"/>
  <c r="CI62" i="31"/>
  <c r="CI63" i="31"/>
  <c r="CI64" i="31"/>
  <c r="CI65" i="31"/>
  <c r="UH53" i="9"/>
  <c r="UI53" i="9"/>
  <c r="UJ53" i="9"/>
  <c r="UK53" i="9"/>
  <c r="UL53" i="9"/>
  <c r="UH39" i="9"/>
  <c r="UI39" i="9"/>
  <c r="UJ39" i="9"/>
  <c r="UK39" i="9"/>
  <c r="UL39" i="9"/>
  <c r="UH24" i="9"/>
  <c r="UI24" i="9"/>
  <c r="UJ24" i="9"/>
  <c r="UK24" i="9"/>
  <c r="UL24" i="9"/>
  <c r="AAT53" i="9"/>
  <c r="AAU53" i="9"/>
  <c r="AAV53" i="9"/>
  <c r="AAW53" i="9"/>
  <c r="AAX53" i="9"/>
  <c r="AAT39" i="9"/>
  <c r="AAU39" i="9"/>
  <c r="AAV39" i="9"/>
  <c r="AAW39" i="9"/>
  <c r="AAX39" i="9"/>
  <c r="AAT24" i="9"/>
  <c r="AAU24" i="9"/>
  <c r="AAV24" i="9"/>
  <c r="AAW24" i="9"/>
  <c r="AAX24" i="9"/>
  <c r="ADQ53" i="9"/>
  <c r="ADR53" i="9"/>
  <c r="ADS53" i="9"/>
  <c r="ADT53" i="9"/>
  <c r="ADU53" i="9"/>
  <c r="ADQ39" i="9"/>
  <c r="ADR39" i="9"/>
  <c r="ADS39" i="9"/>
  <c r="ADT39" i="9"/>
  <c r="ADU39" i="9"/>
  <c r="ADQ24" i="9"/>
  <c r="ADR24" i="9"/>
  <c r="ADS24" i="9"/>
  <c r="ADT24" i="9"/>
  <c r="ADU24" i="9"/>
  <c r="ADU6" i="9"/>
  <c r="AAX6" i="9"/>
  <c r="RK53" i="9"/>
  <c r="RL53" i="9"/>
  <c r="RM53" i="9"/>
  <c r="RN53" i="9"/>
  <c r="RO53" i="9"/>
  <c r="RK39" i="9"/>
  <c r="RL39" i="9"/>
  <c r="RM39" i="9"/>
  <c r="RN39" i="9"/>
  <c r="RO39" i="9"/>
  <c r="RK24" i="9"/>
  <c r="RL24" i="9"/>
  <c r="RM24" i="9"/>
  <c r="RN24" i="9"/>
  <c r="RO24" i="9"/>
  <c r="RO6" i="9"/>
  <c r="ON53" i="9"/>
  <c r="OO53" i="9"/>
  <c r="OP53" i="9"/>
  <c r="OQ53" i="9"/>
  <c r="OR53" i="9"/>
  <c r="ON39" i="9"/>
  <c r="OO39" i="9"/>
  <c r="OP39" i="9"/>
  <c r="OQ39" i="9"/>
  <c r="OR39" i="9"/>
  <c r="ON24" i="9"/>
  <c r="OO24" i="9"/>
  <c r="OP24" i="9"/>
  <c r="OQ24" i="9"/>
  <c r="OR24" i="9"/>
  <c r="OR6" i="9"/>
  <c r="LU6" i="9"/>
  <c r="LT6" i="9"/>
  <c r="LR6" i="9"/>
  <c r="LQ6" i="9"/>
  <c r="LS6" i="9"/>
  <c r="IO53" i="9"/>
  <c r="IP53" i="9"/>
  <c r="IR53" i="9"/>
  <c r="IS53" i="9"/>
  <c r="IO39" i="9"/>
  <c r="IP39" i="9"/>
  <c r="IR39" i="9"/>
  <c r="IS39" i="9"/>
  <c r="IO24" i="9"/>
  <c r="IP24" i="9"/>
  <c r="IR24" i="9"/>
  <c r="IS24" i="9"/>
  <c r="IS6" i="9"/>
  <c r="EP53" i="9"/>
  <c r="EQ53" i="9"/>
  <c r="ER53" i="9"/>
  <c r="ES53" i="9"/>
  <c r="EP39" i="9"/>
  <c r="EQ39" i="9"/>
  <c r="ER39" i="9"/>
  <c r="ES39" i="9"/>
  <c r="EP24" i="9"/>
  <c r="EQ24" i="9"/>
  <c r="ER24" i="9"/>
  <c r="ES24" i="9"/>
  <c r="BT53" i="9"/>
  <c r="BU53" i="9"/>
  <c r="BV53" i="9"/>
  <c r="BT39" i="9"/>
  <c r="BU39" i="9"/>
  <c r="BV39" i="9"/>
  <c r="BT24" i="9"/>
  <c r="BU24" i="9"/>
  <c r="BV24" i="9"/>
  <c r="ADQ6" i="9"/>
  <c r="ADR6" i="9"/>
  <c r="ADS6" i="9"/>
  <c r="ADT6" i="9"/>
  <c r="AAW6" i="9"/>
  <c r="AAV6" i="9"/>
  <c r="AAU6" i="9"/>
  <c r="AAT6" i="9"/>
  <c r="UJ6" i="9"/>
  <c r="RN6" i="9"/>
  <c r="RM6" i="9"/>
  <c r="RL6" i="9"/>
  <c r="RK6" i="9"/>
  <c r="OP6" i="9"/>
  <c r="ON6" i="9"/>
  <c r="IR6" i="9"/>
  <c r="IQ6" i="9"/>
  <c r="IP6" i="9"/>
  <c r="IO6" i="9"/>
  <c r="ES6" i="9"/>
  <c r="ER6" i="9"/>
  <c r="EQ6" i="9"/>
  <c r="EP6" i="9"/>
  <c r="BU6" i="9"/>
  <c r="BT6" i="9"/>
  <c r="UL6" i="9"/>
  <c r="UK6" i="9"/>
  <c r="UI6" i="9"/>
  <c r="UH6" i="9"/>
  <c r="OQ6" i="9"/>
  <c r="OO6" i="9"/>
  <c r="BW6" i="9"/>
  <c r="BV6" i="9"/>
  <c r="EO53" i="9"/>
  <c r="EN53" i="9"/>
  <c r="EM53" i="9"/>
  <c r="EL53" i="9"/>
  <c r="EK53" i="9"/>
  <c r="EO39" i="9"/>
  <c r="EN39" i="9"/>
  <c r="EM39" i="9"/>
  <c r="EL39" i="9"/>
  <c r="EK39" i="9"/>
  <c r="EO24" i="9"/>
  <c r="EN24" i="9"/>
  <c r="EM24" i="9"/>
  <c r="EL24" i="9"/>
  <c r="EK24" i="9"/>
  <c r="EO6" i="9"/>
  <c r="EN6" i="9"/>
  <c r="EM6" i="9"/>
  <c r="EL6" i="9"/>
  <c r="EK6" i="9"/>
  <c r="ES5" i="19"/>
  <c r="ET5" i="19"/>
  <c r="EU5" i="19"/>
  <c r="EV5" i="19"/>
  <c r="EW5" i="19"/>
  <c r="ES52" i="19"/>
  <c r="ET52" i="19"/>
  <c r="EU52" i="19"/>
  <c r="EV52" i="19"/>
  <c r="EW52" i="19"/>
  <c r="ES38" i="19"/>
  <c r="ET38" i="19"/>
  <c r="EU38" i="19"/>
  <c r="EV38" i="19"/>
  <c r="EW38" i="19"/>
  <c r="EO23" i="19"/>
  <c r="EP23" i="19"/>
  <c r="EQ23" i="19"/>
  <c r="ER23" i="19"/>
  <c r="ES23" i="19"/>
  <c r="ET23" i="19"/>
  <c r="EU23" i="19"/>
  <c r="EV23" i="19"/>
  <c r="EW23" i="19"/>
  <c r="CQ64" i="31"/>
  <c r="CK64" i="31"/>
  <c r="CU25" i="31" l="1"/>
  <c r="C26" i="10" s="1"/>
  <c r="I54" i="23"/>
  <c r="CY54" i="31"/>
  <c r="CW7" i="31"/>
  <c r="D8" i="10" s="1"/>
  <c r="CY40" i="31"/>
  <c r="E41" i="10" s="1"/>
  <c r="E54" i="23"/>
  <c r="DO25" i="31"/>
  <c r="M26" i="10" s="1"/>
  <c r="I40" i="23"/>
  <c r="CY7" i="31"/>
  <c r="E8" i="10" s="1"/>
  <c r="I7" i="23"/>
  <c r="CW40" i="31"/>
  <c r="D41" i="10" s="1"/>
  <c r="DM25" i="31"/>
  <c r="L26" i="10" s="1"/>
  <c r="DO40" i="31"/>
  <c r="M41" i="10" s="1"/>
  <c r="E7" i="23"/>
  <c r="E25" i="23"/>
  <c r="CW54" i="31"/>
  <c r="D55" i="10" s="1"/>
  <c r="DM40" i="31"/>
  <c r="L41" i="10" s="1"/>
  <c r="CU7" i="31"/>
  <c r="C8" i="10" s="1"/>
  <c r="CU54" i="31"/>
  <c r="C55" i="10" s="1"/>
  <c r="DK40" i="31"/>
  <c r="K41" i="10" s="1"/>
  <c r="ET4" i="19"/>
  <c r="DK7" i="31"/>
  <c r="K8" i="10" s="1"/>
  <c r="CU40" i="31"/>
  <c r="C41" i="10" s="1"/>
  <c r="DK25" i="31"/>
  <c r="K26" i="10" s="1"/>
  <c r="DO54" i="31"/>
  <c r="M55" i="10" s="1"/>
  <c r="ES4" i="19"/>
  <c r="CY25" i="31"/>
  <c r="E26" i="10" s="1"/>
  <c r="E40" i="23"/>
  <c r="I25" i="23"/>
  <c r="DM54" i="31"/>
  <c r="L55" i="10" s="1"/>
  <c r="CW25" i="31"/>
  <c r="D26" i="10" s="1"/>
  <c r="DK54" i="31"/>
  <c r="K55" i="10" s="1"/>
  <c r="S66" i="10"/>
  <c r="T54" i="10"/>
  <c r="T52" i="10"/>
  <c r="T50" i="10"/>
  <c r="S40" i="10"/>
  <c r="OQ5" i="9"/>
  <c r="U11" i="10"/>
  <c r="S10" i="10"/>
  <c r="AAW5" i="9"/>
  <c r="ADR5" i="9"/>
  <c r="T63" i="10"/>
  <c r="T57" i="10"/>
  <c r="T51" i="10"/>
  <c r="T49" i="10"/>
  <c r="T37" i="10"/>
  <c r="T29" i="10"/>
  <c r="T25" i="10"/>
  <c r="T23" i="10"/>
  <c r="T17" i="10"/>
  <c r="T13" i="10"/>
  <c r="AAV5" i="9"/>
  <c r="DO7" i="31"/>
  <c r="ADT5" i="9"/>
  <c r="DM7" i="31"/>
  <c r="RM5" i="9"/>
  <c r="M34" i="10"/>
  <c r="M28" i="10"/>
  <c r="M14" i="10"/>
  <c r="M22" i="10"/>
  <c r="D66" i="10"/>
  <c r="M36" i="10"/>
  <c r="U65" i="10"/>
  <c r="S64" i="10"/>
  <c r="U63" i="10"/>
  <c r="S62" i="10"/>
  <c r="U61" i="10"/>
  <c r="S60" i="10"/>
  <c r="U59" i="10"/>
  <c r="S58" i="10"/>
  <c r="U57" i="10"/>
  <c r="S54" i="10"/>
  <c r="U53" i="10"/>
  <c r="S52" i="10"/>
  <c r="U51" i="10"/>
  <c r="S50" i="10"/>
  <c r="U49" i="10"/>
  <c r="S48" i="10"/>
  <c r="U47" i="10"/>
  <c r="S46" i="10"/>
  <c r="U45" i="10"/>
  <c r="S44" i="10"/>
  <c r="U43" i="10"/>
  <c r="U39" i="10"/>
  <c r="S38" i="10"/>
  <c r="U37" i="10"/>
  <c r="S36" i="10"/>
  <c r="U35" i="10"/>
  <c r="S34" i="10"/>
  <c r="U33" i="10"/>
  <c r="S32" i="10"/>
  <c r="U31" i="10"/>
  <c r="S30" i="10"/>
  <c r="U29" i="10"/>
  <c r="S28" i="10"/>
  <c r="U25" i="10"/>
  <c r="S24" i="10"/>
  <c r="U23" i="10"/>
  <c r="S22" i="10"/>
  <c r="U21" i="10"/>
  <c r="S20" i="10"/>
  <c r="U19" i="10"/>
  <c r="S18" i="10"/>
  <c r="U17" i="10"/>
  <c r="S16" i="10"/>
  <c r="U15" i="10"/>
  <c r="S14" i="10"/>
  <c r="U13" i="10"/>
  <c r="S12" i="10"/>
  <c r="M18" i="10"/>
  <c r="M64" i="10"/>
  <c r="T46" i="10"/>
  <c r="T40" i="10"/>
  <c r="T38" i="10"/>
  <c r="T36" i="10"/>
  <c r="T34" i="10"/>
  <c r="T32" i="10"/>
  <c r="T30" i="10"/>
  <c r="T28" i="10"/>
  <c r="T24" i="10"/>
  <c r="T22" i="10"/>
  <c r="T20" i="10"/>
  <c r="T18" i="10"/>
  <c r="T16" i="10"/>
  <c r="T14" i="10"/>
  <c r="T12" i="10"/>
  <c r="T10" i="10"/>
  <c r="M66" i="10"/>
  <c r="L62" i="10"/>
  <c r="D16" i="10"/>
  <c r="D38" i="10"/>
  <c r="E65" i="10"/>
  <c r="M38" i="10"/>
  <c r="K43" i="10"/>
  <c r="M44" i="10"/>
  <c r="D12" i="10"/>
  <c r="D52" i="10"/>
  <c r="M10" i="10"/>
  <c r="K23" i="10"/>
  <c r="K19" i="10"/>
  <c r="K15" i="10"/>
  <c r="K11" i="10"/>
  <c r="M32" i="10"/>
  <c r="L44" i="10"/>
  <c r="D36" i="10"/>
  <c r="D34" i="10"/>
  <c r="D50" i="10"/>
  <c r="C60" i="10"/>
  <c r="K31" i="10"/>
  <c r="K51" i="10"/>
  <c r="L64" i="10"/>
  <c r="D10" i="10"/>
  <c r="D24" i="10"/>
  <c r="D14" i="10"/>
  <c r="D32" i="10"/>
  <c r="D58" i="10"/>
  <c r="K25" i="10"/>
  <c r="K21" i="10"/>
  <c r="K17" i="10"/>
  <c r="K13" i="10"/>
  <c r="M30" i="10"/>
  <c r="M48" i="10"/>
  <c r="D20" i="10"/>
  <c r="D28" i="10"/>
  <c r="D54" i="10"/>
  <c r="E49" i="10"/>
  <c r="M24" i="10"/>
  <c r="M20" i="10"/>
  <c r="M16" i="10"/>
  <c r="M12" i="10"/>
  <c r="K35" i="10"/>
  <c r="M46" i="10"/>
  <c r="K61" i="10"/>
  <c r="E57" i="10"/>
  <c r="E59" i="10"/>
  <c r="L54" i="10"/>
  <c r="K45" i="10"/>
  <c r="K63" i="10"/>
  <c r="E51" i="10"/>
  <c r="M50" i="10"/>
  <c r="K57" i="10"/>
  <c r="L60" i="10"/>
  <c r="C54" i="10"/>
  <c r="E55" i="10"/>
  <c r="E63" i="10"/>
  <c r="K47" i="10"/>
  <c r="K65" i="10"/>
  <c r="L58" i="10"/>
  <c r="C66" i="10"/>
  <c r="D60" i="10"/>
  <c r="M39" i="10"/>
  <c r="M52" i="10"/>
  <c r="L66" i="10"/>
  <c r="M15" i="10"/>
  <c r="U66" i="10"/>
  <c r="S65" i="10"/>
  <c r="U64" i="10"/>
  <c r="U62" i="10"/>
  <c r="S61" i="10"/>
  <c r="U60" i="10"/>
  <c r="S57" i="10"/>
  <c r="S53" i="10"/>
  <c r="U52" i="10"/>
  <c r="U50" i="10"/>
  <c r="S49" i="10"/>
  <c r="S47" i="10"/>
  <c r="U46" i="10"/>
  <c r="S45" i="10"/>
  <c r="S43" i="10"/>
  <c r="U40" i="10"/>
  <c r="S39" i="10"/>
  <c r="U38" i="10"/>
  <c r="S37" i="10"/>
  <c r="U36" i="10"/>
  <c r="S35" i="10"/>
  <c r="U34" i="10"/>
  <c r="S33" i="10"/>
  <c r="U32" i="10"/>
  <c r="S31" i="10"/>
  <c r="U30" i="10"/>
  <c r="S29" i="10"/>
  <c r="U28" i="10"/>
  <c r="S25" i="10"/>
  <c r="U24" i="10"/>
  <c r="S23" i="10"/>
  <c r="U22" i="10"/>
  <c r="S21" i="10"/>
  <c r="U20" i="10"/>
  <c r="S19" i="10"/>
  <c r="U18" i="10"/>
  <c r="S17" i="10"/>
  <c r="U16" i="10"/>
  <c r="S15" i="10"/>
  <c r="U14" i="10"/>
  <c r="S13" i="10"/>
  <c r="U12" i="10"/>
  <c r="S11" i="10"/>
  <c r="U10" i="10"/>
  <c r="C64" i="10"/>
  <c r="C58" i="10"/>
  <c r="L50" i="10"/>
  <c r="L63" i="10"/>
  <c r="K59" i="10"/>
  <c r="C46" i="10"/>
  <c r="E66" i="10"/>
  <c r="E61" i="10"/>
  <c r="M54" i="10"/>
  <c r="L48" i="10"/>
  <c r="L57" i="10"/>
  <c r="M62" i="10"/>
  <c r="T19" i="10"/>
  <c r="T15" i="10"/>
  <c r="T11" i="10"/>
  <c r="T39" i="10"/>
  <c r="T35" i="10"/>
  <c r="T31" i="10"/>
  <c r="T47" i="10"/>
  <c r="T59" i="10"/>
  <c r="C43" i="10"/>
  <c r="C53" i="10"/>
  <c r="E46" i="10"/>
  <c r="D64" i="10"/>
  <c r="E60" i="10"/>
  <c r="L51" i="10"/>
  <c r="L47" i="10"/>
  <c r="M60" i="10"/>
  <c r="S51" i="10"/>
  <c r="U48" i="10"/>
  <c r="U44" i="10"/>
  <c r="S63" i="10"/>
  <c r="S59" i="10"/>
  <c r="T48" i="10"/>
  <c r="T44" i="10"/>
  <c r="C45" i="10"/>
  <c r="K34" i="10"/>
  <c r="T21" i="10"/>
  <c r="T33" i="10"/>
  <c r="T53" i="10"/>
  <c r="T45" i="10"/>
  <c r="T65" i="10"/>
  <c r="T61" i="10"/>
  <c r="E62" i="10"/>
  <c r="U54" i="10"/>
  <c r="U58" i="10"/>
  <c r="D62" i="10"/>
  <c r="M40" i="10"/>
  <c r="T43" i="10"/>
  <c r="D49" i="10"/>
  <c r="M57" i="10"/>
  <c r="K54" i="10"/>
  <c r="D23" i="10"/>
  <c r="K18" i="10"/>
  <c r="M33" i="10"/>
  <c r="M53" i="10"/>
  <c r="M61" i="10"/>
  <c r="D17" i="10"/>
  <c r="D29" i="10"/>
  <c r="D57" i="10"/>
  <c r="M25" i="10"/>
  <c r="M43" i="10"/>
  <c r="K64" i="10"/>
  <c r="M19" i="10"/>
  <c r="M11" i="10"/>
  <c r="K30" i="10"/>
  <c r="K50" i="10"/>
  <c r="K66" i="10"/>
  <c r="K58" i="10"/>
  <c r="D51" i="10"/>
  <c r="D37" i="10"/>
  <c r="M35" i="10"/>
  <c r="D13" i="10"/>
  <c r="K38" i="10"/>
  <c r="M29" i="10"/>
  <c r="M49" i="10"/>
  <c r="M65" i="10"/>
  <c r="D25" i="10"/>
  <c r="D63" i="10"/>
  <c r="K52" i="10"/>
  <c r="M31" i="10"/>
  <c r="C62" i="10"/>
  <c r="AAU5" i="9"/>
  <c r="AAX5" i="9"/>
  <c r="ADQ5" i="9"/>
  <c r="ADU5" i="9"/>
  <c r="RN5" i="9"/>
  <c r="RK5" i="9"/>
  <c r="IS5" i="9"/>
  <c r="ADS5" i="9"/>
  <c r="AAT5" i="9"/>
  <c r="I6" i="23" s="1"/>
  <c r="RO5" i="9"/>
  <c r="RL5" i="9"/>
  <c r="ON5" i="9"/>
  <c r="IR5" i="9"/>
  <c r="IQ5" i="9"/>
  <c r="IP5" i="9"/>
  <c r="IO5" i="9"/>
  <c r="E6" i="23" s="1"/>
  <c r="OR5" i="9"/>
  <c r="UH5" i="9"/>
  <c r="UL5" i="9"/>
  <c r="UI5" i="9"/>
  <c r="UJ5" i="9"/>
  <c r="UK5" i="9"/>
  <c r="OO5" i="9"/>
  <c r="LQ5" i="9"/>
  <c r="OP5" i="9"/>
  <c r="BU5" i="9"/>
  <c r="BV5" i="9"/>
  <c r="LT5" i="9"/>
  <c r="BT5" i="9"/>
  <c r="LR5" i="9"/>
  <c r="LU5" i="9"/>
  <c r="LS5" i="9"/>
  <c r="BW5" i="9"/>
  <c r="EP5" i="9"/>
  <c r="ES5" i="9"/>
  <c r="EQ5" i="9"/>
  <c r="ER5" i="9"/>
  <c r="EK5" i="9"/>
  <c r="EL5" i="9"/>
  <c r="EM5" i="9"/>
  <c r="EN5" i="9"/>
  <c r="EO5" i="9"/>
  <c r="EW4" i="19"/>
  <c r="EV4" i="19"/>
  <c r="EU4" i="19"/>
  <c r="ADP53" i="9"/>
  <c r="ADP39" i="9"/>
  <c r="ADP24" i="9"/>
  <c r="AAS53" i="9"/>
  <c r="AAS39" i="9"/>
  <c r="AAS24" i="9"/>
  <c r="UG53" i="9"/>
  <c r="UG39" i="9"/>
  <c r="UG24" i="9"/>
  <c r="RJ53" i="9"/>
  <c r="RJ39" i="9"/>
  <c r="RJ24" i="9"/>
  <c r="OM53" i="9"/>
  <c r="OM39" i="9"/>
  <c r="OM24" i="9"/>
  <c r="LP53" i="9"/>
  <c r="LP39" i="9"/>
  <c r="LP24" i="9"/>
  <c r="IN53" i="9"/>
  <c r="IN39" i="9"/>
  <c r="IN24" i="9"/>
  <c r="BS53" i="9"/>
  <c r="BS39" i="9"/>
  <c r="BS24" i="9"/>
  <c r="ADN53" i="9"/>
  <c r="ADN39" i="9"/>
  <c r="ADN24" i="9"/>
  <c r="AAQ53" i="9"/>
  <c r="AAQ39" i="9"/>
  <c r="AAQ24" i="9"/>
  <c r="UE53" i="9"/>
  <c r="UE39" i="9"/>
  <c r="UE24" i="9"/>
  <c r="RH53" i="9"/>
  <c r="RH39" i="9"/>
  <c r="RH24" i="9"/>
  <c r="OK53" i="9"/>
  <c r="OK39" i="9"/>
  <c r="OK24" i="9"/>
  <c r="LM53" i="9"/>
  <c r="LO53" i="9"/>
  <c r="LN53" i="9"/>
  <c r="LL53" i="9"/>
  <c r="LO39" i="9"/>
  <c r="LN39" i="9"/>
  <c r="LM39" i="9"/>
  <c r="LL39" i="9"/>
  <c r="LM24" i="9"/>
  <c r="LO24" i="9"/>
  <c r="LN24" i="9"/>
  <c r="LL24" i="9"/>
  <c r="LP6" i="9"/>
  <c r="LO6" i="9"/>
  <c r="LN6" i="9"/>
  <c r="LM6" i="9"/>
  <c r="LL6" i="9"/>
  <c r="IL53" i="9"/>
  <c r="IL39" i="9"/>
  <c r="IL24" i="9"/>
  <c r="EH53" i="9"/>
  <c r="EH39" i="9"/>
  <c r="EH24" i="9"/>
  <c r="BQ53" i="9"/>
  <c r="BQ39" i="9"/>
  <c r="BQ24" i="9"/>
  <c r="CU6" i="31" l="1"/>
  <c r="C7" i="10" s="1"/>
  <c r="CW6" i="31"/>
  <c r="D7" i="10" s="1"/>
  <c r="CY6" i="31"/>
  <c r="E7" i="10" s="1"/>
  <c r="DM6" i="31"/>
  <c r="L7" i="10" s="1"/>
  <c r="L56" i="10" s="1"/>
  <c r="DO6" i="31"/>
  <c r="M7" i="10" s="1"/>
  <c r="M56" i="10" s="1"/>
  <c r="DK6" i="31"/>
  <c r="K7" i="10" s="1"/>
  <c r="K56" i="10" s="1"/>
  <c r="M8" i="10"/>
  <c r="L8" i="10"/>
  <c r="LO5" i="9"/>
  <c r="LN5" i="9"/>
  <c r="LL5" i="9"/>
  <c r="LP5" i="9"/>
  <c r="LM5" i="9"/>
  <c r="CK65" i="31" l="1"/>
  <c r="BS64" i="31"/>
  <c r="CK32" i="31"/>
  <c r="CK31" i="31"/>
  <c r="CR39" i="31"/>
  <c r="CR38" i="31"/>
  <c r="CR37" i="31"/>
  <c r="CR36" i="31"/>
  <c r="CR35" i="31"/>
  <c r="CR34" i="31"/>
  <c r="CR33" i="31"/>
  <c r="CR32" i="31"/>
  <c r="CR31" i="31"/>
  <c r="CR30" i="31"/>
  <c r="CR29" i="31"/>
  <c r="CR28" i="31"/>
  <c r="CR27" i="31"/>
  <c r="CR24" i="31"/>
  <c r="CR23" i="31"/>
  <c r="CR22" i="31"/>
  <c r="CR21" i="31"/>
  <c r="CR20" i="31"/>
  <c r="CR19" i="31"/>
  <c r="CR18" i="31"/>
  <c r="CR17" i="31"/>
  <c r="CR16" i="31"/>
  <c r="CR15" i="31"/>
  <c r="CR14" i="31"/>
  <c r="CR13" i="31"/>
  <c r="CR12" i="31"/>
  <c r="CR11" i="31"/>
  <c r="CR10" i="31"/>
  <c r="CR9" i="31"/>
  <c r="CR65" i="31"/>
  <c r="CR64" i="31"/>
  <c r="CR63" i="31"/>
  <c r="CR62" i="31"/>
  <c r="CR61" i="31"/>
  <c r="CR60" i="31"/>
  <c r="CR59" i="31"/>
  <c r="CR58" i="31"/>
  <c r="CR57" i="31"/>
  <c r="CR56" i="31"/>
  <c r="CR53" i="31"/>
  <c r="CR52" i="31"/>
  <c r="CR51" i="31"/>
  <c r="CR50" i="31"/>
  <c r="CR49" i="31"/>
  <c r="CR48" i="31"/>
  <c r="CR47" i="31"/>
  <c r="CR46" i="31"/>
  <c r="CR45" i="31"/>
  <c r="CR44" i="31"/>
  <c r="CR43" i="31"/>
  <c r="CR42" i="31"/>
  <c r="CP65" i="31"/>
  <c r="CP64" i="31"/>
  <c r="CP63" i="31"/>
  <c r="CP62" i="31"/>
  <c r="CP61" i="31"/>
  <c r="CP60" i="31"/>
  <c r="CP59" i="31"/>
  <c r="CP58" i="31"/>
  <c r="CP57" i="31"/>
  <c r="CP56" i="31"/>
  <c r="CP53" i="31"/>
  <c r="CP52" i="31"/>
  <c r="CP51" i="31"/>
  <c r="CP50" i="31"/>
  <c r="CP49" i="31"/>
  <c r="CP48" i="31"/>
  <c r="CP47" i="31"/>
  <c r="CP46" i="31"/>
  <c r="CP45" i="31"/>
  <c r="CP44" i="31"/>
  <c r="CP43" i="31"/>
  <c r="CP42" i="31"/>
  <c r="CP39" i="31"/>
  <c r="CP38" i="31"/>
  <c r="CP37" i="31"/>
  <c r="CP36" i="31"/>
  <c r="CP35" i="31"/>
  <c r="CP34" i="31"/>
  <c r="CP32" i="31"/>
  <c r="CP31" i="31"/>
  <c r="CP30" i="31"/>
  <c r="CP29" i="31"/>
  <c r="CP28" i="31"/>
  <c r="CP27" i="31"/>
  <c r="CP24" i="31"/>
  <c r="CP23" i="31"/>
  <c r="CP22" i="31"/>
  <c r="CP21" i="31"/>
  <c r="CP20" i="31"/>
  <c r="CP19" i="31"/>
  <c r="CP18" i="31"/>
  <c r="CP17" i="31"/>
  <c r="CP16" i="31"/>
  <c r="CP15" i="31"/>
  <c r="CP14" i="31"/>
  <c r="CP13" i="31"/>
  <c r="CP12" i="31"/>
  <c r="CP11" i="31"/>
  <c r="CP10" i="31"/>
  <c r="CP9" i="31"/>
  <c r="CN65" i="31"/>
  <c r="CN64" i="31"/>
  <c r="CN63" i="31"/>
  <c r="CN62" i="31"/>
  <c r="CN61" i="31"/>
  <c r="CN60" i="31"/>
  <c r="CN59" i="31"/>
  <c r="CN58" i="31"/>
  <c r="CN57" i="31"/>
  <c r="CN56" i="31"/>
  <c r="CN53" i="31"/>
  <c r="CN52" i="31"/>
  <c r="CN51" i="31"/>
  <c r="CN50" i="31"/>
  <c r="CN49" i="31"/>
  <c r="CN48" i="31"/>
  <c r="CN47" i="31"/>
  <c r="CN46" i="31"/>
  <c r="CN45" i="31"/>
  <c r="CN44" i="31"/>
  <c r="CN43" i="31"/>
  <c r="CN42" i="31"/>
  <c r="CN39" i="31"/>
  <c r="CN38" i="31"/>
  <c r="CN37" i="31"/>
  <c r="CN36" i="31"/>
  <c r="CN35" i="31"/>
  <c r="CN34" i="31"/>
  <c r="CN33" i="31"/>
  <c r="CN32" i="31"/>
  <c r="CN31" i="31"/>
  <c r="CN30" i="31"/>
  <c r="CN29" i="31"/>
  <c r="CN28" i="31"/>
  <c r="CN27" i="31"/>
  <c r="CN24" i="31"/>
  <c r="CN23" i="31"/>
  <c r="CN22" i="31"/>
  <c r="CN21" i="31"/>
  <c r="CN20" i="31"/>
  <c r="CN19" i="31"/>
  <c r="CN18" i="31"/>
  <c r="CN17" i="31"/>
  <c r="CN16" i="31"/>
  <c r="CN15" i="31"/>
  <c r="CN14" i="31"/>
  <c r="CN13" i="31"/>
  <c r="CN12" i="31"/>
  <c r="CN11" i="31"/>
  <c r="CN10" i="31"/>
  <c r="CN9" i="31"/>
  <c r="CS65" i="31"/>
  <c r="CS64" i="31"/>
  <c r="CS63" i="31"/>
  <c r="CS62" i="31"/>
  <c r="CS61" i="31"/>
  <c r="CS60" i="31"/>
  <c r="CS59" i="31"/>
  <c r="CS58" i="31"/>
  <c r="CS57" i="31"/>
  <c r="CS56" i="31"/>
  <c r="CS53" i="31"/>
  <c r="CS52" i="31"/>
  <c r="CS51" i="31"/>
  <c r="CS50" i="31"/>
  <c r="CS49" i="31"/>
  <c r="CS48" i="31"/>
  <c r="CS47" i="31"/>
  <c r="CS46" i="31"/>
  <c r="CS45" i="31"/>
  <c r="CS44" i="31"/>
  <c r="CS43" i="31"/>
  <c r="CS42" i="31"/>
  <c r="CS39" i="31"/>
  <c r="CS38" i="31"/>
  <c r="CS37" i="31"/>
  <c r="CS36" i="31"/>
  <c r="CS35" i="31"/>
  <c r="CS34" i="31"/>
  <c r="CS33" i="31"/>
  <c r="CS32" i="31"/>
  <c r="CS31" i="31"/>
  <c r="CS30" i="31"/>
  <c r="CS29" i="31"/>
  <c r="CS28" i="31"/>
  <c r="CS27" i="31"/>
  <c r="CS24" i="31"/>
  <c r="CS23" i="31"/>
  <c r="CS22" i="31"/>
  <c r="CS21" i="31"/>
  <c r="CS20" i="31"/>
  <c r="CS19" i="31"/>
  <c r="CS18" i="31"/>
  <c r="CS17" i="31"/>
  <c r="CS16" i="31"/>
  <c r="CS15" i="31"/>
  <c r="CS14" i="31"/>
  <c r="CS13" i="31"/>
  <c r="CS12" i="31"/>
  <c r="CS11" i="31"/>
  <c r="CS10" i="31"/>
  <c r="CS9" i="31"/>
  <c r="CM65" i="31"/>
  <c r="CM64" i="31"/>
  <c r="CM63" i="31"/>
  <c r="CM62" i="31"/>
  <c r="CM61" i="31"/>
  <c r="CM60" i="31"/>
  <c r="CM59" i="31"/>
  <c r="CM58" i="31"/>
  <c r="CM57" i="31"/>
  <c r="CM56" i="31"/>
  <c r="CM53" i="31"/>
  <c r="CM52" i="31"/>
  <c r="CM51" i="31"/>
  <c r="CM50" i="31"/>
  <c r="CM49" i="31"/>
  <c r="CM48" i="31"/>
  <c r="CM47" i="31"/>
  <c r="CM46" i="31"/>
  <c r="CM45" i="31"/>
  <c r="CM44" i="31"/>
  <c r="CM43" i="31"/>
  <c r="CM42" i="31"/>
  <c r="CM39" i="31"/>
  <c r="CM38" i="31"/>
  <c r="CM37" i="31"/>
  <c r="CM36" i="31"/>
  <c r="CM35" i="31"/>
  <c r="CM34" i="31"/>
  <c r="CM33" i="31"/>
  <c r="CM32" i="31"/>
  <c r="CM31" i="31"/>
  <c r="CM30" i="31"/>
  <c r="CM29" i="31"/>
  <c r="CM28" i="31"/>
  <c r="CM27" i="31"/>
  <c r="CM24" i="31"/>
  <c r="CM23" i="31"/>
  <c r="CM22" i="31"/>
  <c r="CM21" i="31"/>
  <c r="CM20" i="31"/>
  <c r="CM19" i="31"/>
  <c r="CM18" i="31"/>
  <c r="CM17" i="31"/>
  <c r="CM16" i="31"/>
  <c r="CM15" i="31"/>
  <c r="CM14" i="31"/>
  <c r="CM13" i="31"/>
  <c r="CM12" i="31"/>
  <c r="CM11" i="31"/>
  <c r="CM10" i="31"/>
  <c r="CM9" i="31"/>
  <c r="CL65" i="31"/>
  <c r="CL64" i="31"/>
  <c r="CL63" i="31"/>
  <c r="CL62" i="31"/>
  <c r="CL61" i="31"/>
  <c r="CL60" i="31"/>
  <c r="CL59" i="31"/>
  <c r="CL58" i="31"/>
  <c r="CL57" i="31"/>
  <c r="CL56" i="31"/>
  <c r="CL53" i="31"/>
  <c r="CL52" i="31"/>
  <c r="CL51" i="31"/>
  <c r="CL50" i="31"/>
  <c r="CL49" i="31"/>
  <c r="CL48" i="31"/>
  <c r="CL47" i="31"/>
  <c r="CL46" i="31"/>
  <c r="CL45" i="31"/>
  <c r="CL44" i="31"/>
  <c r="CL43" i="31"/>
  <c r="CL42" i="31"/>
  <c r="CL39" i="31"/>
  <c r="CL38" i="31"/>
  <c r="CL37" i="31"/>
  <c r="CL36" i="31"/>
  <c r="CL35" i="31"/>
  <c r="CL34" i="31"/>
  <c r="CL33" i="31"/>
  <c r="CL32" i="31"/>
  <c r="CL31" i="31"/>
  <c r="CL30" i="31"/>
  <c r="CL29" i="31"/>
  <c r="CL28" i="31"/>
  <c r="CL27" i="31"/>
  <c r="CL24" i="31"/>
  <c r="CL23" i="31"/>
  <c r="CL22" i="31"/>
  <c r="CL21" i="31"/>
  <c r="CL20" i="31"/>
  <c r="CL19" i="31"/>
  <c r="CL18" i="31"/>
  <c r="CL17" i="31"/>
  <c r="CL16" i="31"/>
  <c r="CL15" i="31"/>
  <c r="CL14" i="31"/>
  <c r="CL13" i="31"/>
  <c r="CL12" i="31"/>
  <c r="CL11" i="31"/>
  <c r="CL10" i="31"/>
  <c r="CL9" i="31"/>
  <c r="CJ65" i="31"/>
  <c r="CJ64" i="31"/>
  <c r="CJ63" i="31"/>
  <c r="CJ62" i="31"/>
  <c r="CJ61" i="31"/>
  <c r="CJ60" i="31"/>
  <c r="CJ59" i="31"/>
  <c r="CJ58" i="31"/>
  <c r="CJ57" i="31"/>
  <c r="CJ56" i="31"/>
  <c r="CJ53" i="31"/>
  <c r="CJ52" i="31"/>
  <c r="CJ51" i="31"/>
  <c r="CJ50" i="31"/>
  <c r="CJ49" i="31"/>
  <c r="CJ48" i="31"/>
  <c r="CJ47" i="31"/>
  <c r="CJ46" i="31"/>
  <c r="CJ45" i="31"/>
  <c r="CJ44" i="31"/>
  <c r="CJ43" i="31"/>
  <c r="CJ42" i="31"/>
  <c r="CJ39" i="31"/>
  <c r="CJ38" i="31"/>
  <c r="CJ37" i="31"/>
  <c r="CJ36" i="31"/>
  <c r="CJ35" i="31"/>
  <c r="CJ34" i="31"/>
  <c r="CJ33" i="31"/>
  <c r="CJ32" i="31"/>
  <c r="CJ31" i="31"/>
  <c r="CJ30" i="31"/>
  <c r="CJ29" i="31"/>
  <c r="CJ28" i="31"/>
  <c r="CJ27" i="31"/>
  <c r="CJ24" i="31"/>
  <c r="CJ23" i="31"/>
  <c r="CJ22" i="31"/>
  <c r="CJ21" i="31"/>
  <c r="CJ20" i="31"/>
  <c r="CJ19" i="31"/>
  <c r="CJ18" i="31"/>
  <c r="CJ17" i="31"/>
  <c r="CJ16" i="31"/>
  <c r="CJ15" i="31"/>
  <c r="CJ14" i="31"/>
  <c r="CJ13" i="31"/>
  <c r="CJ12" i="31"/>
  <c r="CJ11" i="31"/>
  <c r="CJ10" i="31"/>
  <c r="CJ9" i="31"/>
  <c r="ACN24" i="9"/>
  <c r="ACM24" i="9"/>
  <c r="ACL24" i="9"/>
  <c r="ACK24" i="9"/>
  <c r="ACJ24" i="9"/>
  <c r="ACI24" i="9"/>
  <c r="ACH24" i="9"/>
  <c r="ACM53" i="9"/>
  <c r="ACL53" i="9"/>
  <c r="ACK53" i="9"/>
  <c r="ACJ53" i="9"/>
  <c r="ACI53" i="9"/>
  <c r="ACH53" i="9"/>
  <c r="ACM39" i="9"/>
  <c r="ACL39" i="9"/>
  <c r="ACK39" i="9"/>
  <c r="ACJ39" i="9"/>
  <c r="ACI39" i="9"/>
  <c r="ACH39" i="9"/>
  <c r="ZO53" i="9"/>
  <c r="ZN53" i="9"/>
  <c r="ZM53" i="9"/>
  <c r="ZL53" i="9"/>
  <c r="ZK53" i="9"/>
  <c r="ZO39" i="9"/>
  <c r="ZN39" i="9"/>
  <c r="ZM39" i="9"/>
  <c r="ZL39" i="9"/>
  <c r="ZK39" i="9"/>
  <c r="ZO24" i="9"/>
  <c r="ZN24" i="9"/>
  <c r="ZM24" i="9"/>
  <c r="ZL24" i="9"/>
  <c r="ZK24" i="9"/>
  <c r="TH53" i="9"/>
  <c r="TG53" i="9"/>
  <c r="TF53" i="9"/>
  <c r="TE53" i="9"/>
  <c r="TD53" i="9"/>
  <c r="TH39" i="9"/>
  <c r="TG39" i="9"/>
  <c r="TF39" i="9"/>
  <c r="TE39" i="9"/>
  <c r="TD39" i="9"/>
  <c r="TH24" i="9"/>
  <c r="TG24" i="9"/>
  <c r="TF24" i="9"/>
  <c r="TE24" i="9"/>
  <c r="TD24" i="9"/>
  <c r="TI6" i="9"/>
  <c r="TH6" i="9"/>
  <c r="TG6" i="9"/>
  <c r="TF6" i="9"/>
  <c r="TE6" i="9"/>
  <c r="TD6" i="9"/>
  <c r="QK24" i="9"/>
  <c r="QJ24" i="9"/>
  <c r="QI24" i="9"/>
  <c r="QH24" i="9"/>
  <c r="QG24" i="9"/>
  <c r="QK53" i="9"/>
  <c r="QJ53" i="9"/>
  <c r="QI53" i="9"/>
  <c r="QH53" i="9"/>
  <c r="QG53" i="9"/>
  <c r="QK39" i="9"/>
  <c r="QJ39" i="9"/>
  <c r="QI39" i="9"/>
  <c r="QH39" i="9"/>
  <c r="QG39" i="9"/>
  <c r="NN53" i="9"/>
  <c r="NM53" i="9"/>
  <c r="NL53" i="9"/>
  <c r="NK53" i="9"/>
  <c r="NJ53" i="9"/>
  <c r="NN39" i="9"/>
  <c r="NM39" i="9"/>
  <c r="NL39" i="9"/>
  <c r="NK39" i="9"/>
  <c r="NJ39" i="9"/>
  <c r="KQ53" i="9"/>
  <c r="KP53" i="9"/>
  <c r="KO53" i="9"/>
  <c r="KN53" i="9"/>
  <c r="KM53" i="9"/>
  <c r="KQ39" i="9"/>
  <c r="KP39" i="9"/>
  <c r="KO39" i="9"/>
  <c r="KN39" i="9"/>
  <c r="KM39" i="9"/>
  <c r="KQ24" i="9"/>
  <c r="KP24" i="9"/>
  <c r="KO24" i="9"/>
  <c r="KN24" i="9"/>
  <c r="KM24" i="9"/>
  <c r="JC24" i="9"/>
  <c r="JB24" i="9"/>
  <c r="JA24" i="9"/>
  <c r="IZ24" i="9"/>
  <c r="IY24" i="9"/>
  <c r="KQ6" i="9"/>
  <c r="KP6" i="9"/>
  <c r="KO6" i="9"/>
  <c r="KN6" i="9"/>
  <c r="KM6" i="9"/>
  <c r="KQ5" i="9" l="1"/>
  <c r="TE5" i="9"/>
  <c r="TD5" i="9"/>
  <c r="KO5" i="9"/>
  <c r="TH5" i="9"/>
  <c r="TG5" i="9"/>
  <c r="TF5" i="9"/>
  <c r="KN5" i="9"/>
  <c r="KM5" i="9"/>
  <c r="KP5" i="9"/>
  <c r="HJ53" i="9" l="1"/>
  <c r="HI53" i="9"/>
  <c r="HH53" i="9"/>
  <c r="HG53" i="9"/>
  <c r="HF53" i="9"/>
  <c r="HJ39" i="9"/>
  <c r="HI39" i="9"/>
  <c r="HH39" i="9"/>
  <c r="HG39" i="9"/>
  <c r="HF39" i="9"/>
  <c r="HJ24" i="9"/>
  <c r="HI24" i="9"/>
  <c r="HH24" i="9"/>
  <c r="HG24" i="9"/>
  <c r="HF24" i="9"/>
  <c r="HJ6" i="9"/>
  <c r="HI6" i="9"/>
  <c r="HH6" i="9"/>
  <c r="HG6" i="9"/>
  <c r="HF6" i="9"/>
  <c r="DI53" i="9"/>
  <c r="DI39" i="9"/>
  <c r="DI24" i="9"/>
  <c r="AM53" i="9"/>
  <c r="AM39" i="9"/>
  <c r="AM24" i="9"/>
  <c r="AO53" i="9"/>
  <c r="AN53" i="9"/>
  <c r="AL53" i="9"/>
  <c r="AK53" i="9"/>
  <c r="AO39" i="9"/>
  <c r="AN39" i="9"/>
  <c r="AL39" i="9"/>
  <c r="AK39" i="9"/>
  <c r="AO24" i="9"/>
  <c r="AN24" i="9"/>
  <c r="AL24" i="9"/>
  <c r="AK24" i="9"/>
  <c r="DL52" i="19"/>
  <c r="CP54" i="31" s="1"/>
  <c r="DL38" i="19"/>
  <c r="CP40" i="31" s="1"/>
  <c r="DL23" i="19"/>
  <c r="CP25" i="31" s="1"/>
  <c r="CJ40" i="31" l="1"/>
  <c r="CJ25" i="31"/>
  <c r="HJ5" i="9"/>
  <c r="HG5" i="9"/>
  <c r="HF5" i="9"/>
  <c r="HH5" i="9"/>
  <c r="CJ54" i="31"/>
  <c r="HI5" i="9"/>
  <c r="CD39" i="9"/>
  <c r="CE39" i="9"/>
  <c r="CG39" i="9"/>
  <c r="CH39" i="9"/>
  <c r="CI39" i="9"/>
  <c r="CJ39" i="9"/>
  <c r="CK39" i="9"/>
  <c r="CL39" i="9"/>
  <c r="CM39" i="9"/>
  <c r="CN39" i="9"/>
  <c r="CO39" i="9"/>
  <c r="CP39" i="9"/>
  <c r="CQ39" i="9"/>
  <c r="CR39" i="9"/>
  <c r="CS39" i="9"/>
  <c r="CT39" i="9"/>
  <c r="CU39" i="9"/>
  <c r="CV39" i="9"/>
  <c r="CW39" i="9"/>
  <c r="CX39" i="9"/>
  <c r="CY39" i="9"/>
  <c r="CZ39" i="9"/>
  <c r="DA39" i="9"/>
  <c r="DB39" i="9"/>
  <c r="DC39" i="9"/>
  <c r="DD39" i="9"/>
  <c r="DE39" i="9"/>
  <c r="DF39" i="9"/>
  <c r="DG39" i="9"/>
  <c r="DH39" i="9"/>
  <c r="DJ39" i="9"/>
  <c r="DK39" i="9"/>
  <c r="CD53" i="9"/>
  <c r="CE53" i="9"/>
  <c r="CG53" i="9"/>
  <c r="CH53" i="9"/>
  <c r="CI53" i="9"/>
  <c r="CJ53" i="9"/>
  <c r="CK53" i="9"/>
  <c r="CL53" i="9"/>
  <c r="CM53" i="9"/>
  <c r="CN53" i="9"/>
  <c r="CO53" i="9"/>
  <c r="CP53" i="9"/>
  <c r="CQ53" i="9"/>
  <c r="CR53" i="9"/>
  <c r="CS53" i="9"/>
  <c r="CT53" i="9"/>
  <c r="CU53" i="9"/>
  <c r="CV53" i="9"/>
  <c r="CW53" i="9"/>
  <c r="CX53" i="9"/>
  <c r="CY53" i="9"/>
  <c r="CZ53" i="9"/>
  <c r="DA53" i="9"/>
  <c r="DB53" i="9"/>
  <c r="DC53" i="9"/>
  <c r="DD53" i="9"/>
  <c r="DE53" i="9"/>
  <c r="DF53" i="9"/>
  <c r="DG53" i="9"/>
  <c r="DH53" i="9"/>
  <c r="DJ53" i="9"/>
  <c r="DK53" i="9"/>
  <c r="CD24" i="9"/>
  <c r="CE24" i="9"/>
  <c r="CG24" i="9"/>
  <c r="CH24" i="9"/>
  <c r="CI24" i="9"/>
  <c r="CJ24" i="9"/>
  <c r="CK24" i="9"/>
  <c r="CL24" i="9"/>
  <c r="CM24" i="9"/>
  <c r="CN24" i="9"/>
  <c r="CO24" i="9"/>
  <c r="CP24" i="9"/>
  <c r="CQ24" i="9"/>
  <c r="CR24" i="9"/>
  <c r="CS24" i="9"/>
  <c r="CT24" i="9"/>
  <c r="CU24" i="9"/>
  <c r="CV24" i="9"/>
  <c r="CW24" i="9"/>
  <c r="CX24" i="9"/>
  <c r="CY24" i="9"/>
  <c r="CZ24" i="9"/>
  <c r="DA24" i="9"/>
  <c r="DB24" i="9"/>
  <c r="DC24" i="9"/>
  <c r="DD24" i="9"/>
  <c r="DE24" i="9"/>
  <c r="DF24" i="9"/>
  <c r="DG24" i="9"/>
  <c r="DH24" i="9"/>
  <c r="DJ24" i="9"/>
  <c r="DK24" i="9"/>
  <c r="ACL6" i="9"/>
  <c r="ACL5" i="9" s="1"/>
  <c r="ACK6" i="9"/>
  <c r="ACK5" i="9" s="1"/>
  <c r="ACJ6" i="9"/>
  <c r="ACJ5" i="9" s="1"/>
  <c r="ACI6" i="9"/>
  <c r="ACI5" i="9" s="1"/>
  <c r="ACH6" i="9"/>
  <c r="ACH5" i="9" s="1"/>
  <c r="ZO6" i="9"/>
  <c r="ZO5" i="9" s="1"/>
  <c r="ZN6" i="9"/>
  <c r="ZM6" i="9"/>
  <c r="ZL6" i="9"/>
  <c r="ZK6" i="9"/>
  <c r="QK6" i="9"/>
  <c r="QK5" i="9" s="1"/>
  <c r="QJ6" i="9"/>
  <c r="QJ5" i="9" s="1"/>
  <c r="QI6" i="9"/>
  <c r="QI5" i="9" s="1"/>
  <c r="QH6" i="9"/>
  <c r="QH5" i="9" s="1"/>
  <c r="QG6" i="9"/>
  <c r="QG5" i="9" s="1"/>
  <c r="NN6" i="9"/>
  <c r="NN5" i="9" s="1"/>
  <c r="NM6" i="9"/>
  <c r="NM5" i="9" s="1"/>
  <c r="NL6" i="9"/>
  <c r="NL5" i="9" s="1"/>
  <c r="NK6" i="9"/>
  <c r="NK5" i="9" s="1"/>
  <c r="NJ6" i="9"/>
  <c r="NJ5" i="9" s="1"/>
  <c r="DK6" i="9"/>
  <c r="DJ6" i="9"/>
  <c r="DI6" i="9"/>
  <c r="DH6" i="9"/>
  <c r="DG6" i="9"/>
  <c r="AN6" i="9"/>
  <c r="AN5" i="9" s="1"/>
  <c r="AO6" i="9"/>
  <c r="AO5" i="9" s="1"/>
  <c r="AM6" i="9"/>
  <c r="AM5" i="9" s="1"/>
  <c r="AL6" i="9"/>
  <c r="AL5" i="9" s="1"/>
  <c r="AK6" i="9"/>
  <c r="AK5" i="9" s="1"/>
  <c r="DN52" i="19"/>
  <c r="CR54" i="31" s="1"/>
  <c r="DM52" i="19"/>
  <c r="DK52" i="19"/>
  <c r="CN54" i="31" s="1"/>
  <c r="DJ52" i="19"/>
  <c r="DO52" i="19"/>
  <c r="DN38" i="19"/>
  <c r="CR40" i="31" s="1"/>
  <c r="DM38" i="19"/>
  <c r="DK38" i="19"/>
  <c r="CN40" i="31" s="1"/>
  <c r="DJ38" i="19"/>
  <c r="DN23" i="19"/>
  <c r="CR25" i="31" s="1"/>
  <c r="DM23" i="19"/>
  <c r="DK23" i="19"/>
  <c r="CN25" i="31" s="1"/>
  <c r="DJ23" i="19"/>
  <c r="DN5" i="19"/>
  <c r="CL7" i="31" s="1"/>
  <c r="DM5" i="19"/>
  <c r="DL5" i="19"/>
  <c r="DL4" i="19" s="1"/>
  <c r="DK5" i="19"/>
  <c r="DJ5" i="19"/>
  <c r="CQ65" i="31"/>
  <c r="CQ63" i="31"/>
  <c r="CQ62" i="31"/>
  <c r="CQ61" i="31"/>
  <c r="CQ60" i="31"/>
  <c r="CQ59" i="31"/>
  <c r="CQ58" i="31"/>
  <c r="CQ57" i="31"/>
  <c r="CQ56" i="31"/>
  <c r="CQ53" i="31"/>
  <c r="CQ52" i="31"/>
  <c r="CQ51" i="31"/>
  <c r="CQ50" i="31"/>
  <c r="CQ49" i="31"/>
  <c r="CQ48" i="31"/>
  <c r="CQ47" i="31"/>
  <c r="CQ46" i="31"/>
  <c r="CQ45" i="31"/>
  <c r="CQ44" i="31"/>
  <c r="CQ43" i="31"/>
  <c r="CQ42" i="31"/>
  <c r="CQ39" i="31"/>
  <c r="CQ38" i="31"/>
  <c r="CQ37" i="31"/>
  <c r="CQ36" i="31"/>
  <c r="CQ35" i="31"/>
  <c r="CQ34" i="31"/>
  <c r="CQ33" i="31"/>
  <c r="CQ32" i="31"/>
  <c r="CQ31" i="31"/>
  <c r="CQ30" i="31"/>
  <c r="CQ29" i="31"/>
  <c r="CQ28" i="31"/>
  <c r="CQ27" i="31"/>
  <c r="CQ24" i="31"/>
  <c r="CQ23" i="31"/>
  <c r="CQ22" i="31"/>
  <c r="CQ21" i="31"/>
  <c r="CQ20" i="31"/>
  <c r="CQ19" i="31"/>
  <c r="CQ18" i="31"/>
  <c r="CQ17" i="31"/>
  <c r="CQ16" i="31"/>
  <c r="CQ15" i="31"/>
  <c r="CQ14" i="31"/>
  <c r="CQ13" i="31"/>
  <c r="CQ12" i="31"/>
  <c r="CQ11" i="31"/>
  <c r="CQ10" i="31"/>
  <c r="CQ9" i="31"/>
  <c r="CO65" i="31"/>
  <c r="CO64" i="31"/>
  <c r="CO63" i="31"/>
  <c r="CO62" i="31"/>
  <c r="CO61" i="31"/>
  <c r="CO60" i="31"/>
  <c r="CO59" i="31"/>
  <c r="CO58" i="31"/>
  <c r="CO57" i="31"/>
  <c r="CO56" i="31"/>
  <c r="CO53" i="31"/>
  <c r="CO52" i="31"/>
  <c r="CO51" i="31"/>
  <c r="CO50" i="31"/>
  <c r="CO49" i="31"/>
  <c r="CO48" i="31"/>
  <c r="CO47" i="31"/>
  <c r="CO46" i="31"/>
  <c r="CO45" i="31"/>
  <c r="CO44" i="31"/>
  <c r="CO43" i="31"/>
  <c r="CO42" i="31"/>
  <c r="CO39" i="31"/>
  <c r="CO38" i="31"/>
  <c r="CO37" i="31"/>
  <c r="CO36" i="31"/>
  <c r="CO35" i="31"/>
  <c r="CO34" i="31"/>
  <c r="CO33" i="31"/>
  <c r="CO32" i="31"/>
  <c r="CO31" i="31"/>
  <c r="CO30" i="31"/>
  <c r="CO29" i="31"/>
  <c r="CO28" i="31"/>
  <c r="CO27" i="31"/>
  <c r="CO24" i="31"/>
  <c r="CO23" i="31"/>
  <c r="CO22" i="31"/>
  <c r="CO21" i="31"/>
  <c r="CO20" i="31"/>
  <c r="CO19" i="31"/>
  <c r="CO18" i="31"/>
  <c r="CO17" i="31"/>
  <c r="CO16" i="31"/>
  <c r="CO15" i="31"/>
  <c r="CO14" i="31"/>
  <c r="CO13" i="31"/>
  <c r="CO12" i="31"/>
  <c r="CO11" i="31"/>
  <c r="CO10" i="31"/>
  <c r="CO9" i="31"/>
  <c r="CK63" i="31"/>
  <c r="CK62" i="31"/>
  <c r="CK61" i="31"/>
  <c r="CK60" i="31"/>
  <c r="CK59" i="31"/>
  <c r="CK58" i="31"/>
  <c r="CK57" i="31"/>
  <c r="CK56" i="31"/>
  <c r="CK53" i="31"/>
  <c r="CK52" i="31"/>
  <c r="CK51" i="31"/>
  <c r="CK50" i="31"/>
  <c r="CK49" i="31"/>
  <c r="CK48" i="31"/>
  <c r="CK47" i="31"/>
  <c r="CK46" i="31"/>
  <c r="CK45" i="31"/>
  <c r="CK44" i="31"/>
  <c r="CK43" i="31"/>
  <c r="CK42" i="31"/>
  <c r="CK39" i="31"/>
  <c r="CK38" i="31"/>
  <c r="CK37" i="31"/>
  <c r="CK36" i="31"/>
  <c r="CK35" i="31"/>
  <c r="CK34" i="31"/>
  <c r="CK33" i="31"/>
  <c r="CK30" i="31"/>
  <c r="CK29" i="31"/>
  <c r="CK28" i="31"/>
  <c r="CK27" i="31"/>
  <c r="CK24" i="31"/>
  <c r="CK23" i="31"/>
  <c r="CK22" i="31"/>
  <c r="CK21" i="31"/>
  <c r="CK20" i="31"/>
  <c r="CK19" i="31"/>
  <c r="CK18" i="31"/>
  <c r="CK17" i="31"/>
  <c r="CK16" i="31"/>
  <c r="CK15" i="31"/>
  <c r="CK14" i="31"/>
  <c r="CK13" i="31"/>
  <c r="CK12" i="31"/>
  <c r="CK11" i="31"/>
  <c r="CK10" i="31"/>
  <c r="CK9" i="31"/>
  <c r="ER52" i="19"/>
  <c r="EQ52" i="19"/>
  <c r="EP52" i="19"/>
  <c r="EO52" i="19"/>
  <c r="EN52" i="19"/>
  <c r="ER38" i="19"/>
  <c r="EQ38" i="19"/>
  <c r="EP38" i="19"/>
  <c r="EO38" i="19"/>
  <c r="EN38" i="19"/>
  <c r="EN23" i="19"/>
  <c r="IM53" i="9"/>
  <c r="IK53" i="9"/>
  <c r="IJ53" i="9"/>
  <c r="IM39" i="9"/>
  <c r="IK39" i="9"/>
  <c r="IJ39" i="9"/>
  <c r="IM24" i="9"/>
  <c r="CM25" i="31" s="1"/>
  <c r="IK24" i="9"/>
  <c r="CI25" i="31" s="1"/>
  <c r="IJ24" i="9"/>
  <c r="IN6" i="9"/>
  <c r="IM6" i="9"/>
  <c r="IL6" i="9"/>
  <c r="IK6" i="9"/>
  <c r="IJ6" i="9"/>
  <c r="DM4" i="19" l="1"/>
  <c r="CJ7" i="31"/>
  <c r="CI54" i="31"/>
  <c r="CL40" i="31"/>
  <c r="DK4" i="19"/>
  <c r="CI40" i="31"/>
  <c r="CM40" i="31"/>
  <c r="CJ6" i="31"/>
  <c r="CH40" i="31"/>
  <c r="CH54" i="31"/>
  <c r="CM54" i="31"/>
  <c r="CN7" i="31"/>
  <c r="CL25" i="31"/>
  <c r="DJ4" i="19"/>
  <c r="CL54" i="31"/>
  <c r="CH25" i="31"/>
  <c r="DJ5" i="9"/>
  <c r="DG5" i="9"/>
  <c r="ZM5" i="9"/>
  <c r="CP6" i="31" s="1"/>
  <c r="CP7" i="31"/>
  <c r="DK5" i="9"/>
  <c r="ZN5" i="9"/>
  <c r="CR7" i="31"/>
  <c r="ZL5" i="9"/>
  <c r="CN6" i="31" s="1"/>
  <c r="ZK5" i="9"/>
  <c r="DI5" i="9"/>
  <c r="DH5" i="9"/>
  <c r="IN5" i="9"/>
  <c r="IL5" i="9"/>
  <c r="IM5" i="9"/>
  <c r="IK5" i="9"/>
  <c r="DN4" i="19"/>
  <c r="CL6" i="31" s="1"/>
  <c r="CK40" i="31"/>
  <c r="CK25" i="31"/>
  <c r="CK54" i="31"/>
  <c r="IJ5" i="9"/>
  <c r="CR6" i="31" l="1"/>
  <c r="OL53" i="9"/>
  <c r="OJ53" i="9"/>
  <c r="OI53" i="9"/>
  <c r="OL39" i="9"/>
  <c r="OJ39" i="9"/>
  <c r="OI39" i="9"/>
  <c r="OL24" i="9"/>
  <c r="OJ24" i="9"/>
  <c r="OI24" i="9"/>
  <c r="OM6" i="9"/>
  <c r="OL6" i="9"/>
  <c r="OK6" i="9"/>
  <c r="OJ6" i="9"/>
  <c r="OI6" i="9"/>
  <c r="RI53" i="9"/>
  <c r="RG53" i="9"/>
  <c r="RF53" i="9"/>
  <c r="RI39" i="9"/>
  <c r="RG39" i="9"/>
  <c r="RF39" i="9"/>
  <c r="RI24" i="9"/>
  <c r="RG24" i="9"/>
  <c r="RF24" i="9"/>
  <c r="RJ6" i="9"/>
  <c r="RI6" i="9"/>
  <c r="RH6" i="9"/>
  <c r="RG6" i="9"/>
  <c r="RF6" i="9"/>
  <c r="UF53" i="9"/>
  <c r="UD53" i="9"/>
  <c r="UC53" i="9"/>
  <c r="UF39" i="9"/>
  <c r="UD39" i="9"/>
  <c r="UC39" i="9"/>
  <c r="UF24" i="9"/>
  <c r="UD24" i="9"/>
  <c r="UC24" i="9"/>
  <c r="UG6" i="9"/>
  <c r="UF6" i="9"/>
  <c r="UE6" i="9"/>
  <c r="UD6" i="9"/>
  <c r="UC6" i="9"/>
  <c r="AAP53" i="9"/>
  <c r="CO54" i="31" s="1"/>
  <c r="CQ54" i="31"/>
  <c r="AAR53" i="9"/>
  <c r="AAO53" i="9"/>
  <c r="AAP39" i="9"/>
  <c r="CO40" i="31" s="1"/>
  <c r="CQ40" i="31"/>
  <c r="AAR39" i="9"/>
  <c r="AAO39" i="9"/>
  <c r="AAP24" i="9"/>
  <c r="CO25" i="31" s="1"/>
  <c r="AAR24" i="9"/>
  <c r="AAO24" i="9"/>
  <c r="AAS6" i="9"/>
  <c r="AAR6" i="9"/>
  <c r="AAQ6" i="9"/>
  <c r="AAP6" i="9"/>
  <c r="AAO6" i="9"/>
  <c r="ADM53" i="9"/>
  <c r="ADO53" i="9"/>
  <c r="ADL53" i="9"/>
  <c r="ADO39" i="9"/>
  <c r="ADM39" i="9"/>
  <c r="ADL39" i="9"/>
  <c r="ADO24" i="9"/>
  <c r="ADM24" i="9"/>
  <c r="ADL24" i="9"/>
  <c r="ADP6" i="9"/>
  <c r="ADO6" i="9"/>
  <c r="ADN6" i="9"/>
  <c r="ADM6" i="9"/>
  <c r="ADL6" i="9"/>
  <c r="EJ53" i="9"/>
  <c r="EI53" i="9"/>
  <c r="EG53" i="9"/>
  <c r="EF53" i="9"/>
  <c r="EJ39" i="9"/>
  <c r="EI39" i="9"/>
  <c r="EG39" i="9"/>
  <c r="EF39" i="9"/>
  <c r="EJ24" i="9"/>
  <c r="EI24" i="9"/>
  <c r="EG24" i="9"/>
  <c r="EF24" i="9"/>
  <c r="EJ6" i="9"/>
  <c r="EI6" i="9"/>
  <c r="EH6" i="9"/>
  <c r="EG6" i="9"/>
  <c r="EF6" i="9"/>
  <c r="BP53" i="9"/>
  <c r="BR53" i="9"/>
  <c r="BP39" i="9"/>
  <c r="BR39" i="9"/>
  <c r="BP24" i="9"/>
  <c r="BR24" i="9"/>
  <c r="CC53" i="9"/>
  <c r="BO53" i="9"/>
  <c r="BO39" i="9"/>
  <c r="BO24" i="9"/>
  <c r="BS6" i="9"/>
  <c r="BR6" i="9"/>
  <c r="BQ6" i="9"/>
  <c r="BP6" i="9"/>
  <c r="BO6" i="9"/>
  <c r="ER5" i="19"/>
  <c r="EQ5" i="19"/>
  <c r="EP5" i="19"/>
  <c r="EO5" i="19"/>
  <c r="CI7" i="31" s="1"/>
  <c r="EN5" i="19"/>
  <c r="CG65" i="31"/>
  <c r="CF65" i="31"/>
  <c r="CE65" i="31"/>
  <c r="CD65" i="31"/>
  <c r="CC65" i="31"/>
  <c r="CB65" i="31"/>
  <c r="CA65" i="31"/>
  <c r="BZ65" i="31"/>
  <c r="BY65" i="31"/>
  <c r="BX65" i="31"/>
  <c r="BW65" i="31"/>
  <c r="BV65" i="31"/>
  <c r="CG64" i="31"/>
  <c r="CF64" i="31"/>
  <c r="CE64" i="31"/>
  <c r="CD64" i="31"/>
  <c r="CC64" i="31"/>
  <c r="CB64" i="31"/>
  <c r="CA64" i="31"/>
  <c r="BZ64" i="31"/>
  <c r="BY64" i="31"/>
  <c r="BX64" i="31"/>
  <c r="BW64" i="31"/>
  <c r="BV64" i="31"/>
  <c r="CG63" i="31"/>
  <c r="CF63" i="31"/>
  <c r="CE63" i="31"/>
  <c r="CD63" i="31"/>
  <c r="CC63" i="31"/>
  <c r="CB63" i="31"/>
  <c r="CA63" i="31"/>
  <c r="BZ63" i="31"/>
  <c r="BY63" i="31"/>
  <c r="BX63" i="31"/>
  <c r="BW63" i="31"/>
  <c r="BV63" i="31"/>
  <c r="CG62" i="31"/>
  <c r="CF62" i="31"/>
  <c r="CE62" i="31"/>
  <c r="CD62" i="31"/>
  <c r="CC62" i="31"/>
  <c r="CB62" i="31"/>
  <c r="CA62" i="31"/>
  <c r="BZ62" i="31"/>
  <c r="BY62" i="31"/>
  <c r="BX62" i="31"/>
  <c r="BW62" i="31"/>
  <c r="BV62" i="31"/>
  <c r="CG61" i="31"/>
  <c r="CF61" i="31"/>
  <c r="CE61" i="31"/>
  <c r="CD61" i="31"/>
  <c r="CC61" i="31"/>
  <c r="CB61" i="31"/>
  <c r="CA61" i="31"/>
  <c r="BZ61" i="31"/>
  <c r="BY61" i="31"/>
  <c r="BX61" i="31"/>
  <c r="BW61" i="31"/>
  <c r="BV61" i="31"/>
  <c r="CG60" i="31"/>
  <c r="CF60" i="31"/>
  <c r="CE60" i="31"/>
  <c r="CD60" i="31"/>
  <c r="CC60" i="31"/>
  <c r="CB60" i="31"/>
  <c r="CA60" i="31"/>
  <c r="BZ60" i="31"/>
  <c r="BY60" i="31"/>
  <c r="BX60" i="31"/>
  <c r="BW60" i="31"/>
  <c r="BV60" i="31"/>
  <c r="CG59" i="31"/>
  <c r="CF59" i="31"/>
  <c r="CE59" i="31"/>
  <c r="CD59" i="31"/>
  <c r="CC59" i="31"/>
  <c r="CB59" i="31"/>
  <c r="CA59" i="31"/>
  <c r="BZ59" i="31"/>
  <c r="BY59" i="31"/>
  <c r="BX59" i="31"/>
  <c r="BW59" i="31"/>
  <c r="BV59" i="31"/>
  <c r="CG58" i="31"/>
  <c r="CF58" i="31"/>
  <c r="CE58" i="31"/>
  <c r="CD58" i="31"/>
  <c r="CC58" i="31"/>
  <c r="CB58" i="31"/>
  <c r="CA58" i="31"/>
  <c r="BZ58" i="31"/>
  <c r="BY58" i="31"/>
  <c r="BX58" i="31"/>
  <c r="BW58" i="31"/>
  <c r="BV58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CG56" i="31"/>
  <c r="CF56" i="31"/>
  <c r="CE56" i="31"/>
  <c r="CD56" i="31"/>
  <c r="CC56" i="31"/>
  <c r="CB56" i="31"/>
  <c r="CA56" i="31"/>
  <c r="BZ56" i="31"/>
  <c r="BY56" i="31"/>
  <c r="BX56" i="31"/>
  <c r="BW56" i="31"/>
  <c r="BV56" i="31"/>
  <c r="BY54" i="31"/>
  <c r="BW54" i="31"/>
  <c r="CG53" i="31"/>
  <c r="CF53" i="31"/>
  <c r="CE53" i="31"/>
  <c r="CD53" i="31"/>
  <c r="CC53" i="31"/>
  <c r="CB53" i="31"/>
  <c r="CA53" i="31"/>
  <c r="BZ53" i="31"/>
  <c r="BY53" i="31"/>
  <c r="BX53" i="31"/>
  <c r="BW53" i="31"/>
  <c r="BV53" i="31"/>
  <c r="CG52" i="31"/>
  <c r="CF52" i="31"/>
  <c r="CE52" i="31"/>
  <c r="CD52" i="31"/>
  <c r="CC52" i="31"/>
  <c r="CB52" i="31"/>
  <c r="CA52" i="31"/>
  <c r="BZ52" i="31"/>
  <c r="BY52" i="31"/>
  <c r="BX52" i="31"/>
  <c r="BW52" i="31"/>
  <c r="BV52" i="31"/>
  <c r="CG51" i="31"/>
  <c r="CF51" i="31"/>
  <c r="CE51" i="31"/>
  <c r="CD51" i="31"/>
  <c r="CC51" i="31"/>
  <c r="CB51" i="31"/>
  <c r="CA51" i="31"/>
  <c r="BZ51" i="31"/>
  <c r="BY51" i="31"/>
  <c r="BX51" i="31"/>
  <c r="BW51" i="31"/>
  <c r="BV51" i="31"/>
  <c r="CG50" i="31"/>
  <c r="CF50" i="31"/>
  <c r="CE50" i="31"/>
  <c r="CD50" i="31"/>
  <c r="CC50" i="31"/>
  <c r="CB50" i="31"/>
  <c r="CA50" i="31"/>
  <c r="BZ50" i="31"/>
  <c r="BY50" i="31"/>
  <c r="BX50" i="31"/>
  <c r="BW50" i="31"/>
  <c r="BV50" i="31"/>
  <c r="CG49" i="31"/>
  <c r="CF49" i="31"/>
  <c r="CE49" i="31"/>
  <c r="CD49" i="31"/>
  <c r="CC49" i="31"/>
  <c r="CB49" i="31"/>
  <c r="CA49" i="31"/>
  <c r="BZ49" i="31"/>
  <c r="BY49" i="31"/>
  <c r="BX49" i="31"/>
  <c r="BW49" i="31"/>
  <c r="BV49" i="31"/>
  <c r="CG48" i="31"/>
  <c r="CF48" i="31"/>
  <c r="CE48" i="31"/>
  <c r="CD48" i="31"/>
  <c r="CC48" i="31"/>
  <c r="CB48" i="31"/>
  <c r="CA48" i="31"/>
  <c r="BZ48" i="31"/>
  <c r="BY48" i="31"/>
  <c r="BX48" i="31"/>
  <c r="BW48" i="31"/>
  <c r="BV48" i="31"/>
  <c r="CG47" i="31"/>
  <c r="CF47" i="31"/>
  <c r="CE47" i="31"/>
  <c r="CD47" i="31"/>
  <c r="CC47" i="31"/>
  <c r="CB47" i="31"/>
  <c r="CA47" i="31"/>
  <c r="BZ47" i="31"/>
  <c r="BY47" i="31"/>
  <c r="BX47" i="31"/>
  <c r="BW47" i="31"/>
  <c r="BV47" i="31"/>
  <c r="CG46" i="31"/>
  <c r="CF46" i="31"/>
  <c r="CE46" i="31"/>
  <c r="CD46" i="31"/>
  <c r="CC46" i="31"/>
  <c r="CB46" i="31"/>
  <c r="CA46" i="31"/>
  <c r="BZ46" i="31"/>
  <c r="BY46" i="31"/>
  <c r="BX46" i="31"/>
  <c r="BW46" i="31"/>
  <c r="BV46" i="31"/>
  <c r="CG45" i="31"/>
  <c r="CF45" i="31"/>
  <c r="CE45" i="31"/>
  <c r="CD45" i="31"/>
  <c r="CC45" i="31"/>
  <c r="CB45" i="31"/>
  <c r="CA45" i="31"/>
  <c r="BZ45" i="31"/>
  <c r="BY45" i="31"/>
  <c r="BX45" i="31"/>
  <c r="BW45" i="31"/>
  <c r="BV45" i="31"/>
  <c r="CG44" i="31"/>
  <c r="CF44" i="31"/>
  <c r="CE44" i="31"/>
  <c r="CD44" i="31"/>
  <c r="CC44" i="31"/>
  <c r="CB44" i="31"/>
  <c r="CA44" i="31"/>
  <c r="BZ44" i="31"/>
  <c r="BY44" i="31"/>
  <c r="BX44" i="31"/>
  <c r="BW44" i="31"/>
  <c r="BV44" i="31"/>
  <c r="CG43" i="31"/>
  <c r="CF43" i="31"/>
  <c r="CE43" i="31"/>
  <c r="CD43" i="31"/>
  <c r="CC43" i="31"/>
  <c r="CB43" i="31"/>
  <c r="CA43" i="31"/>
  <c r="BZ43" i="31"/>
  <c r="BY43" i="31"/>
  <c r="BX43" i="31"/>
  <c r="BW43" i="31"/>
  <c r="BV43" i="31"/>
  <c r="CG42" i="31"/>
  <c r="CF42" i="31"/>
  <c r="CE42" i="31"/>
  <c r="CD42" i="31"/>
  <c r="CC42" i="31"/>
  <c r="CB42" i="31"/>
  <c r="CA42" i="31"/>
  <c r="BZ42" i="31"/>
  <c r="BY42" i="31"/>
  <c r="BX42" i="31"/>
  <c r="BW42" i="31"/>
  <c r="BV42" i="31"/>
  <c r="BY40" i="31"/>
  <c r="CG39" i="31"/>
  <c r="CF39" i="31"/>
  <c r="CE39" i="31"/>
  <c r="CD39" i="31"/>
  <c r="CC39" i="31"/>
  <c r="CB39" i="31"/>
  <c r="CA39" i="31"/>
  <c r="BZ39" i="31"/>
  <c r="BY39" i="31"/>
  <c r="BX39" i="31"/>
  <c r="BW39" i="31"/>
  <c r="BV39" i="31"/>
  <c r="CG38" i="31"/>
  <c r="CF38" i="31"/>
  <c r="CE38" i="31"/>
  <c r="CD38" i="31"/>
  <c r="CC38" i="31"/>
  <c r="CB38" i="31"/>
  <c r="CA38" i="31"/>
  <c r="BZ38" i="31"/>
  <c r="BY38" i="31"/>
  <c r="BX38" i="31"/>
  <c r="BW38" i="31"/>
  <c r="BV38" i="31"/>
  <c r="CG37" i="31"/>
  <c r="CF37" i="31"/>
  <c r="CE37" i="31"/>
  <c r="CD37" i="31"/>
  <c r="CC37" i="31"/>
  <c r="CB37" i="31"/>
  <c r="CA37" i="31"/>
  <c r="BZ37" i="31"/>
  <c r="BY37" i="31"/>
  <c r="BX37" i="31"/>
  <c r="BW37" i="31"/>
  <c r="BV37" i="31"/>
  <c r="CG36" i="31"/>
  <c r="CF36" i="31"/>
  <c r="CE36" i="31"/>
  <c r="CD36" i="31"/>
  <c r="CC36" i="31"/>
  <c r="CB36" i="31"/>
  <c r="CA36" i="31"/>
  <c r="BZ36" i="31"/>
  <c r="BY36" i="31"/>
  <c r="BX36" i="31"/>
  <c r="BW36" i="31"/>
  <c r="BV36" i="31"/>
  <c r="CG35" i="31"/>
  <c r="CF35" i="31"/>
  <c r="CE35" i="31"/>
  <c r="CD35" i="31"/>
  <c r="CC35" i="31"/>
  <c r="CB35" i="31"/>
  <c r="CA35" i="31"/>
  <c r="BZ35" i="31"/>
  <c r="BY35" i="31"/>
  <c r="BX35" i="31"/>
  <c r="BW35" i="31"/>
  <c r="BV35" i="31"/>
  <c r="CG34" i="31"/>
  <c r="CF34" i="31"/>
  <c r="CE34" i="31"/>
  <c r="CD34" i="31"/>
  <c r="CC34" i="31"/>
  <c r="CB34" i="31"/>
  <c r="CA34" i="31"/>
  <c r="BZ34" i="31"/>
  <c r="BY34" i="31"/>
  <c r="BX34" i="31"/>
  <c r="BW34" i="31"/>
  <c r="BV34" i="31"/>
  <c r="CG33" i="31"/>
  <c r="CF33" i="31"/>
  <c r="CE33" i="31"/>
  <c r="CD33" i="31"/>
  <c r="CC33" i="31"/>
  <c r="CB33" i="31"/>
  <c r="CA33" i="31"/>
  <c r="BZ33" i="31"/>
  <c r="BY33" i="31"/>
  <c r="BX33" i="31"/>
  <c r="BW33" i="31"/>
  <c r="BV33" i="31"/>
  <c r="CG32" i="31"/>
  <c r="CF32" i="31"/>
  <c r="CE32" i="31"/>
  <c r="CD32" i="31"/>
  <c r="CC32" i="31"/>
  <c r="CB32" i="31"/>
  <c r="CA32" i="31"/>
  <c r="BZ32" i="31"/>
  <c r="BY32" i="31"/>
  <c r="BX32" i="31"/>
  <c r="BW32" i="31"/>
  <c r="BV32" i="31"/>
  <c r="CG31" i="31"/>
  <c r="CF31" i="31"/>
  <c r="CE31" i="31"/>
  <c r="CD31" i="31"/>
  <c r="CC31" i="31"/>
  <c r="CB31" i="31"/>
  <c r="CA31" i="31"/>
  <c r="BZ31" i="31"/>
  <c r="BY31" i="31"/>
  <c r="BX31" i="31"/>
  <c r="BW31" i="31"/>
  <c r="BV31" i="31"/>
  <c r="CG30" i="31"/>
  <c r="CF30" i="31"/>
  <c r="CE30" i="31"/>
  <c r="CD30" i="31"/>
  <c r="CC30" i="31"/>
  <c r="CB30" i="31"/>
  <c r="CA30" i="31"/>
  <c r="BZ30" i="31"/>
  <c r="BY30" i="31"/>
  <c r="BX30" i="31"/>
  <c r="BW30" i="31"/>
  <c r="BV30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CG28" i="31"/>
  <c r="CF28" i="31"/>
  <c r="CE28" i="31"/>
  <c r="CD28" i="31"/>
  <c r="CC28" i="31"/>
  <c r="CB28" i="31"/>
  <c r="CA28" i="31"/>
  <c r="BZ28" i="31"/>
  <c r="BY28" i="31"/>
  <c r="BX28" i="31"/>
  <c r="BW28" i="31"/>
  <c r="BV28" i="31"/>
  <c r="CG27" i="31"/>
  <c r="CF27" i="31"/>
  <c r="CE27" i="31"/>
  <c r="CD27" i="31"/>
  <c r="CC27" i="31"/>
  <c r="CB27" i="31"/>
  <c r="CA27" i="31"/>
  <c r="BZ27" i="31"/>
  <c r="BY27" i="31"/>
  <c r="BX27" i="31"/>
  <c r="BW27" i="31"/>
  <c r="BV27" i="31"/>
  <c r="BY25" i="31"/>
  <c r="BW25" i="31"/>
  <c r="CG24" i="31"/>
  <c r="CF24" i="31"/>
  <c r="CE24" i="31"/>
  <c r="CD24" i="31"/>
  <c r="CC24" i="31"/>
  <c r="CB24" i="31"/>
  <c r="CA24" i="31"/>
  <c r="BZ24" i="31"/>
  <c r="BX24" i="31"/>
  <c r="BV24" i="31"/>
  <c r="CG23" i="31"/>
  <c r="CF23" i="31"/>
  <c r="CE23" i="31"/>
  <c r="CD23" i="31"/>
  <c r="CC23" i="31"/>
  <c r="CB23" i="31"/>
  <c r="CA23" i="31"/>
  <c r="BZ23" i="31"/>
  <c r="BX23" i="31"/>
  <c r="BV23" i="31"/>
  <c r="CG22" i="31"/>
  <c r="CF22" i="31"/>
  <c r="CE22" i="31"/>
  <c r="CD22" i="31"/>
  <c r="CC22" i="31"/>
  <c r="CB22" i="31"/>
  <c r="CA22" i="31"/>
  <c r="BZ22" i="31"/>
  <c r="BX22" i="31"/>
  <c r="BV22" i="31"/>
  <c r="CG21" i="31"/>
  <c r="CF21" i="31"/>
  <c r="CE21" i="31"/>
  <c r="CD21" i="31"/>
  <c r="CC21" i="31"/>
  <c r="CB21" i="31"/>
  <c r="CA21" i="31"/>
  <c r="BZ21" i="31"/>
  <c r="BX21" i="31"/>
  <c r="BV21" i="31"/>
  <c r="CG20" i="31"/>
  <c r="CF20" i="31"/>
  <c r="CE20" i="31"/>
  <c r="CD20" i="31"/>
  <c r="CC20" i="31"/>
  <c r="CB20" i="31"/>
  <c r="CA20" i="31"/>
  <c r="BZ20" i="31"/>
  <c r="BX20" i="31"/>
  <c r="BV20" i="31"/>
  <c r="CG19" i="31"/>
  <c r="CF19" i="31"/>
  <c r="CE19" i="31"/>
  <c r="CD19" i="31"/>
  <c r="CC19" i="31"/>
  <c r="CB19" i="31"/>
  <c r="CA19" i="31"/>
  <c r="BZ19" i="31"/>
  <c r="BX19" i="31"/>
  <c r="BV19" i="31"/>
  <c r="CG18" i="31"/>
  <c r="CF18" i="31"/>
  <c r="CE18" i="31"/>
  <c r="CD18" i="31"/>
  <c r="CC18" i="31"/>
  <c r="CB18" i="31"/>
  <c r="CA18" i="31"/>
  <c r="BZ18" i="31"/>
  <c r="BX18" i="31"/>
  <c r="BV18" i="31"/>
  <c r="CG17" i="31"/>
  <c r="CF17" i="31"/>
  <c r="CE17" i="31"/>
  <c r="CD17" i="31"/>
  <c r="CC17" i="31"/>
  <c r="CB17" i="31"/>
  <c r="CA17" i="31"/>
  <c r="BZ17" i="31"/>
  <c r="BX17" i="31"/>
  <c r="BV17" i="31"/>
  <c r="CG16" i="31"/>
  <c r="CF16" i="31"/>
  <c r="CE16" i="31"/>
  <c r="CD16" i="31"/>
  <c r="CC16" i="31"/>
  <c r="CB16" i="31"/>
  <c r="CA16" i="31"/>
  <c r="BZ16" i="31"/>
  <c r="BX16" i="31"/>
  <c r="BV16" i="31"/>
  <c r="CG15" i="31"/>
  <c r="CF15" i="31"/>
  <c r="CE15" i="31"/>
  <c r="CD15" i="31"/>
  <c r="CC15" i="31"/>
  <c r="CB15" i="31"/>
  <c r="CA15" i="31"/>
  <c r="BZ15" i="31"/>
  <c r="BX15" i="31"/>
  <c r="BV15" i="31"/>
  <c r="CG14" i="31"/>
  <c r="CF14" i="31"/>
  <c r="CE14" i="31"/>
  <c r="CD14" i="31"/>
  <c r="CC14" i="31"/>
  <c r="CB14" i="31"/>
  <c r="CA14" i="31"/>
  <c r="BZ14" i="31"/>
  <c r="BX14" i="31"/>
  <c r="BV14" i="31"/>
  <c r="CG13" i="31"/>
  <c r="CF13" i="31"/>
  <c r="CE13" i="31"/>
  <c r="CD13" i="31"/>
  <c r="CC13" i="31"/>
  <c r="CB13" i="31"/>
  <c r="CA13" i="31"/>
  <c r="BZ13" i="31"/>
  <c r="BX13" i="31"/>
  <c r="BV13" i="31"/>
  <c r="CG12" i="31"/>
  <c r="CF12" i="31"/>
  <c r="CE12" i="31"/>
  <c r="CD12" i="31"/>
  <c r="CC12" i="31"/>
  <c r="CB12" i="31"/>
  <c r="CA12" i="31"/>
  <c r="BZ12" i="31"/>
  <c r="BX12" i="31"/>
  <c r="BV12" i="31"/>
  <c r="CG11" i="31"/>
  <c r="CF11" i="31"/>
  <c r="CE11" i="31"/>
  <c r="CD11" i="31"/>
  <c r="CC11" i="31"/>
  <c r="CB11" i="31"/>
  <c r="CA11" i="31"/>
  <c r="BZ11" i="31"/>
  <c r="BY11" i="31"/>
  <c r="BX11" i="31"/>
  <c r="BW11" i="31"/>
  <c r="BV11" i="31"/>
  <c r="CG10" i="31"/>
  <c r="CF10" i="31"/>
  <c r="CE10" i="31"/>
  <c r="CD10" i="31"/>
  <c r="CC10" i="31"/>
  <c r="CB10" i="31"/>
  <c r="CA10" i="31"/>
  <c r="BZ10" i="31"/>
  <c r="BX10" i="31"/>
  <c r="BV10" i="31"/>
  <c r="CG9" i="31"/>
  <c r="CF9" i="31"/>
  <c r="CE9" i="31"/>
  <c r="CD9" i="31"/>
  <c r="CC9" i="31"/>
  <c r="CB9" i="31"/>
  <c r="CA9" i="31"/>
  <c r="BZ9" i="31"/>
  <c r="BX9" i="31"/>
  <c r="BV9" i="31"/>
  <c r="UB39" i="9"/>
  <c r="UA39" i="9"/>
  <c r="TZ39" i="9"/>
  <c r="TY39" i="9"/>
  <c r="TX39" i="9"/>
  <c r="AAN53" i="9"/>
  <c r="AAM53" i="9"/>
  <c r="AAL53" i="9"/>
  <c r="AAK53" i="9"/>
  <c r="AAJ53" i="9"/>
  <c r="AAN39" i="9"/>
  <c r="AAM39" i="9"/>
  <c r="AAL39" i="9"/>
  <c r="AAK39" i="9"/>
  <c r="AAJ39" i="9"/>
  <c r="AAN24" i="9"/>
  <c r="AAM24" i="9"/>
  <c r="AAL24" i="9"/>
  <c r="AAK24" i="9"/>
  <c r="AAJ24" i="9"/>
  <c r="AAN6" i="9"/>
  <c r="AAM6" i="9"/>
  <c r="AAL6" i="9"/>
  <c r="AAK6" i="9"/>
  <c r="AAJ6" i="9"/>
  <c r="UB53" i="9"/>
  <c r="UA53" i="9"/>
  <c r="TZ53" i="9"/>
  <c r="TY53" i="9"/>
  <c r="TX53" i="9"/>
  <c r="UB24" i="9"/>
  <c r="UA24" i="9"/>
  <c r="TZ24" i="9"/>
  <c r="TY24" i="9"/>
  <c r="TX24" i="9"/>
  <c r="UB6" i="9"/>
  <c r="UA6" i="9"/>
  <c r="TZ6" i="9"/>
  <c r="TY6" i="9"/>
  <c r="TX6" i="9"/>
  <c r="RE53" i="9"/>
  <c r="RD53" i="9"/>
  <c r="RC53" i="9"/>
  <c r="RB53" i="9"/>
  <c r="RA53" i="9"/>
  <c r="QZ53" i="9"/>
  <c r="QY53" i="9"/>
  <c r="QX53" i="9"/>
  <c r="QW53" i="9"/>
  <c r="QV53" i="9"/>
  <c r="RA39" i="9"/>
  <c r="RE39" i="9"/>
  <c r="RD39" i="9"/>
  <c r="RC39" i="9"/>
  <c r="RB39" i="9"/>
  <c r="QZ39" i="9"/>
  <c r="QY39" i="9"/>
  <c r="QX39" i="9"/>
  <c r="QW39" i="9"/>
  <c r="QV39" i="9"/>
  <c r="RE24" i="9"/>
  <c r="RD24" i="9"/>
  <c r="RC24" i="9"/>
  <c r="RB24" i="9"/>
  <c r="RA24" i="9"/>
  <c r="QZ24" i="9"/>
  <c r="QY24" i="9"/>
  <c r="QX24" i="9"/>
  <c r="QW24" i="9"/>
  <c r="QV24" i="9"/>
  <c r="RE6" i="9"/>
  <c r="RD6" i="9"/>
  <c r="RC6" i="9"/>
  <c r="RB6" i="9"/>
  <c r="RA6" i="9"/>
  <c r="OH53" i="9"/>
  <c r="OG53" i="9"/>
  <c r="OF53" i="9"/>
  <c r="OE53" i="9"/>
  <c r="OD53" i="9"/>
  <c r="OH39" i="9"/>
  <c r="OG39" i="9"/>
  <c r="OF39" i="9"/>
  <c r="OE39" i="9"/>
  <c r="OD39" i="9"/>
  <c r="OH24" i="9"/>
  <c r="OG24" i="9"/>
  <c r="OF24" i="9"/>
  <c r="OE24" i="9"/>
  <c r="OD24" i="9"/>
  <c r="OH6" i="9"/>
  <c r="OG6" i="9"/>
  <c r="OF6" i="9"/>
  <c r="OE6" i="9"/>
  <c r="OD6" i="9"/>
  <c r="LK53" i="9"/>
  <c r="LJ53" i="9"/>
  <c r="LI53" i="9"/>
  <c r="LH53" i="9"/>
  <c r="LG53" i="9"/>
  <c r="LK39" i="9"/>
  <c r="LJ39" i="9"/>
  <c r="LI39" i="9"/>
  <c r="LH39" i="9"/>
  <c r="LG39" i="9"/>
  <c r="LK24" i="9"/>
  <c r="LJ24" i="9"/>
  <c r="LI24" i="9"/>
  <c r="LH24" i="9"/>
  <c r="LG24" i="9"/>
  <c r="LK6" i="9"/>
  <c r="LJ6" i="9"/>
  <c r="LI6" i="9"/>
  <c r="LH6" i="9"/>
  <c r="LG6" i="9"/>
  <c r="II53" i="9"/>
  <c r="IH53" i="9"/>
  <c r="IG53" i="9"/>
  <c r="IF53" i="9"/>
  <c r="IE53" i="9"/>
  <c r="II39" i="9"/>
  <c r="IH39" i="9"/>
  <c r="IG39" i="9"/>
  <c r="IF39" i="9"/>
  <c r="IE39" i="9"/>
  <c r="II24" i="9"/>
  <c r="IH24" i="9"/>
  <c r="IG24" i="9"/>
  <c r="IF24" i="9"/>
  <c r="IE24" i="9"/>
  <c r="II6" i="9"/>
  <c r="IH6" i="9"/>
  <c r="IG6" i="9"/>
  <c r="IF6" i="9"/>
  <c r="IE6" i="9"/>
  <c r="EE53" i="9"/>
  <c r="ED53" i="9"/>
  <c r="EC53" i="9"/>
  <c r="EB53" i="9"/>
  <c r="EA53" i="9"/>
  <c r="EE39" i="9"/>
  <c r="ED39" i="9"/>
  <c r="EC39" i="9"/>
  <c r="EB39" i="9"/>
  <c r="EA39" i="9"/>
  <c r="EE24" i="9"/>
  <c r="ED24" i="9"/>
  <c r="EC24" i="9"/>
  <c r="EB24" i="9"/>
  <c r="EA24" i="9"/>
  <c r="EE6" i="9"/>
  <c r="ED6" i="9"/>
  <c r="EC6" i="9"/>
  <c r="EB6" i="9"/>
  <c r="EA6" i="9"/>
  <c r="BN53" i="9"/>
  <c r="BM53" i="9"/>
  <c r="BL53" i="9"/>
  <c r="BK53" i="9"/>
  <c r="BJ53" i="9"/>
  <c r="BN39" i="9"/>
  <c r="BM39" i="9"/>
  <c r="BL39" i="9"/>
  <c r="BK39" i="9"/>
  <c r="BJ39" i="9"/>
  <c r="BN24" i="9"/>
  <c r="BM24" i="9"/>
  <c r="BL24" i="9"/>
  <c r="BK24" i="9"/>
  <c r="BJ24" i="9"/>
  <c r="BN6" i="9"/>
  <c r="BM6" i="9"/>
  <c r="BL6" i="9"/>
  <c r="BK6" i="9"/>
  <c r="BJ6" i="9"/>
  <c r="ER4" i="19" l="1"/>
  <c r="CM7" i="31"/>
  <c r="CS7" i="31"/>
  <c r="CS25" i="31"/>
  <c r="CS40" i="31"/>
  <c r="CS54" i="31"/>
  <c r="CM6" i="31"/>
  <c r="RF5" i="9"/>
  <c r="AAQ5" i="9"/>
  <c r="CQ25" i="31"/>
  <c r="CQ7" i="31"/>
  <c r="CK7" i="31"/>
  <c r="EP4" i="19"/>
  <c r="EO4" i="19"/>
  <c r="CI6" i="31" s="1"/>
  <c r="CO7" i="31"/>
  <c r="ADM5" i="9"/>
  <c r="RG5" i="9"/>
  <c r="UG5" i="9"/>
  <c r="AAR5" i="9"/>
  <c r="CS6" i="31" s="1"/>
  <c r="AAS5" i="9"/>
  <c r="AAP5" i="9"/>
  <c r="RJ5" i="9"/>
  <c r="ADN5" i="9"/>
  <c r="ADL5" i="9"/>
  <c r="ADP5" i="9"/>
  <c r="UE5" i="9"/>
  <c r="OJ5" i="9"/>
  <c r="OK5" i="9"/>
  <c r="OI5" i="9"/>
  <c r="AAO5" i="9"/>
  <c r="RH5" i="9"/>
  <c r="OL5" i="9"/>
  <c r="OM5" i="9"/>
  <c r="RI5" i="9"/>
  <c r="UC5" i="9"/>
  <c r="UD5" i="9"/>
  <c r="UF5" i="9"/>
  <c r="ADO5" i="9"/>
  <c r="EJ5" i="9"/>
  <c r="EG5" i="9"/>
  <c r="EH5" i="9"/>
  <c r="EI5" i="9"/>
  <c r="EF5" i="9"/>
  <c r="BO5" i="9"/>
  <c r="BQ5" i="9"/>
  <c r="BP5" i="9"/>
  <c r="BS5" i="9"/>
  <c r="BR5" i="9"/>
  <c r="TZ5" i="9"/>
  <c r="AAL5" i="9"/>
  <c r="RD5" i="9"/>
  <c r="AAM5" i="9"/>
  <c r="EN4" i="19"/>
  <c r="BY6" i="31"/>
  <c r="BW40" i="31"/>
  <c r="EQ4" i="19"/>
  <c r="TX5" i="9"/>
  <c r="AAJ5" i="9"/>
  <c r="AAN5" i="9"/>
  <c r="AAK5" i="9"/>
  <c r="LG5" i="9"/>
  <c r="LK5" i="9"/>
  <c r="RE5" i="9"/>
  <c r="UB5" i="9"/>
  <c r="UA5" i="9"/>
  <c r="TY5" i="9"/>
  <c r="RA5" i="9"/>
  <c r="RC5" i="9"/>
  <c r="RB5" i="9"/>
  <c r="LI5" i="9"/>
  <c r="OH5" i="9"/>
  <c r="OF5" i="9"/>
  <c r="OD5" i="9"/>
  <c r="OG5" i="9"/>
  <c r="OE5" i="9"/>
  <c r="EC5" i="9"/>
  <c r="BJ5" i="9"/>
  <c r="IH5" i="9"/>
  <c r="IG5" i="9"/>
  <c r="LJ5" i="9"/>
  <c r="LH5" i="9"/>
  <c r="II5" i="9"/>
  <c r="IF5" i="9"/>
  <c r="IE5" i="9"/>
  <c r="EA5" i="9"/>
  <c r="BL5" i="9"/>
  <c r="EE5" i="9"/>
  <c r="ED5" i="9"/>
  <c r="EB5" i="9"/>
  <c r="BN5" i="9"/>
  <c r="BM5" i="9"/>
  <c r="BK5" i="9"/>
  <c r="ADK53" i="9"/>
  <c r="ADJ53" i="9"/>
  <c r="ADI53" i="9"/>
  <c r="ADH53" i="9"/>
  <c r="ADG53" i="9"/>
  <c r="ADK39" i="9"/>
  <c r="ADJ39" i="9"/>
  <c r="ADI39" i="9"/>
  <c r="ADH39" i="9"/>
  <c r="ADG39" i="9"/>
  <c r="ADK24" i="9"/>
  <c r="ADJ24" i="9"/>
  <c r="ADI24" i="9"/>
  <c r="ADH24" i="9"/>
  <c r="ADG24" i="9"/>
  <c r="ADK6" i="9"/>
  <c r="ADJ6" i="9"/>
  <c r="ADI6" i="9"/>
  <c r="ADH6" i="9"/>
  <c r="ADG6" i="9"/>
  <c r="EM52" i="19"/>
  <c r="EL52" i="19"/>
  <c r="EK52" i="19"/>
  <c r="EJ52" i="19"/>
  <c r="EI52" i="19"/>
  <c r="EM38" i="19"/>
  <c r="EL38" i="19"/>
  <c r="EK38" i="19"/>
  <c r="EJ38" i="19"/>
  <c r="EI38" i="19"/>
  <c r="EM23" i="19"/>
  <c r="EL23" i="19"/>
  <c r="EK23" i="19"/>
  <c r="EJ23" i="19"/>
  <c r="EI23" i="19"/>
  <c r="EM5" i="19"/>
  <c r="EL5" i="19"/>
  <c r="EK5" i="19"/>
  <c r="EJ5" i="19"/>
  <c r="EI5" i="19"/>
  <c r="EM4" i="19" l="1"/>
  <c r="CO6" i="31"/>
  <c r="CK6" i="31"/>
  <c r="CQ6" i="31"/>
  <c r="ADH5" i="9"/>
  <c r="ADK5" i="9"/>
  <c r="ADI5" i="9"/>
  <c r="BW6" i="31"/>
  <c r="ADG5" i="9"/>
  <c r="EI4" i="19"/>
  <c r="ADJ5" i="9"/>
  <c r="EL4" i="19"/>
  <c r="EJ4" i="19"/>
  <c r="EK4" i="19"/>
  <c r="EF52" i="19"/>
  <c r="EF38" i="19"/>
  <c r="EF23" i="19"/>
  <c r="BR50" i="31"/>
  <c r="BU65" i="31" l="1"/>
  <c r="BU64" i="31"/>
  <c r="BU63" i="31"/>
  <c r="BU62" i="31"/>
  <c r="BU61" i="31"/>
  <c r="BU60" i="31"/>
  <c r="BU59" i="31"/>
  <c r="BU58" i="31"/>
  <c r="BU57" i="31"/>
  <c r="BU56" i="31"/>
  <c r="BU53" i="31"/>
  <c r="BU52" i="31"/>
  <c r="BU51" i="31"/>
  <c r="BU50" i="31"/>
  <c r="BU49" i="31"/>
  <c r="BU48" i="31"/>
  <c r="BU47" i="31"/>
  <c r="BU46" i="31"/>
  <c r="BU45" i="31"/>
  <c r="BU44" i="31"/>
  <c r="BU43" i="31"/>
  <c r="BU42" i="31"/>
  <c r="BU39" i="31"/>
  <c r="BU38" i="31"/>
  <c r="BU37" i="31"/>
  <c r="BU36" i="31"/>
  <c r="BU35" i="31"/>
  <c r="BU34" i="31"/>
  <c r="BU33" i="31"/>
  <c r="BU32" i="31"/>
  <c r="BU31" i="31"/>
  <c r="BU30" i="31"/>
  <c r="BU29" i="31"/>
  <c r="BU28" i="31"/>
  <c r="BU27" i="31"/>
  <c r="BU24" i="31"/>
  <c r="BU23" i="31"/>
  <c r="BU22" i="31"/>
  <c r="BU21" i="31"/>
  <c r="BU20" i="31"/>
  <c r="BU19" i="31"/>
  <c r="BU18" i="31"/>
  <c r="BU17" i="31"/>
  <c r="BU16" i="31"/>
  <c r="BU15" i="31"/>
  <c r="BU14" i="31"/>
  <c r="BU13" i="31"/>
  <c r="BU12" i="31"/>
  <c r="BU11" i="31"/>
  <c r="BU10" i="31"/>
  <c r="BU9" i="31"/>
  <c r="BT65" i="31"/>
  <c r="BT64" i="31"/>
  <c r="BT63" i="31"/>
  <c r="BT62" i="31"/>
  <c r="BT61" i="31"/>
  <c r="BT60" i="31"/>
  <c r="BT59" i="31"/>
  <c r="BT58" i="31"/>
  <c r="BT57" i="31"/>
  <c r="BT56" i="31"/>
  <c r="BT53" i="31"/>
  <c r="BT52" i="31"/>
  <c r="BT51" i="31"/>
  <c r="BT50" i="31"/>
  <c r="BT49" i="31"/>
  <c r="BT48" i="31"/>
  <c r="BT47" i="31"/>
  <c r="BT46" i="31"/>
  <c r="BT45" i="31"/>
  <c r="BT44" i="31"/>
  <c r="BT43" i="31"/>
  <c r="BT42" i="31"/>
  <c r="BT39" i="31"/>
  <c r="BT38" i="31"/>
  <c r="BT37" i="31"/>
  <c r="BT36" i="31"/>
  <c r="BT35" i="31"/>
  <c r="BT34" i="31"/>
  <c r="BT33" i="31"/>
  <c r="BT32" i="31"/>
  <c r="BT31" i="31"/>
  <c r="BT30" i="31"/>
  <c r="BT29" i="31"/>
  <c r="BT28" i="31"/>
  <c r="BT27" i="31"/>
  <c r="BT24" i="31"/>
  <c r="BT23" i="31"/>
  <c r="BT22" i="31"/>
  <c r="BT21" i="31"/>
  <c r="BT20" i="31"/>
  <c r="BT19" i="31"/>
  <c r="BT18" i="31"/>
  <c r="BT17" i="31"/>
  <c r="BT16" i="31"/>
  <c r="BT15" i="31"/>
  <c r="BT14" i="31"/>
  <c r="BT13" i="31"/>
  <c r="BT12" i="31"/>
  <c r="BT11" i="31"/>
  <c r="BT10" i="31"/>
  <c r="BT9" i="31"/>
  <c r="BS65" i="31"/>
  <c r="BS63" i="31"/>
  <c r="BS62" i="31"/>
  <c r="BS61" i="31"/>
  <c r="BS60" i="31"/>
  <c r="BS59" i="31"/>
  <c r="BS58" i="31"/>
  <c r="BS57" i="31"/>
  <c r="BS56" i="31"/>
  <c r="BS53" i="31"/>
  <c r="BS52" i="31"/>
  <c r="BS51" i="31"/>
  <c r="BS50" i="31"/>
  <c r="BS49" i="31"/>
  <c r="BS48" i="31"/>
  <c r="BS47" i="31"/>
  <c r="BS46" i="31"/>
  <c r="BS45" i="31"/>
  <c r="BS44" i="31"/>
  <c r="BS43" i="31"/>
  <c r="BS42" i="31"/>
  <c r="BS39" i="31"/>
  <c r="BS38" i="31"/>
  <c r="BS37" i="31"/>
  <c r="BS36" i="31"/>
  <c r="BS35" i="31"/>
  <c r="BS34" i="31"/>
  <c r="BS33" i="31"/>
  <c r="BS32" i="31"/>
  <c r="BS31" i="31"/>
  <c r="BS30" i="31"/>
  <c r="BS29" i="31"/>
  <c r="BS28" i="31"/>
  <c r="BS27" i="31"/>
  <c r="BS24" i="31"/>
  <c r="BS23" i="31"/>
  <c r="BS22" i="31"/>
  <c r="BS21" i="31"/>
  <c r="BS20" i="31"/>
  <c r="BS19" i="31"/>
  <c r="BS18" i="31"/>
  <c r="BS17" i="31"/>
  <c r="BS16" i="31"/>
  <c r="BS15" i="31"/>
  <c r="BS14" i="31"/>
  <c r="BS13" i="31"/>
  <c r="BS12" i="31"/>
  <c r="BS11" i="31"/>
  <c r="BS10" i="31"/>
  <c r="BS9" i="31"/>
  <c r="BR65" i="31"/>
  <c r="BR64" i="31"/>
  <c r="BR63" i="31"/>
  <c r="BR62" i="31"/>
  <c r="BR61" i="31"/>
  <c r="BR60" i="31"/>
  <c r="BR59" i="31"/>
  <c r="BR58" i="31"/>
  <c r="BR57" i="31"/>
  <c r="BR56" i="31"/>
  <c r="BR53" i="31"/>
  <c r="BR52" i="31"/>
  <c r="BR51" i="31"/>
  <c r="BR49" i="31"/>
  <c r="BR48" i="31"/>
  <c r="BR47" i="31"/>
  <c r="BR46" i="31"/>
  <c r="BR45" i="31"/>
  <c r="BR44" i="31"/>
  <c r="BR43" i="31"/>
  <c r="BR42" i="31"/>
  <c r="BR39" i="31"/>
  <c r="BR38" i="31"/>
  <c r="BR37" i="31"/>
  <c r="BR36" i="31"/>
  <c r="BR35" i="31"/>
  <c r="BR34" i="31"/>
  <c r="BR33" i="31"/>
  <c r="BR32" i="31"/>
  <c r="BR31" i="31"/>
  <c r="BR30" i="31"/>
  <c r="BR29" i="31"/>
  <c r="BR28" i="31"/>
  <c r="BR27" i="31"/>
  <c r="BR24" i="31"/>
  <c r="BR23" i="31"/>
  <c r="BR22" i="31"/>
  <c r="BR21" i="31"/>
  <c r="BR20" i="31"/>
  <c r="BR19" i="31"/>
  <c r="BR18" i="31"/>
  <c r="BR17" i="31"/>
  <c r="BR16" i="31"/>
  <c r="BR15" i="31"/>
  <c r="BR14" i="31"/>
  <c r="BR13" i="31"/>
  <c r="BR12" i="31"/>
  <c r="BR11" i="31"/>
  <c r="BR10" i="31"/>
  <c r="BR9" i="31"/>
  <c r="BQ65" i="31"/>
  <c r="BQ64" i="31"/>
  <c r="BQ63" i="31"/>
  <c r="BQ62" i="31"/>
  <c r="BQ61" i="31"/>
  <c r="BQ60" i="31"/>
  <c r="BQ59" i="31"/>
  <c r="BQ58" i="31"/>
  <c r="BQ57" i="31"/>
  <c r="BQ56" i="31"/>
  <c r="BQ53" i="31"/>
  <c r="BQ52" i="31"/>
  <c r="BQ51" i="31"/>
  <c r="BQ50" i="31"/>
  <c r="BQ49" i="31"/>
  <c r="BQ48" i="31"/>
  <c r="BQ47" i="31"/>
  <c r="BQ46" i="31"/>
  <c r="BQ45" i="31"/>
  <c r="BQ44" i="31"/>
  <c r="BQ43" i="31"/>
  <c r="BQ42" i="31"/>
  <c r="BQ39" i="31"/>
  <c r="BQ38" i="31"/>
  <c r="BQ37" i="31"/>
  <c r="BQ36" i="31"/>
  <c r="BQ35" i="31"/>
  <c r="BQ34" i="31"/>
  <c r="BQ33" i="31"/>
  <c r="BQ32" i="31"/>
  <c r="BQ31" i="31"/>
  <c r="BQ30" i="31"/>
  <c r="BQ29" i="31"/>
  <c r="BQ28" i="31"/>
  <c r="BQ27" i="31"/>
  <c r="BQ24" i="31"/>
  <c r="BQ23" i="31"/>
  <c r="BQ22" i="31"/>
  <c r="BQ21" i="31"/>
  <c r="BQ20" i="31"/>
  <c r="BQ19" i="31"/>
  <c r="BQ18" i="31"/>
  <c r="BQ17" i="31"/>
  <c r="BQ16" i="31"/>
  <c r="BQ15" i="31"/>
  <c r="BQ14" i="31"/>
  <c r="BQ13" i="31"/>
  <c r="BQ12" i="31"/>
  <c r="BQ11" i="31"/>
  <c r="BQ10" i="31"/>
  <c r="BQ9" i="31"/>
  <c r="BP65" i="31"/>
  <c r="BP64" i="31"/>
  <c r="BP63" i="31"/>
  <c r="BP62" i="31"/>
  <c r="BP61" i="31"/>
  <c r="BP60" i="31"/>
  <c r="BP59" i="31"/>
  <c r="BP58" i="31"/>
  <c r="BP57" i="31"/>
  <c r="BP56" i="31"/>
  <c r="BP53" i="31"/>
  <c r="BP52" i="31"/>
  <c r="BP51" i="31"/>
  <c r="BP50" i="31"/>
  <c r="BP49" i="31"/>
  <c r="BP48" i="31"/>
  <c r="BP47" i="31"/>
  <c r="BP46" i="31"/>
  <c r="BP45" i="31"/>
  <c r="BP44" i="31"/>
  <c r="BP43" i="31"/>
  <c r="BP42" i="31"/>
  <c r="BP39" i="31"/>
  <c r="BP38" i="31"/>
  <c r="BP37" i="31"/>
  <c r="BP36" i="31"/>
  <c r="BP35" i="31"/>
  <c r="BP34" i="31"/>
  <c r="BP33" i="31"/>
  <c r="BP32" i="31"/>
  <c r="BP31" i="31"/>
  <c r="BP30" i="31"/>
  <c r="BP29" i="31"/>
  <c r="BP28" i="31"/>
  <c r="BP27" i="31"/>
  <c r="BP24" i="31"/>
  <c r="BP23" i="31"/>
  <c r="BP22" i="31"/>
  <c r="BP21" i="31"/>
  <c r="BP20" i="31"/>
  <c r="BP19" i="31"/>
  <c r="BP18" i="31"/>
  <c r="BP17" i="31"/>
  <c r="BP16" i="31"/>
  <c r="BP15" i="31"/>
  <c r="BP14" i="31"/>
  <c r="BP13" i="31"/>
  <c r="BP12" i="31"/>
  <c r="BP11" i="31"/>
  <c r="BP10" i="31"/>
  <c r="BP9" i="31"/>
  <c r="BO65" i="31"/>
  <c r="BO64" i="31"/>
  <c r="BO63" i="31"/>
  <c r="BO62" i="31"/>
  <c r="BO61" i="31"/>
  <c r="BO60" i="31"/>
  <c r="BO59" i="31"/>
  <c r="BO58" i="31"/>
  <c r="BO57" i="31"/>
  <c r="BO56" i="31"/>
  <c r="BO53" i="31"/>
  <c r="BO52" i="31"/>
  <c r="BO51" i="31"/>
  <c r="BO50" i="31"/>
  <c r="BO49" i="31"/>
  <c r="BO48" i="31"/>
  <c r="BO47" i="31"/>
  <c r="BO46" i="31"/>
  <c r="BO45" i="31"/>
  <c r="BO44" i="31"/>
  <c r="BO43" i="31"/>
  <c r="BO42" i="31"/>
  <c r="BO39" i="31"/>
  <c r="BO38" i="31"/>
  <c r="BO37" i="31"/>
  <c r="BO36" i="31"/>
  <c r="BO35" i="31"/>
  <c r="BO34" i="31"/>
  <c r="BO33" i="31"/>
  <c r="BO32" i="31"/>
  <c r="BO31" i="31"/>
  <c r="BO30" i="31"/>
  <c r="BO29" i="31"/>
  <c r="BO28" i="31"/>
  <c r="BO27" i="31"/>
  <c r="BO24" i="31"/>
  <c r="BO23" i="31"/>
  <c r="BO22" i="31"/>
  <c r="BO21" i="31"/>
  <c r="BO20" i="31"/>
  <c r="BO19" i="31"/>
  <c r="BO18" i="31"/>
  <c r="BO17" i="31"/>
  <c r="BO16" i="31"/>
  <c r="BO15" i="31"/>
  <c r="BO14" i="31"/>
  <c r="BO13" i="31"/>
  <c r="BO12" i="31"/>
  <c r="BO11" i="31"/>
  <c r="BO10" i="31"/>
  <c r="BO9" i="31"/>
  <c r="BN65" i="31"/>
  <c r="BN64" i="31"/>
  <c r="BN63" i="31"/>
  <c r="BN62" i="31"/>
  <c r="BN61" i="31"/>
  <c r="BN60" i="31"/>
  <c r="BN59" i="31"/>
  <c r="BN58" i="31"/>
  <c r="BN57" i="31"/>
  <c r="BN56" i="31"/>
  <c r="BN53" i="31"/>
  <c r="BN52" i="31"/>
  <c r="BN51" i="31"/>
  <c r="BN50" i="31"/>
  <c r="BN49" i="31"/>
  <c r="BN48" i="31"/>
  <c r="BN47" i="31"/>
  <c r="BN46" i="31"/>
  <c r="BN45" i="31"/>
  <c r="BN44" i="31"/>
  <c r="BN43" i="31"/>
  <c r="BN42" i="31"/>
  <c r="BN39" i="31"/>
  <c r="BN38" i="31"/>
  <c r="BN37" i="31"/>
  <c r="BN36" i="31"/>
  <c r="BN35" i="31"/>
  <c r="BN34" i="31"/>
  <c r="BN33" i="31"/>
  <c r="BN32" i="31"/>
  <c r="BN31" i="31"/>
  <c r="BN30" i="31"/>
  <c r="BN29" i="31"/>
  <c r="BN28" i="31"/>
  <c r="BN27" i="31"/>
  <c r="BN24" i="31"/>
  <c r="BN23" i="31"/>
  <c r="BN22" i="31"/>
  <c r="BN21" i="31"/>
  <c r="BN20" i="31"/>
  <c r="BN19" i="31"/>
  <c r="BN18" i="31"/>
  <c r="BN17" i="31"/>
  <c r="BN16" i="31"/>
  <c r="BN15" i="31"/>
  <c r="BN14" i="31"/>
  <c r="BN13" i="31"/>
  <c r="BN12" i="31"/>
  <c r="BN11" i="31"/>
  <c r="BN10" i="31"/>
  <c r="BN9" i="31"/>
  <c r="BM65" i="31"/>
  <c r="BM64" i="31"/>
  <c r="BM63" i="31"/>
  <c r="BM62" i="31"/>
  <c r="BM61" i="31"/>
  <c r="BM60" i="31"/>
  <c r="BM59" i="31"/>
  <c r="BM58" i="31"/>
  <c r="BM57" i="31"/>
  <c r="BM56" i="31"/>
  <c r="BM53" i="31"/>
  <c r="BM52" i="31"/>
  <c r="BM51" i="31"/>
  <c r="BM50" i="31"/>
  <c r="BM49" i="31"/>
  <c r="BM48" i="31"/>
  <c r="BM47" i="31"/>
  <c r="BM46" i="31"/>
  <c r="BM45" i="31"/>
  <c r="BM44" i="31"/>
  <c r="BM43" i="31"/>
  <c r="BM42" i="31"/>
  <c r="BM39" i="31"/>
  <c r="BM38" i="31"/>
  <c r="BM37" i="31"/>
  <c r="BM36" i="31"/>
  <c r="BM35" i="31"/>
  <c r="BM34" i="31"/>
  <c r="BM33" i="31"/>
  <c r="BM32" i="31"/>
  <c r="BM31" i="31"/>
  <c r="BM30" i="31"/>
  <c r="BM29" i="31"/>
  <c r="BM28" i="31"/>
  <c r="BM27" i="31"/>
  <c r="BM24" i="31"/>
  <c r="BM23" i="31"/>
  <c r="BM22" i="31"/>
  <c r="BM21" i="31"/>
  <c r="BM20" i="31"/>
  <c r="BM19" i="31"/>
  <c r="BM18" i="31"/>
  <c r="BM17" i="31"/>
  <c r="BM16" i="31"/>
  <c r="BM15" i="31"/>
  <c r="BM14" i="31"/>
  <c r="BM13" i="31"/>
  <c r="BM12" i="31"/>
  <c r="BM11" i="31"/>
  <c r="BM10" i="31"/>
  <c r="BM9" i="31"/>
  <c r="BL65" i="31"/>
  <c r="BL64" i="31"/>
  <c r="BL63" i="31"/>
  <c r="BL62" i="31"/>
  <c r="BL61" i="31"/>
  <c r="BL60" i="31"/>
  <c r="BL59" i="31"/>
  <c r="BL58" i="31"/>
  <c r="BL57" i="31"/>
  <c r="BL56" i="31"/>
  <c r="BL53" i="31"/>
  <c r="BL52" i="31"/>
  <c r="BL51" i="31"/>
  <c r="BL50" i="31"/>
  <c r="BL49" i="31"/>
  <c r="BL48" i="31"/>
  <c r="BL47" i="31"/>
  <c r="BL46" i="31"/>
  <c r="BL45" i="31"/>
  <c r="BL44" i="31"/>
  <c r="BL43" i="31"/>
  <c r="BL42" i="31"/>
  <c r="BL39" i="31"/>
  <c r="BL38" i="31"/>
  <c r="BL37" i="31"/>
  <c r="BL36" i="31"/>
  <c r="BL35" i="31"/>
  <c r="BL34" i="31"/>
  <c r="BL33" i="31"/>
  <c r="BL32" i="31"/>
  <c r="BL31" i="31"/>
  <c r="BL30" i="31"/>
  <c r="BL29" i="31"/>
  <c r="BL28" i="31"/>
  <c r="BL27" i="31"/>
  <c r="BL24" i="31"/>
  <c r="BL23" i="31"/>
  <c r="BL22" i="31"/>
  <c r="BL21" i="31"/>
  <c r="BL20" i="31"/>
  <c r="BL19" i="31"/>
  <c r="BL18" i="31"/>
  <c r="BL17" i="31"/>
  <c r="BL16" i="31"/>
  <c r="BL15" i="31"/>
  <c r="BL14" i="31"/>
  <c r="BL13" i="31"/>
  <c r="BL12" i="31"/>
  <c r="BL11" i="31"/>
  <c r="BL10" i="31"/>
  <c r="BL9" i="31"/>
  <c r="BK65" i="31"/>
  <c r="BK64" i="31"/>
  <c r="BK63" i="31"/>
  <c r="BK62" i="31"/>
  <c r="BK61" i="31"/>
  <c r="BK60" i="31"/>
  <c r="BK59" i="31"/>
  <c r="BK58" i="31"/>
  <c r="BK57" i="31"/>
  <c r="BK56" i="31"/>
  <c r="BK53" i="31"/>
  <c r="BK52" i="31"/>
  <c r="BK51" i="31"/>
  <c r="BK50" i="31"/>
  <c r="BK49" i="31"/>
  <c r="BK48" i="31"/>
  <c r="BK47" i="31"/>
  <c r="BK46" i="31"/>
  <c r="BK45" i="31"/>
  <c r="BK44" i="31"/>
  <c r="BK43" i="31"/>
  <c r="BK42" i="31"/>
  <c r="BK39" i="31"/>
  <c r="BK38" i="31"/>
  <c r="BK37" i="31"/>
  <c r="BK36" i="31"/>
  <c r="BK35" i="31"/>
  <c r="BK34" i="31"/>
  <c r="BK33" i="31"/>
  <c r="BK32" i="31"/>
  <c r="BK31" i="31"/>
  <c r="BK30" i="31"/>
  <c r="BK29" i="31"/>
  <c r="BK28" i="31"/>
  <c r="BK27" i="31"/>
  <c r="BK24" i="31"/>
  <c r="BK23" i="31"/>
  <c r="BK22" i="31"/>
  <c r="BK21" i="31"/>
  <c r="BK20" i="31"/>
  <c r="BK19" i="31"/>
  <c r="BK18" i="31"/>
  <c r="BK17" i="31"/>
  <c r="BK16" i="31"/>
  <c r="BK15" i="31"/>
  <c r="BK14" i="31"/>
  <c r="BK13" i="31"/>
  <c r="BK12" i="31"/>
  <c r="BK11" i="31"/>
  <c r="BK10" i="31"/>
  <c r="BK9" i="31"/>
  <c r="BJ65" i="31"/>
  <c r="BJ64" i="31"/>
  <c r="BJ63" i="31"/>
  <c r="BJ62" i="31"/>
  <c r="BJ61" i="31"/>
  <c r="BJ60" i="31"/>
  <c r="BJ59" i="31"/>
  <c r="BJ58" i="31"/>
  <c r="BJ57" i="31"/>
  <c r="BJ56" i="31"/>
  <c r="BJ53" i="31"/>
  <c r="BJ52" i="31"/>
  <c r="BJ51" i="31"/>
  <c r="BJ50" i="31"/>
  <c r="BJ49" i="31"/>
  <c r="BJ48" i="31"/>
  <c r="BJ47" i="31"/>
  <c r="BJ46" i="31"/>
  <c r="BJ45" i="31"/>
  <c r="BJ44" i="31"/>
  <c r="BJ43" i="31"/>
  <c r="BJ42" i="31"/>
  <c r="BJ39" i="31"/>
  <c r="BJ38" i="31"/>
  <c r="BJ37" i="31"/>
  <c r="BJ36" i="31"/>
  <c r="BJ35" i="31"/>
  <c r="BJ34" i="31"/>
  <c r="BJ33" i="31"/>
  <c r="BJ32" i="31"/>
  <c r="BJ31" i="31"/>
  <c r="BJ30" i="31"/>
  <c r="BJ29" i="31"/>
  <c r="BJ28" i="31"/>
  <c r="BJ27" i="31"/>
  <c r="BJ24" i="31"/>
  <c r="BJ23" i="31"/>
  <c r="BJ22" i="31"/>
  <c r="BJ21" i="31"/>
  <c r="BJ20" i="31"/>
  <c r="BJ19" i="31"/>
  <c r="BJ18" i="31"/>
  <c r="BJ17" i="31"/>
  <c r="BJ16" i="31"/>
  <c r="BJ15" i="31"/>
  <c r="BJ14" i="31"/>
  <c r="BJ13" i="31"/>
  <c r="BJ12" i="31"/>
  <c r="BJ11" i="31"/>
  <c r="BJ10" i="31"/>
  <c r="BJ9" i="31"/>
  <c r="ABY53" i="9"/>
  <c r="ABY39" i="9"/>
  <c r="ABY24" i="9"/>
  <c r="ZB53" i="9"/>
  <c r="ZB39" i="9"/>
  <c r="ZB24" i="9"/>
  <c r="SX53" i="9"/>
  <c r="SW53" i="9"/>
  <c r="SV53" i="9"/>
  <c r="SU53" i="9"/>
  <c r="ST53" i="9"/>
  <c r="SX39" i="9"/>
  <c r="SW39" i="9"/>
  <c r="SV39" i="9"/>
  <c r="SU39" i="9"/>
  <c r="ST39" i="9"/>
  <c r="SX24" i="9"/>
  <c r="SW24" i="9"/>
  <c r="SV24" i="9"/>
  <c r="SU24" i="9"/>
  <c r="ST24" i="9"/>
  <c r="SX6" i="9"/>
  <c r="SW6" i="9"/>
  <c r="SV6" i="9"/>
  <c r="SU6" i="9"/>
  <c r="ST6" i="9"/>
  <c r="PX53" i="9"/>
  <c r="PX39" i="9"/>
  <c r="PX24" i="9"/>
  <c r="NA53" i="9"/>
  <c r="NA39" i="9"/>
  <c r="NA24" i="9"/>
  <c r="KD53" i="9"/>
  <c r="KD39" i="9"/>
  <c r="KD24" i="9"/>
  <c r="GW53" i="9"/>
  <c r="GW39" i="9"/>
  <c r="GW24" i="9"/>
  <c r="AB53" i="9"/>
  <c r="AB39" i="9"/>
  <c r="AB24" i="9"/>
  <c r="DA52" i="19"/>
  <c r="DA38" i="19"/>
  <c r="DA23" i="19"/>
  <c r="BJ25" i="31" l="1"/>
  <c r="BJ40" i="31"/>
  <c r="BJ54" i="31"/>
  <c r="BP25" i="31"/>
  <c r="BP40" i="31"/>
  <c r="BP54" i="31"/>
  <c r="SV5" i="9"/>
  <c r="ST5" i="9"/>
  <c r="SU5" i="9"/>
  <c r="SW5" i="9"/>
  <c r="SX5" i="9"/>
  <c r="ADF53" i="9" l="1"/>
  <c r="ADE53" i="9"/>
  <c r="ADD53" i="9"/>
  <c r="ADC53" i="9"/>
  <c r="ADB53" i="9"/>
  <c r="ADF39" i="9"/>
  <c r="ADE39" i="9"/>
  <c r="ADD39" i="9"/>
  <c r="ADC39" i="9"/>
  <c r="ADB39" i="9"/>
  <c r="ADF24" i="9"/>
  <c r="ADE24" i="9"/>
  <c r="ADD24" i="9"/>
  <c r="ADC24" i="9"/>
  <c r="ADB24" i="9"/>
  <c r="ADF6" i="9"/>
  <c r="ADE6" i="9"/>
  <c r="ADD6" i="9"/>
  <c r="ADC6" i="9"/>
  <c r="ADB6" i="9"/>
  <c r="ABM53" i="9"/>
  <c r="ABL53" i="9"/>
  <c r="ABK53" i="9"/>
  <c r="ABJ53" i="9"/>
  <c r="ABI53" i="9"/>
  <c r="ABM39" i="9"/>
  <c r="ABL39" i="9"/>
  <c r="ABK39" i="9"/>
  <c r="ABJ39" i="9"/>
  <c r="ABI39" i="9"/>
  <c r="ABM24" i="9"/>
  <c r="ABL24" i="9"/>
  <c r="ABK24" i="9"/>
  <c r="ABJ24" i="9"/>
  <c r="ABI24" i="9"/>
  <c r="ABM6" i="9"/>
  <c r="ABL6" i="9"/>
  <c r="ABK6" i="9"/>
  <c r="ABJ6" i="9"/>
  <c r="ABI6" i="9"/>
  <c r="AAI53" i="9"/>
  <c r="AAH53" i="9"/>
  <c r="AAG53" i="9"/>
  <c r="BS54" i="31" s="1"/>
  <c r="AAF53" i="9"/>
  <c r="AAE53" i="9"/>
  <c r="AAI39" i="9"/>
  <c r="AAH39" i="9"/>
  <c r="AAG39" i="9"/>
  <c r="BS40" i="31" s="1"/>
  <c r="AAF39" i="9"/>
  <c r="AAE39" i="9"/>
  <c r="AAI24" i="9"/>
  <c r="AAH24" i="9"/>
  <c r="AAG24" i="9"/>
  <c r="BS25" i="31" s="1"/>
  <c r="AAF24" i="9"/>
  <c r="AAE24" i="9"/>
  <c r="AAI6" i="9"/>
  <c r="AAH6" i="9"/>
  <c r="AAG6" i="9"/>
  <c r="AAF6" i="9"/>
  <c r="AAE6" i="9"/>
  <c r="YF53" i="9"/>
  <c r="YE53" i="9"/>
  <c r="YD53" i="9"/>
  <c r="YC53" i="9"/>
  <c r="YB53" i="9"/>
  <c r="YF39" i="9"/>
  <c r="YE39" i="9"/>
  <c r="YD39" i="9"/>
  <c r="YC39" i="9"/>
  <c r="YB39" i="9"/>
  <c r="YF24" i="9"/>
  <c r="YE24" i="9"/>
  <c r="YD24" i="9"/>
  <c r="YC24" i="9"/>
  <c r="YB24" i="9"/>
  <c r="TW53" i="9"/>
  <c r="TV53" i="9"/>
  <c r="TU53" i="9"/>
  <c r="TT53" i="9"/>
  <c r="TS53" i="9"/>
  <c r="TW39" i="9"/>
  <c r="TV39" i="9"/>
  <c r="TU39" i="9"/>
  <c r="TT39" i="9"/>
  <c r="TS39" i="9"/>
  <c r="TW24" i="9"/>
  <c r="TV24" i="9"/>
  <c r="TU24" i="9"/>
  <c r="TT24" i="9"/>
  <c r="TS24" i="9"/>
  <c r="TW6" i="9"/>
  <c r="TV6" i="9"/>
  <c r="TU6" i="9"/>
  <c r="TT6" i="9"/>
  <c r="TS6" i="9"/>
  <c r="SI6" i="9"/>
  <c r="SI5" i="9" s="1"/>
  <c r="SH6" i="9"/>
  <c r="SH5" i="9" s="1"/>
  <c r="SG6" i="9"/>
  <c r="SG5" i="9" s="1"/>
  <c r="SF6" i="9"/>
  <c r="SF5" i="9" s="1"/>
  <c r="SE6" i="9"/>
  <c r="SE5" i="9" s="1"/>
  <c r="QZ6" i="9"/>
  <c r="QZ5" i="9" s="1"/>
  <c r="QY6" i="9"/>
  <c r="QY5" i="9" s="1"/>
  <c r="QX6" i="9"/>
  <c r="QX5" i="9" s="1"/>
  <c r="QW6" i="9"/>
  <c r="QW5" i="9" s="1"/>
  <c r="QV6" i="9"/>
  <c r="QV5" i="9" s="1"/>
  <c r="PQ53" i="9"/>
  <c r="PP53" i="9"/>
  <c r="PO53" i="9"/>
  <c r="PN53" i="9"/>
  <c r="PM53" i="9"/>
  <c r="PQ39" i="9"/>
  <c r="PP39" i="9"/>
  <c r="PO39" i="9"/>
  <c r="PN39" i="9"/>
  <c r="PM39" i="9"/>
  <c r="PQ24" i="9"/>
  <c r="PP24" i="9"/>
  <c r="PO24" i="9"/>
  <c r="PN24" i="9"/>
  <c r="PM24" i="9"/>
  <c r="PQ6" i="9"/>
  <c r="PP6" i="9"/>
  <c r="PO6" i="9"/>
  <c r="PN6" i="9"/>
  <c r="PM6" i="9"/>
  <c r="PR6" i="9"/>
  <c r="PS6" i="9"/>
  <c r="PT6" i="9"/>
  <c r="PU6" i="9"/>
  <c r="PV6" i="9"/>
  <c r="PR24" i="9"/>
  <c r="PS24" i="9"/>
  <c r="PT24" i="9"/>
  <c r="PU24" i="9"/>
  <c r="PV24" i="9"/>
  <c r="PR39" i="9"/>
  <c r="PS39" i="9"/>
  <c r="PT39" i="9"/>
  <c r="PU39" i="9"/>
  <c r="PV39" i="9"/>
  <c r="PR53" i="9"/>
  <c r="PS53" i="9"/>
  <c r="PT53" i="9"/>
  <c r="PU53" i="9"/>
  <c r="PV53" i="9"/>
  <c r="OC53" i="9"/>
  <c r="OB53" i="9"/>
  <c r="OA53" i="9"/>
  <c r="NZ53" i="9"/>
  <c r="NY53" i="9"/>
  <c r="OC39" i="9"/>
  <c r="OB39" i="9"/>
  <c r="OA39" i="9"/>
  <c r="NZ39" i="9"/>
  <c r="NY39" i="9"/>
  <c r="OC24" i="9"/>
  <c r="OB24" i="9"/>
  <c r="OA24" i="9"/>
  <c r="NZ24" i="9"/>
  <c r="NY24" i="9"/>
  <c r="LD53" i="9"/>
  <c r="LD39" i="9"/>
  <c r="LD24" i="9"/>
  <c r="OC6" i="9"/>
  <c r="OB6" i="9"/>
  <c r="OA6" i="9"/>
  <c r="NZ6" i="9"/>
  <c r="NY6" i="9"/>
  <c r="MO53" i="9"/>
  <c r="MN53" i="9"/>
  <c r="MM53" i="9"/>
  <c r="ML53" i="9"/>
  <c r="MK53" i="9"/>
  <c r="MO39" i="9"/>
  <c r="MN39" i="9"/>
  <c r="MM39" i="9"/>
  <c r="ML39" i="9"/>
  <c r="MK39" i="9"/>
  <c r="MO24" i="9"/>
  <c r="MN24" i="9"/>
  <c r="MM24" i="9"/>
  <c r="ML24" i="9"/>
  <c r="MK24" i="9"/>
  <c r="MO6" i="9"/>
  <c r="MN6" i="9"/>
  <c r="MM6" i="9"/>
  <c r="ML6" i="9"/>
  <c r="MK6" i="9"/>
  <c r="LF53" i="9"/>
  <c r="LE53" i="9"/>
  <c r="LC53" i="9"/>
  <c r="LB53" i="9"/>
  <c r="LF39" i="9"/>
  <c r="LE39" i="9"/>
  <c r="LC39" i="9"/>
  <c r="LB39" i="9"/>
  <c r="LF24" i="9"/>
  <c r="LE24" i="9"/>
  <c r="LC24" i="9"/>
  <c r="LB24" i="9"/>
  <c r="LF6" i="9"/>
  <c r="LE6" i="9"/>
  <c r="LD6" i="9"/>
  <c r="LC6" i="9"/>
  <c r="LB6" i="9"/>
  <c r="JR53" i="9"/>
  <c r="JQ53" i="9"/>
  <c r="JP53" i="9"/>
  <c r="JO53" i="9"/>
  <c r="JN53" i="9"/>
  <c r="JR39" i="9"/>
  <c r="JQ39" i="9"/>
  <c r="JP39" i="9"/>
  <c r="JO39" i="9"/>
  <c r="JN39" i="9"/>
  <c r="JR24" i="9"/>
  <c r="JQ24" i="9"/>
  <c r="JP24" i="9"/>
  <c r="JO24" i="9"/>
  <c r="JN24" i="9"/>
  <c r="JR6" i="9"/>
  <c r="JQ6" i="9"/>
  <c r="JP6" i="9"/>
  <c r="JO6" i="9"/>
  <c r="JN6" i="9"/>
  <c r="ID53" i="9"/>
  <c r="IC53" i="9"/>
  <c r="IB53" i="9"/>
  <c r="BM54" i="31" s="1"/>
  <c r="IA53" i="9"/>
  <c r="HZ53" i="9"/>
  <c r="ID39" i="9"/>
  <c r="IC39" i="9"/>
  <c r="IB39" i="9"/>
  <c r="BM40" i="31" s="1"/>
  <c r="IA39" i="9"/>
  <c r="HZ39" i="9"/>
  <c r="ID24" i="9"/>
  <c r="IC24" i="9"/>
  <c r="IB24" i="9"/>
  <c r="BM25" i="31" s="1"/>
  <c r="IA24" i="9"/>
  <c r="HZ24" i="9"/>
  <c r="ID6" i="9"/>
  <c r="IC6" i="9"/>
  <c r="IB6" i="9"/>
  <c r="IA6" i="9"/>
  <c r="HZ6" i="9"/>
  <c r="ABJ5" i="9" l="1"/>
  <c r="PR5" i="9"/>
  <c r="ABM5" i="9"/>
  <c r="ADF5" i="9"/>
  <c r="PO5" i="9"/>
  <c r="ABK5" i="9"/>
  <c r="ADD5" i="9"/>
  <c r="AAI5" i="9"/>
  <c r="ADE5" i="9"/>
  <c r="AAH5" i="9"/>
  <c r="OC5" i="9"/>
  <c r="ADC5" i="9"/>
  <c r="ADB5" i="9"/>
  <c r="ABL5" i="9"/>
  <c r="ABI5" i="9"/>
  <c r="TW5" i="9"/>
  <c r="AAG5" i="9"/>
  <c r="AAE5" i="9"/>
  <c r="AAF5" i="9"/>
  <c r="TV5" i="9"/>
  <c r="TS5" i="9"/>
  <c r="TU5" i="9"/>
  <c r="TT5" i="9"/>
  <c r="PQ5" i="9"/>
  <c r="PS5" i="9"/>
  <c r="PP5" i="9"/>
  <c r="PV5" i="9"/>
  <c r="PT5" i="9"/>
  <c r="PU5" i="9"/>
  <c r="PM5" i="9"/>
  <c r="PN5" i="9"/>
  <c r="MN5" i="9"/>
  <c r="MO5" i="9"/>
  <c r="MM5" i="9"/>
  <c r="OB5" i="9"/>
  <c r="OA5" i="9"/>
  <c r="NY5" i="9"/>
  <c r="NZ5" i="9"/>
  <c r="LF5" i="9"/>
  <c r="JR5" i="9"/>
  <c r="MK5" i="9"/>
  <c r="ML5" i="9"/>
  <c r="ID5" i="9"/>
  <c r="LE5" i="9"/>
  <c r="LD5" i="9"/>
  <c r="LB5" i="9"/>
  <c r="LC5" i="9"/>
  <c r="JQ5" i="9"/>
  <c r="JP5" i="9"/>
  <c r="JN5" i="9"/>
  <c r="JO5" i="9"/>
  <c r="IB5" i="9"/>
  <c r="HZ5" i="9"/>
  <c r="IC5" i="9"/>
  <c r="IA5" i="9"/>
  <c r="FZ39" i="9"/>
  <c r="FZ24" i="9"/>
  <c r="FY53" i="9"/>
  <c r="FY39" i="9"/>
  <c r="FY24" i="9"/>
  <c r="FX53" i="9"/>
  <c r="FX39" i="9"/>
  <c r="FX24" i="9"/>
  <c r="DZ53" i="9"/>
  <c r="DY53" i="9"/>
  <c r="DX53" i="9"/>
  <c r="DW53" i="9"/>
  <c r="DV53" i="9"/>
  <c r="DZ39" i="9"/>
  <c r="DY39" i="9"/>
  <c r="DX39" i="9"/>
  <c r="DW39" i="9"/>
  <c r="DV39" i="9"/>
  <c r="DZ24" i="9"/>
  <c r="DY24" i="9"/>
  <c r="DX24" i="9"/>
  <c r="DW24" i="9"/>
  <c r="DV24" i="9"/>
  <c r="DZ6" i="9"/>
  <c r="DY6" i="9"/>
  <c r="DX6" i="9"/>
  <c r="DW6" i="9"/>
  <c r="DV6" i="9"/>
  <c r="CQ6" i="9"/>
  <c r="CP6" i="9"/>
  <c r="CO6" i="9"/>
  <c r="CN6" i="9"/>
  <c r="CM6" i="9"/>
  <c r="BI53" i="9"/>
  <c r="BH53" i="9"/>
  <c r="BG53" i="9"/>
  <c r="BF53" i="9"/>
  <c r="BE53" i="9"/>
  <c r="BI39" i="9"/>
  <c r="BH39" i="9"/>
  <c r="BG39" i="9"/>
  <c r="BF39" i="9"/>
  <c r="BE39" i="9"/>
  <c r="BI24" i="9"/>
  <c r="BH24" i="9"/>
  <c r="BG24" i="9"/>
  <c r="BF24" i="9"/>
  <c r="BE24" i="9"/>
  <c r="BI6" i="9"/>
  <c r="BH6" i="9"/>
  <c r="BG6" i="9"/>
  <c r="BF6" i="9"/>
  <c r="BE6" i="9"/>
  <c r="U53" i="9"/>
  <c r="T53" i="9"/>
  <c r="S53" i="9"/>
  <c r="R53" i="9"/>
  <c r="Q53" i="9"/>
  <c r="U39" i="9"/>
  <c r="T39" i="9"/>
  <c r="S39" i="9"/>
  <c r="R39" i="9"/>
  <c r="Q39" i="9"/>
  <c r="U24" i="9"/>
  <c r="T24" i="9"/>
  <c r="S24" i="9"/>
  <c r="R24" i="9"/>
  <c r="Q24" i="9"/>
  <c r="S6" i="9"/>
  <c r="U6" i="9"/>
  <c r="T6" i="9"/>
  <c r="R6" i="9"/>
  <c r="Q6" i="9"/>
  <c r="CB52" i="19"/>
  <c r="CB38" i="19"/>
  <c r="CB23" i="19"/>
  <c r="DZ5" i="9" l="1"/>
  <c r="DV5" i="9"/>
  <c r="BG5" i="9"/>
  <c r="BI5" i="9"/>
  <c r="CP5" i="9"/>
  <c r="DY5" i="9"/>
  <c r="DX5" i="9"/>
  <c r="DW5" i="9"/>
  <c r="CO5" i="9"/>
  <c r="CN5" i="9"/>
  <c r="CQ5" i="9"/>
  <c r="CM5" i="9"/>
  <c r="BH5" i="9"/>
  <c r="BE5" i="9"/>
  <c r="BF5" i="9"/>
  <c r="S5" i="9"/>
  <c r="T5" i="9"/>
  <c r="U5" i="9"/>
  <c r="Q5" i="9"/>
  <c r="R5" i="9"/>
  <c r="EH52" i="19"/>
  <c r="EG52" i="19"/>
  <c r="EE52" i="19"/>
  <c r="ED52" i="19"/>
  <c r="EH38" i="19"/>
  <c r="EG38" i="19"/>
  <c r="EE38" i="19"/>
  <c r="ED38" i="19"/>
  <c r="EH23" i="19"/>
  <c r="EG23" i="19"/>
  <c r="EE23" i="19"/>
  <c r="ED23" i="19"/>
  <c r="ED5" i="19"/>
  <c r="DT38" i="19"/>
  <c r="EH5" i="19"/>
  <c r="EG5" i="19"/>
  <c r="EF5" i="19"/>
  <c r="EE5" i="19"/>
  <c r="BQ25" i="31" l="1"/>
  <c r="BK25" i="31"/>
  <c r="BK54" i="31"/>
  <c r="BQ54" i="31"/>
  <c r="BK7" i="31"/>
  <c r="BQ7" i="31"/>
  <c r="BO40" i="31"/>
  <c r="BU40" i="31"/>
  <c r="BO25" i="31"/>
  <c r="BU25" i="31"/>
  <c r="BO54" i="31"/>
  <c r="BU54" i="31"/>
  <c r="EH4" i="19"/>
  <c r="BO7" i="31"/>
  <c r="BU7" i="31"/>
  <c r="BK40" i="31"/>
  <c r="BQ40" i="31"/>
  <c r="BM7" i="31"/>
  <c r="BS7" i="31"/>
  <c r="ED4" i="19"/>
  <c r="EF4" i="19"/>
  <c r="EG4" i="19"/>
  <c r="EE4" i="19"/>
  <c r="BE65" i="31"/>
  <c r="BE64" i="31"/>
  <c r="BE63" i="31"/>
  <c r="BE62" i="31"/>
  <c r="BE61" i="31"/>
  <c r="BE60" i="31"/>
  <c r="BE59" i="31"/>
  <c r="BE58" i="31"/>
  <c r="BE57" i="31"/>
  <c r="BE56" i="31"/>
  <c r="BE53" i="31"/>
  <c r="BE52" i="31"/>
  <c r="BE51" i="31"/>
  <c r="BE50" i="31"/>
  <c r="BE49" i="31"/>
  <c r="BE48" i="31"/>
  <c r="BE47" i="31"/>
  <c r="BE46" i="31"/>
  <c r="BE45" i="31"/>
  <c r="BE44" i="31"/>
  <c r="BE43" i="31"/>
  <c r="BE42" i="31"/>
  <c r="BE39" i="31"/>
  <c r="BE38" i="31"/>
  <c r="BE37" i="31"/>
  <c r="BE36" i="31"/>
  <c r="BE35" i="31"/>
  <c r="BE34" i="31"/>
  <c r="BE33" i="31"/>
  <c r="BE32" i="31"/>
  <c r="BE31" i="31"/>
  <c r="BE30" i="31"/>
  <c r="BE29" i="31"/>
  <c r="BE28" i="31"/>
  <c r="BE27" i="31"/>
  <c r="BE24" i="31"/>
  <c r="BE23" i="31"/>
  <c r="BE22" i="31"/>
  <c r="BE21" i="31"/>
  <c r="BE20" i="31"/>
  <c r="BE19" i="31"/>
  <c r="BE18" i="31"/>
  <c r="BE17" i="31"/>
  <c r="BE16" i="31"/>
  <c r="BE15" i="31"/>
  <c r="BE14" i="31"/>
  <c r="BE13" i="31"/>
  <c r="BE12" i="31"/>
  <c r="BE11" i="31"/>
  <c r="BE10" i="31"/>
  <c r="BE9" i="31"/>
  <c r="BU6" i="31" l="1"/>
  <c r="BO6" i="31"/>
  <c r="BQ6" i="31"/>
  <c r="BK6" i="31"/>
  <c r="BM6" i="31"/>
  <c r="BS6" i="31"/>
  <c r="BA65" i="31"/>
  <c r="BA64" i="31"/>
  <c r="BA63" i="31"/>
  <c r="BA62" i="31"/>
  <c r="BA61" i="31"/>
  <c r="BA60" i="31"/>
  <c r="BA59" i="31"/>
  <c r="BA58" i="31"/>
  <c r="BA57" i="31"/>
  <c r="BA56" i="31"/>
  <c r="BA53" i="31"/>
  <c r="BA52" i="31"/>
  <c r="BA51" i="31"/>
  <c r="BA50" i="31"/>
  <c r="BA49" i="31"/>
  <c r="BA48" i="31"/>
  <c r="BA47" i="31"/>
  <c r="BA46" i="31"/>
  <c r="BA45" i="31"/>
  <c r="BA44" i="31"/>
  <c r="BA43" i="31"/>
  <c r="BA42" i="31"/>
  <c r="BA39" i="31"/>
  <c r="BA38" i="31"/>
  <c r="BA37" i="31"/>
  <c r="BA36" i="31"/>
  <c r="BA35" i="31"/>
  <c r="BA34" i="31"/>
  <c r="BA33" i="31"/>
  <c r="BA32" i="31"/>
  <c r="BA31" i="31"/>
  <c r="BA30" i="31"/>
  <c r="BA29" i="31"/>
  <c r="BA28" i="31"/>
  <c r="BA27" i="31"/>
  <c r="BA24" i="31"/>
  <c r="BA23" i="31"/>
  <c r="BA22" i="31"/>
  <c r="BA21" i="31"/>
  <c r="BA20" i="31"/>
  <c r="BA19" i="31"/>
  <c r="BA18" i="31"/>
  <c r="BA17" i="31"/>
  <c r="BA16" i="31"/>
  <c r="BA15" i="31"/>
  <c r="BA14" i="31"/>
  <c r="BA13" i="31"/>
  <c r="BA12" i="31"/>
  <c r="BA11" i="31"/>
  <c r="BA10" i="31"/>
  <c r="BA9" i="31"/>
  <c r="AZ32" i="31" l="1"/>
  <c r="AZ33" i="31"/>
  <c r="AZ39" i="31"/>
  <c r="BB50" i="31"/>
  <c r="BB57" i="31"/>
  <c r="AZ50" i="31"/>
  <c r="AZ52" i="31"/>
  <c r="AZ57" i="31"/>
  <c r="AZ59" i="31"/>
  <c r="AZ64" i="31"/>
  <c r="BB64" i="31"/>
  <c r="BG64" i="31"/>
  <c r="BH64" i="31"/>
  <c r="BH57" i="31"/>
  <c r="BF64" i="31"/>
  <c r="BF59" i="31"/>
  <c r="BF57" i="31"/>
  <c r="BH50" i="31"/>
  <c r="BG50" i="31"/>
  <c r="BF52" i="31"/>
  <c r="BF50" i="31"/>
  <c r="BF39" i="31"/>
  <c r="BF33" i="31"/>
  <c r="BF32" i="31"/>
  <c r="BG65" i="31"/>
  <c r="BG63" i="31"/>
  <c r="BG62" i="31"/>
  <c r="BG61" i="31"/>
  <c r="BG60" i="31"/>
  <c r="BG59" i="31"/>
  <c r="BG58" i="31"/>
  <c r="BG57" i="31"/>
  <c r="BG56" i="31"/>
  <c r="BG53" i="31"/>
  <c r="BG52" i="31"/>
  <c r="BG51" i="31"/>
  <c r="BG49" i="31"/>
  <c r="BG48" i="31"/>
  <c r="BG47" i="31"/>
  <c r="BG46" i="31"/>
  <c r="BG45" i="31"/>
  <c r="BG44" i="31"/>
  <c r="BG43" i="31"/>
  <c r="BG42" i="31"/>
  <c r="BG39" i="31"/>
  <c r="BG38" i="31"/>
  <c r="BG37" i="31"/>
  <c r="BG36" i="31"/>
  <c r="BG35" i="31"/>
  <c r="BG34" i="31"/>
  <c r="BG33" i="31"/>
  <c r="BG32" i="31"/>
  <c r="BG31" i="31"/>
  <c r="BG30" i="31"/>
  <c r="BG29" i="31"/>
  <c r="BG28" i="31"/>
  <c r="BG27" i="31"/>
  <c r="BG24" i="31"/>
  <c r="BG23" i="31"/>
  <c r="BG22" i="31"/>
  <c r="BG21" i="31"/>
  <c r="BG20" i="31"/>
  <c r="BG19" i="31"/>
  <c r="BG18" i="31"/>
  <c r="BG17" i="31"/>
  <c r="BG16" i="31"/>
  <c r="BG15" i="31"/>
  <c r="BG14" i="31"/>
  <c r="BG13" i="31"/>
  <c r="BG12" i="31"/>
  <c r="BG11" i="31"/>
  <c r="BG10" i="31"/>
  <c r="BG9" i="31"/>
  <c r="BF65" i="31"/>
  <c r="BF63" i="31"/>
  <c r="BF62" i="31"/>
  <c r="BF61" i="31"/>
  <c r="BF60" i="31"/>
  <c r="BF58" i="31"/>
  <c r="BF56" i="31"/>
  <c r="BF53" i="31"/>
  <c r="BF51" i="31"/>
  <c r="BF49" i="31"/>
  <c r="BF48" i="31"/>
  <c r="BF47" i="31"/>
  <c r="BF46" i="31"/>
  <c r="BF45" i="31"/>
  <c r="BF44" i="31"/>
  <c r="BF43" i="31"/>
  <c r="BF42" i="31"/>
  <c r="BF38" i="31"/>
  <c r="BF37" i="31"/>
  <c r="BF36" i="31"/>
  <c r="BF35" i="31"/>
  <c r="BF34" i="31"/>
  <c r="BF31" i="31"/>
  <c r="BF30" i="31"/>
  <c r="BF29" i="31"/>
  <c r="BF28" i="31"/>
  <c r="BF27" i="31"/>
  <c r="BF24" i="31"/>
  <c r="BF23" i="31"/>
  <c r="BF22" i="31"/>
  <c r="BF21" i="31"/>
  <c r="BF20" i="31"/>
  <c r="BF19" i="31"/>
  <c r="BF18" i="31"/>
  <c r="BF17" i="31"/>
  <c r="BF16" i="31"/>
  <c r="BF15" i="31"/>
  <c r="BF14" i="31"/>
  <c r="BF13" i="31"/>
  <c r="BF12" i="31"/>
  <c r="BF11" i="31"/>
  <c r="BF10" i="31"/>
  <c r="BF9" i="31"/>
  <c r="BD65" i="31"/>
  <c r="BD64" i="31"/>
  <c r="BD63" i="31"/>
  <c r="BD62" i="31"/>
  <c r="BD61" i="31"/>
  <c r="BD60" i="31"/>
  <c r="BD59" i="31"/>
  <c r="BD58" i="31"/>
  <c r="BD57" i="31"/>
  <c r="BD56" i="31"/>
  <c r="BD53" i="31"/>
  <c r="BD52" i="31"/>
  <c r="BD51" i="31"/>
  <c r="BD50" i="31"/>
  <c r="BD49" i="31"/>
  <c r="BD48" i="31"/>
  <c r="BD47" i="31"/>
  <c r="BD46" i="31"/>
  <c r="BD45" i="31"/>
  <c r="BD44" i="31"/>
  <c r="BD43" i="31"/>
  <c r="BD42" i="31"/>
  <c r="BD39" i="31"/>
  <c r="BD38" i="31"/>
  <c r="BD37" i="31"/>
  <c r="BD36" i="31"/>
  <c r="BD35" i="31"/>
  <c r="BD34" i="31"/>
  <c r="BD33" i="31"/>
  <c r="BD32" i="31"/>
  <c r="BD31" i="31"/>
  <c r="BD30" i="31"/>
  <c r="BD29" i="31"/>
  <c r="BD28" i="31"/>
  <c r="BD27" i="31"/>
  <c r="BD24" i="31"/>
  <c r="BD23" i="31"/>
  <c r="BD22" i="31"/>
  <c r="BD21" i="31"/>
  <c r="BD20" i="31"/>
  <c r="BD19" i="31"/>
  <c r="BD18" i="31"/>
  <c r="BD17" i="31"/>
  <c r="BD16" i="31"/>
  <c r="BD15" i="31"/>
  <c r="BD14" i="31"/>
  <c r="BD13" i="31"/>
  <c r="BD12" i="31"/>
  <c r="BD11" i="31"/>
  <c r="BD10" i="31"/>
  <c r="BD9" i="31"/>
  <c r="BI65" i="31"/>
  <c r="BI64" i="31"/>
  <c r="BI63" i="31"/>
  <c r="BI62" i="31"/>
  <c r="BI61" i="31"/>
  <c r="BI60" i="31"/>
  <c r="BI59" i="31"/>
  <c r="BI58" i="31"/>
  <c r="BI57" i="31"/>
  <c r="BI56" i="31"/>
  <c r="BI53" i="31"/>
  <c r="BI52" i="31"/>
  <c r="BI51" i="31"/>
  <c r="BI50" i="31"/>
  <c r="BI49" i="31"/>
  <c r="BI48" i="31"/>
  <c r="BI47" i="31"/>
  <c r="BI46" i="31"/>
  <c r="BI45" i="31"/>
  <c r="BI44" i="31"/>
  <c r="BI43" i="31"/>
  <c r="BI42" i="31"/>
  <c r="BI39" i="31"/>
  <c r="BI38" i="31"/>
  <c r="BI37" i="31"/>
  <c r="BI36" i="31"/>
  <c r="BI35" i="31"/>
  <c r="BI34" i="31"/>
  <c r="BI33" i="31"/>
  <c r="BI32" i="31"/>
  <c r="BI31" i="31"/>
  <c r="BI30" i="31"/>
  <c r="BI29" i="31"/>
  <c r="BI28" i="31"/>
  <c r="BI27" i="31"/>
  <c r="BI24" i="31"/>
  <c r="BI23" i="31"/>
  <c r="BI22" i="31"/>
  <c r="BI21" i="31"/>
  <c r="BI20" i="31"/>
  <c r="BI19" i="31"/>
  <c r="BI18" i="31"/>
  <c r="BI17" i="31"/>
  <c r="BI16" i="31"/>
  <c r="BI15" i="31"/>
  <c r="BI14" i="31"/>
  <c r="BI13" i="31"/>
  <c r="BI12" i="31"/>
  <c r="BI11" i="31"/>
  <c r="BI10" i="31"/>
  <c r="BI9" i="31"/>
  <c r="BH65" i="31"/>
  <c r="BH63" i="31"/>
  <c r="BH62" i="31"/>
  <c r="BH61" i="31"/>
  <c r="BH60" i="31"/>
  <c r="BH59" i="31"/>
  <c r="BH58" i="31"/>
  <c r="BH56" i="31"/>
  <c r="BH53" i="31"/>
  <c r="BH52" i="31"/>
  <c r="BH51" i="31"/>
  <c r="BH49" i="31"/>
  <c r="BH48" i="31"/>
  <c r="BH47" i="31"/>
  <c r="BH46" i="31"/>
  <c r="BH45" i="31"/>
  <c r="BH44" i="31"/>
  <c r="BH43" i="31"/>
  <c r="BH42" i="31"/>
  <c r="BH39" i="31"/>
  <c r="BH38" i="31"/>
  <c r="BH37" i="31"/>
  <c r="BH36" i="31"/>
  <c r="BH35" i="31"/>
  <c r="BH34" i="31"/>
  <c r="BH33" i="31"/>
  <c r="BH32" i="31"/>
  <c r="BH31" i="31"/>
  <c r="BH30" i="31"/>
  <c r="BH29" i="31"/>
  <c r="BH28" i="31"/>
  <c r="BH27" i="31"/>
  <c r="BH24" i="31"/>
  <c r="BH23" i="31"/>
  <c r="BH22" i="31"/>
  <c r="BH21" i="31"/>
  <c r="BH20" i="31"/>
  <c r="BH19" i="31"/>
  <c r="BH18" i="31"/>
  <c r="BH17" i="31"/>
  <c r="BH16" i="31"/>
  <c r="BH15" i="31"/>
  <c r="BH14" i="31"/>
  <c r="BH13" i="31"/>
  <c r="BH12" i="31"/>
  <c r="BH11" i="31"/>
  <c r="BH10" i="31"/>
  <c r="BH9" i="31"/>
  <c r="BC65" i="31"/>
  <c r="BC64" i="31"/>
  <c r="BC63" i="31"/>
  <c r="BC62" i="31"/>
  <c r="BC61" i="31"/>
  <c r="BC60" i="31"/>
  <c r="BC59" i="31"/>
  <c r="BC58" i="31"/>
  <c r="BC57" i="31"/>
  <c r="BC56" i="31"/>
  <c r="BC53" i="31"/>
  <c r="BC52" i="31"/>
  <c r="BC51" i="31"/>
  <c r="BC50" i="31"/>
  <c r="BC49" i="31"/>
  <c r="BC48" i="31"/>
  <c r="BC47" i="31"/>
  <c r="BC46" i="31"/>
  <c r="BC45" i="31"/>
  <c r="BC44" i="31"/>
  <c r="BC43" i="31"/>
  <c r="BC42" i="31"/>
  <c r="BC39" i="31"/>
  <c r="BC38" i="31"/>
  <c r="BC37" i="31"/>
  <c r="BC36" i="31"/>
  <c r="BC35" i="31"/>
  <c r="BC34" i="31"/>
  <c r="BC33" i="31"/>
  <c r="BC32" i="31"/>
  <c r="BC31" i="31"/>
  <c r="BC30" i="31"/>
  <c r="BC29" i="31"/>
  <c r="BC28" i="31"/>
  <c r="BC27" i="31"/>
  <c r="BC24" i="31"/>
  <c r="BC23" i="31"/>
  <c r="BC22" i="31"/>
  <c r="BC21" i="31"/>
  <c r="BC20" i="31"/>
  <c r="BC19" i="31"/>
  <c r="BC18" i="31"/>
  <c r="BC17" i="31"/>
  <c r="BC16" i="31"/>
  <c r="BC15" i="31"/>
  <c r="BC14" i="31"/>
  <c r="BC13" i="31"/>
  <c r="BC12" i="31"/>
  <c r="BC11" i="31"/>
  <c r="BC10" i="31"/>
  <c r="BC9" i="31"/>
  <c r="BB65" i="31"/>
  <c r="BB63" i="31"/>
  <c r="BB62" i="31"/>
  <c r="BB61" i="31"/>
  <c r="BB60" i="31"/>
  <c r="BB59" i="31"/>
  <c r="BB58" i="31"/>
  <c r="BB56" i="31"/>
  <c r="BB53" i="31"/>
  <c r="BB52" i="31"/>
  <c r="BB51" i="31"/>
  <c r="BB49" i="31"/>
  <c r="BB48" i="31"/>
  <c r="BB47" i="31"/>
  <c r="BB46" i="31"/>
  <c r="BB45" i="31"/>
  <c r="BB44" i="31"/>
  <c r="BB43" i="31"/>
  <c r="BB42" i="31"/>
  <c r="BB39" i="31"/>
  <c r="BB38" i="31"/>
  <c r="BB37" i="31"/>
  <c r="BB36" i="31"/>
  <c r="BB35" i="31"/>
  <c r="BB34" i="31"/>
  <c r="BB33" i="31"/>
  <c r="BB32" i="31"/>
  <c r="BB31" i="31"/>
  <c r="BB30" i="31"/>
  <c r="BB29" i="31"/>
  <c r="BB28" i="31"/>
  <c r="BB27" i="31"/>
  <c r="BB24" i="31"/>
  <c r="BB23" i="31"/>
  <c r="BB22" i="31"/>
  <c r="BB21" i="31"/>
  <c r="BB20" i="31"/>
  <c r="BB19" i="31"/>
  <c r="BB18" i="31"/>
  <c r="BB17" i="31"/>
  <c r="BB16" i="31"/>
  <c r="BB15" i="31"/>
  <c r="BB14" i="31"/>
  <c r="BB13" i="31"/>
  <c r="BB12" i="31"/>
  <c r="BB11" i="31"/>
  <c r="BB10" i="31"/>
  <c r="BB9" i="31"/>
  <c r="AZ65" i="31"/>
  <c r="AZ63" i="31"/>
  <c r="AZ62" i="31"/>
  <c r="AZ61" i="31"/>
  <c r="AZ60" i="31"/>
  <c r="AZ58" i="31"/>
  <c r="AZ56" i="31"/>
  <c r="AZ53" i="31"/>
  <c r="AZ51" i="31"/>
  <c r="AZ49" i="31"/>
  <c r="AZ48" i="31"/>
  <c r="AZ47" i="31"/>
  <c r="AZ46" i="31"/>
  <c r="AZ45" i="31"/>
  <c r="AZ44" i="31"/>
  <c r="AZ43" i="31"/>
  <c r="AZ42" i="31"/>
  <c r="AZ38" i="31"/>
  <c r="AZ37" i="31"/>
  <c r="AZ36" i="31"/>
  <c r="AZ35" i="31"/>
  <c r="AZ34" i="31"/>
  <c r="AZ31" i="31"/>
  <c r="AZ30" i="31"/>
  <c r="AZ29" i="31"/>
  <c r="AZ28" i="31"/>
  <c r="AZ27" i="31"/>
  <c r="AZ24" i="31"/>
  <c r="AZ23" i="31"/>
  <c r="AZ22" i="31"/>
  <c r="AZ21" i="31"/>
  <c r="AZ20" i="31"/>
  <c r="AZ19" i="31"/>
  <c r="AZ18" i="31"/>
  <c r="AZ17" i="31"/>
  <c r="AZ16" i="31"/>
  <c r="AZ15" i="31"/>
  <c r="AZ14" i="31"/>
  <c r="AZ13" i="31"/>
  <c r="AZ12" i="31"/>
  <c r="AZ11" i="31"/>
  <c r="AZ10" i="31"/>
  <c r="AZ9" i="31"/>
  <c r="AY65" i="31"/>
  <c r="AY64" i="31"/>
  <c r="AY63" i="31"/>
  <c r="AY62" i="31"/>
  <c r="AY61" i="31"/>
  <c r="AY60" i="31"/>
  <c r="AY59" i="31"/>
  <c r="AY58" i="31"/>
  <c r="AY57" i="31"/>
  <c r="AY56" i="31"/>
  <c r="AY53" i="31"/>
  <c r="AY52" i="31"/>
  <c r="AY51" i="31"/>
  <c r="AY50" i="31"/>
  <c r="AY49" i="31"/>
  <c r="AY48" i="31"/>
  <c r="AY47" i="31"/>
  <c r="AY46" i="31"/>
  <c r="AY45" i="31"/>
  <c r="AY44" i="31"/>
  <c r="AY43" i="31"/>
  <c r="AY42" i="31"/>
  <c r="AY39" i="31"/>
  <c r="AY38" i="31"/>
  <c r="AY37" i="31"/>
  <c r="AY36" i="31"/>
  <c r="AY35" i="31"/>
  <c r="AY34" i="31"/>
  <c r="AY33" i="31"/>
  <c r="AY32" i="31"/>
  <c r="AY31" i="31"/>
  <c r="AY30" i="31"/>
  <c r="AY29" i="31"/>
  <c r="AY28" i="31"/>
  <c r="AY27" i="31"/>
  <c r="AY24" i="31"/>
  <c r="AY23" i="31"/>
  <c r="AY22" i="31"/>
  <c r="AY21" i="31"/>
  <c r="AY20" i="31"/>
  <c r="AY19" i="31"/>
  <c r="AY18" i="31"/>
  <c r="AY17" i="31"/>
  <c r="AY16" i="31"/>
  <c r="AY15" i="31"/>
  <c r="AY14" i="31"/>
  <c r="AY13" i="31"/>
  <c r="AY12" i="31"/>
  <c r="AY11" i="31"/>
  <c r="AY10" i="31"/>
  <c r="AY9" i="31"/>
  <c r="AX65" i="31"/>
  <c r="AX64" i="31"/>
  <c r="AX63" i="31"/>
  <c r="AX62" i="31"/>
  <c r="AX61" i="31"/>
  <c r="AX60" i="31"/>
  <c r="AX59" i="31"/>
  <c r="AX58" i="31"/>
  <c r="AX57" i="31"/>
  <c r="AX56" i="31"/>
  <c r="AX53" i="31"/>
  <c r="AX52" i="31"/>
  <c r="AX51" i="31"/>
  <c r="AX50" i="31"/>
  <c r="AX49" i="31"/>
  <c r="AX48" i="31"/>
  <c r="AX47" i="31"/>
  <c r="AX46" i="31"/>
  <c r="AX45" i="31"/>
  <c r="AX44" i="31"/>
  <c r="AX43" i="31"/>
  <c r="AX42" i="31"/>
  <c r="AX39" i="31"/>
  <c r="AX38" i="31"/>
  <c r="AX37" i="31"/>
  <c r="AX36" i="31"/>
  <c r="AX35" i="31"/>
  <c r="AX34" i="31"/>
  <c r="AX33" i="31"/>
  <c r="AX32" i="31"/>
  <c r="AX31" i="31"/>
  <c r="AX30" i="31"/>
  <c r="AX29" i="31"/>
  <c r="AX28" i="31"/>
  <c r="AX27" i="31"/>
  <c r="AX24" i="31"/>
  <c r="AX23" i="31"/>
  <c r="AX22" i="31"/>
  <c r="AX21" i="31"/>
  <c r="AX20" i="31"/>
  <c r="AX19" i="31"/>
  <c r="AX18" i="31"/>
  <c r="AX17" i="31"/>
  <c r="AX16" i="31"/>
  <c r="AX15" i="31"/>
  <c r="AX14" i="31"/>
  <c r="AX13" i="31"/>
  <c r="AX12" i="31"/>
  <c r="AX11" i="31"/>
  <c r="AX10" i="31"/>
  <c r="AX9" i="31"/>
  <c r="ACV53" i="9"/>
  <c r="ACU53" i="9"/>
  <c r="ACT53" i="9"/>
  <c r="ACS53" i="9"/>
  <c r="ACR53" i="9"/>
  <c r="ACV39" i="9"/>
  <c r="ACU39" i="9"/>
  <c r="ACT39" i="9"/>
  <c r="ACS39" i="9"/>
  <c r="ACR39" i="9"/>
  <c r="ACV24" i="9"/>
  <c r="ACU24" i="9"/>
  <c r="ACT24" i="9"/>
  <c r="ACS24" i="9"/>
  <c r="ACR24" i="9"/>
  <c r="ACV6" i="9"/>
  <c r="ACU6" i="9"/>
  <c r="ACT6" i="9"/>
  <c r="ACS6" i="9"/>
  <c r="ACR6" i="9"/>
  <c r="ZY53" i="9"/>
  <c r="ZX53" i="9"/>
  <c r="ZW53" i="9"/>
  <c r="ZV53" i="9"/>
  <c r="ZU53" i="9"/>
  <c r="ZY39" i="9"/>
  <c r="ZX39" i="9"/>
  <c r="ZW39" i="9"/>
  <c r="ZV39" i="9"/>
  <c r="ZU39" i="9"/>
  <c r="ZY24" i="9"/>
  <c r="ZX24" i="9"/>
  <c r="ZW24" i="9"/>
  <c r="DL25" i="31" s="1"/>
  <c r="ZV24" i="9"/>
  <c r="ZU24" i="9"/>
  <c r="ZY6" i="9"/>
  <c r="ZX6" i="9"/>
  <c r="ZW6" i="9"/>
  <c r="ZV6" i="9"/>
  <c r="ZU6" i="9"/>
  <c r="TR53" i="9"/>
  <c r="TQ53" i="9"/>
  <c r="TP53" i="9"/>
  <c r="TO53" i="9"/>
  <c r="TN53" i="9"/>
  <c r="TR39" i="9"/>
  <c r="TQ39" i="9"/>
  <c r="TP39" i="9"/>
  <c r="TO39" i="9"/>
  <c r="TN39" i="9"/>
  <c r="TR24" i="9"/>
  <c r="TQ24" i="9"/>
  <c r="TP24" i="9"/>
  <c r="TO24" i="9"/>
  <c r="TN24" i="9"/>
  <c r="TR6" i="9"/>
  <c r="TQ6" i="9"/>
  <c r="TP6" i="9"/>
  <c r="TO6" i="9"/>
  <c r="TN6" i="9"/>
  <c r="QU53" i="9"/>
  <c r="QT53" i="9"/>
  <c r="QS53" i="9"/>
  <c r="QR53" i="9"/>
  <c r="QQ53" i="9"/>
  <c r="QU39" i="9"/>
  <c r="QT39" i="9"/>
  <c r="QS39" i="9"/>
  <c r="QR39" i="9"/>
  <c r="QQ39" i="9"/>
  <c r="QU24" i="9"/>
  <c r="QT24" i="9"/>
  <c r="QS24" i="9"/>
  <c r="QR24" i="9"/>
  <c r="QQ24" i="9"/>
  <c r="QU6" i="9"/>
  <c r="QT6" i="9"/>
  <c r="QS6" i="9"/>
  <c r="QR6" i="9"/>
  <c r="QQ6" i="9"/>
  <c r="NX53" i="9"/>
  <c r="NW53" i="9"/>
  <c r="NV53" i="9"/>
  <c r="NU53" i="9"/>
  <c r="NT53" i="9"/>
  <c r="NX39" i="9"/>
  <c r="NW39" i="9"/>
  <c r="NV39" i="9"/>
  <c r="NU39" i="9"/>
  <c r="NT39" i="9"/>
  <c r="NX24" i="9"/>
  <c r="NW24" i="9"/>
  <c r="NV24" i="9"/>
  <c r="NU24" i="9"/>
  <c r="NT24" i="9"/>
  <c r="NX6" i="9"/>
  <c r="NW6" i="9"/>
  <c r="NV6" i="9"/>
  <c r="NU6" i="9"/>
  <c r="NT6" i="9"/>
  <c r="LA24" i="9"/>
  <c r="KZ24" i="9"/>
  <c r="KY24" i="9"/>
  <c r="KX24" i="9"/>
  <c r="KW24" i="9"/>
  <c r="LA39" i="9"/>
  <c r="KZ39" i="9"/>
  <c r="KY39" i="9"/>
  <c r="KX39" i="9"/>
  <c r="KW39" i="9"/>
  <c r="LA53" i="9"/>
  <c r="KZ53" i="9"/>
  <c r="KY53" i="9"/>
  <c r="KX53" i="9"/>
  <c r="KW53" i="9"/>
  <c r="LA6" i="9"/>
  <c r="KZ6" i="9"/>
  <c r="KY6" i="9"/>
  <c r="KX6" i="9"/>
  <c r="KW6" i="9"/>
  <c r="HT53" i="9"/>
  <c r="HS53" i="9"/>
  <c r="HR53" i="9"/>
  <c r="CV54" i="31" s="1"/>
  <c r="HQ53" i="9"/>
  <c r="HP53" i="9"/>
  <c r="HT39" i="9"/>
  <c r="HS39" i="9"/>
  <c r="HR39" i="9"/>
  <c r="CV40" i="31" s="1"/>
  <c r="HQ39" i="9"/>
  <c r="HP39" i="9"/>
  <c r="D40" i="23" s="1"/>
  <c r="HT24" i="9"/>
  <c r="HS24" i="9"/>
  <c r="HR24" i="9"/>
  <c r="CV25" i="31" s="1"/>
  <c r="HQ24" i="9"/>
  <c r="HP24" i="9"/>
  <c r="HT6" i="9"/>
  <c r="HS6" i="9"/>
  <c r="CX7" i="31" s="1"/>
  <c r="U8" i="10" s="1"/>
  <c r="HR6" i="9"/>
  <c r="CV7" i="31" s="1"/>
  <c r="HQ6" i="9"/>
  <c r="HP6" i="9"/>
  <c r="DU53" i="9"/>
  <c r="DT53" i="9"/>
  <c r="DS53" i="9"/>
  <c r="DR53" i="9"/>
  <c r="DQ53" i="9"/>
  <c r="DU39" i="9"/>
  <c r="DT39" i="9"/>
  <c r="DS39" i="9"/>
  <c r="DR39" i="9"/>
  <c r="DQ39" i="9"/>
  <c r="DU24" i="9"/>
  <c r="DT24" i="9"/>
  <c r="DS24" i="9"/>
  <c r="DR24" i="9"/>
  <c r="DQ24" i="9"/>
  <c r="DU6" i="9"/>
  <c r="DT6" i="9"/>
  <c r="DS6" i="9"/>
  <c r="DR6" i="9"/>
  <c r="DQ6" i="9"/>
  <c r="AY53" i="9"/>
  <c r="AX53" i="9"/>
  <c r="AW53" i="9"/>
  <c r="AV53" i="9"/>
  <c r="AU53" i="9"/>
  <c r="AY39" i="9"/>
  <c r="AX39" i="9"/>
  <c r="AW39" i="9"/>
  <c r="AV39" i="9"/>
  <c r="AU39" i="9"/>
  <c r="AY24" i="9"/>
  <c r="AX24" i="9"/>
  <c r="AW24" i="9"/>
  <c r="AV24" i="9"/>
  <c r="AU24" i="9"/>
  <c r="AY6" i="9"/>
  <c r="AX6" i="9"/>
  <c r="AW6" i="9"/>
  <c r="AV6" i="9"/>
  <c r="AU6" i="9"/>
  <c r="DX52" i="19"/>
  <c r="DW52" i="19"/>
  <c r="DV52" i="19"/>
  <c r="DU52" i="19"/>
  <c r="DT52" i="19"/>
  <c r="DX38" i="19"/>
  <c r="DW38" i="19"/>
  <c r="DV38" i="19"/>
  <c r="DU38" i="19"/>
  <c r="DX23" i="19"/>
  <c r="DW23" i="19"/>
  <c r="DV23" i="19"/>
  <c r="DU23" i="19"/>
  <c r="DT23" i="19"/>
  <c r="DX5" i="19"/>
  <c r="DW5" i="19"/>
  <c r="DV5" i="19"/>
  <c r="DU5" i="19"/>
  <c r="CH7" i="31" s="1"/>
  <c r="DT5" i="19"/>
  <c r="T8" i="10" l="1"/>
  <c r="CX54" i="31"/>
  <c r="U55" i="10" s="1"/>
  <c r="CT40" i="31"/>
  <c r="S41" i="10" s="1"/>
  <c r="DJ25" i="31"/>
  <c r="DJ7" i="31"/>
  <c r="T41" i="10"/>
  <c r="H7" i="23"/>
  <c r="DN25" i="31"/>
  <c r="DJ54" i="31"/>
  <c r="CT25" i="31"/>
  <c r="S26" i="10" s="1"/>
  <c r="DL7" i="31"/>
  <c r="DN54" i="31"/>
  <c r="CX40" i="31"/>
  <c r="U41" i="10" s="1"/>
  <c r="T26" i="10"/>
  <c r="DN7" i="31"/>
  <c r="DJ40" i="31"/>
  <c r="DL54" i="31"/>
  <c r="D7" i="23"/>
  <c r="CX25" i="31"/>
  <c r="U26" i="10" s="1"/>
  <c r="CT54" i="31"/>
  <c r="S55" i="10" s="1"/>
  <c r="DL40" i="31"/>
  <c r="D25" i="23"/>
  <c r="CT7" i="31"/>
  <c r="T55" i="10"/>
  <c r="H25" i="23"/>
  <c r="DN40" i="31"/>
  <c r="CF54" i="31"/>
  <c r="H54" i="23"/>
  <c r="CF40" i="31"/>
  <c r="H40" i="23"/>
  <c r="BZ54" i="31"/>
  <c r="D54" i="23"/>
  <c r="BZ40" i="31"/>
  <c r="CF7" i="31"/>
  <c r="BZ25" i="31"/>
  <c r="BZ7" i="31"/>
  <c r="CF25" i="31"/>
  <c r="BI40" i="31"/>
  <c r="AY40" i="31"/>
  <c r="AY7" i="31"/>
  <c r="BC25" i="31"/>
  <c r="BC40" i="31"/>
  <c r="AY25" i="31"/>
  <c r="BI54" i="31"/>
  <c r="BA25" i="31"/>
  <c r="ZY5" i="9"/>
  <c r="BC54" i="31"/>
  <c r="BE25" i="31"/>
  <c r="BG7" i="31"/>
  <c r="DX4" i="19"/>
  <c r="BC7" i="31"/>
  <c r="DT4" i="19"/>
  <c r="AY54" i="31"/>
  <c r="BA40" i="31"/>
  <c r="ZX5" i="9"/>
  <c r="BE54" i="31"/>
  <c r="ACV5" i="9"/>
  <c r="BE7" i="31"/>
  <c r="BA54" i="31"/>
  <c r="BE40" i="31"/>
  <c r="TP5" i="9"/>
  <c r="BA7" i="31"/>
  <c r="BI7" i="31"/>
  <c r="DV4" i="19"/>
  <c r="ACR5" i="9"/>
  <c r="BI25" i="31"/>
  <c r="BG54" i="31"/>
  <c r="ACT5" i="9"/>
  <c r="BG40" i="31"/>
  <c r="BG25" i="31"/>
  <c r="ACU5" i="9"/>
  <c r="ACS5" i="9"/>
  <c r="ZW5" i="9"/>
  <c r="ZU5" i="9"/>
  <c r="ZV5" i="9"/>
  <c r="QU5" i="9"/>
  <c r="QT5" i="9"/>
  <c r="TQ5" i="9"/>
  <c r="TR5" i="9"/>
  <c r="TN5" i="9"/>
  <c r="TO5" i="9"/>
  <c r="NX5" i="9"/>
  <c r="QS5" i="9"/>
  <c r="NV5" i="9"/>
  <c r="NW5" i="9"/>
  <c r="QQ5" i="9"/>
  <c r="QR5" i="9"/>
  <c r="LA5" i="9"/>
  <c r="KY5" i="9"/>
  <c r="KZ5" i="9"/>
  <c r="NT5" i="9"/>
  <c r="NU5" i="9"/>
  <c r="KW5" i="9"/>
  <c r="KX5" i="9"/>
  <c r="DU5" i="9"/>
  <c r="HS5" i="9"/>
  <c r="HT5" i="9"/>
  <c r="HQ5" i="9"/>
  <c r="HP5" i="9"/>
  <c r="HR5" i="9"/>
  <c r="CV6" i="31" s="1"/>
  <c r="DT5" i="9"/>
  <c r="AY5" i="9"/>
  <c r="DQ5" i="9"/>
  <c r="DS5" i="9"/>
  <c r="DR5" i="9"/>
  <c r="AW5" i="9"/>
  <c r="AX5" i="9"/>
  <c r="AU5" i="9"/>
  <c r="AV5" i="9"/>
  <c r="DW4" i="19"/>
  <c r="DU4" i="19"/>
  <c r="CP33" i="31" l="1"/>
  <c r="DJ6" i="31"/>
  <c r="AA7" i="10" s="1"/>
  <c r="H6" i="23"/>
  <c r="D6" i="23"/>
  <c r="DL6" i="31"/>
  <c r="DN6" i="31"/>
  <c r="CX6" i="31"/>
  <c r="U7" i="10" s="1"/>
  <c r="CH6" i="31"/>
  <c r="CT6" i="31"/>
  <c r="BA6" i="31"/>
  <c r="BZ6" i="31"/>
  <c r="CF6" i="31"/>
  <c r="BC6" i="31"/>
  <c r="BI6" i="31"/>
  <c r="BE6" i="31"/>
  <c r="AY6" i="31"/>
  <c r="BG6" i="31"/>
  <c r="HO53" i="9"/>
  <c r="HN53" i="9"/>
  <c r="HM53" i="9"/>
  <c r="HL53" i="9"/>
  <c r="HK53" i="9"/>
  <c r="HK39" i="9"/>
  <c r="QB6" i="9"/>
  <c r="AB7" i="10" l="1"/>
  <c r="AU34" i="31"/>
  <c r="AU35" i="31"/>
  <c r="AU36" i="31"/>
  <c r="AU37" i="31"/>
  <c r="AU38" i="31"/>
  <c r="AU39" i="31"/>
  <c r="AU33" i="31"/>
  <c r="AU32" i="31"/>
  <c r="AO34" i="31"/>
  <c r="AO35" i="31"/>
  <c r="AO36" i="31"/>
  <c r="AO37" i="31"/>
  <c r="AO38" i="31"/>
  <c r="AO39" i="31"/>
  <c r="AO33" i="31"/>
  <c r="AO32" i="31"/>
  <c r="AW9" i="31"/>
  <c r="AW10" i="31"/>
  <c r="AW11" i="31"/>
  <c r="AW12" i="31"/>
  <c r="AW13" i="31"/>
  <c r="AW14" i="31"/>
  <c r="AW15" i="31"/>
  <c r="AW16" i="31"/>
  <c r="AW17" i="31"/>
  <c r="AW18" i="31"/>
  <c r="AW19" i="31"/>
  <c r="AW20" i="31"/>
  <c r="AW21" i="31"/>
  <c r="AW22" i="31"/>
  <c r="AW23" i="31"/>
  <c r="AW24" i="31"/>
  <c r="AW27" i="31"/>
  <c r="AW28" i="31"/>
  <c r="AW29" i="31"/>
  <c r="AW30" i="31"/>
  <c r="AW31" i="31"/>
  <c r="AW32" i="31"/>
  <c r="AW33" i="31"/>
  <c r="AW34" i="31"/>
  <c r="AW35" i="31"/>
  <c r="AW36" i="31"/>
  <c r="AW37" i="31"/>
  <c r="AW38" i="31"/>
  <c r="AW39" i="31"/>
  <c r="AW42" i="31"/>
  <c r="AW43" i="31"/>
  <c r="AW44" i="31"/>
  <c r="AW45" i="31"/>
  <c r="AW46" i="31"/>
  <c r="AW47" i="31"/>
  <c r="AW48" i="31"/>
  <c r="AW49" i="31"/>
  <c r="AW50" i="31"/>
  <c r="AW51" i="31"/>
  <c r="AW52" i="31"/>
  <c r="AW53" i="31"/>
  <c r="AW56" i="31"/>
  <c r="AW57" i="31"/>
  <c r="AW58" i="31"/>
  <c r="AW59" i="31"/>
  <c r="AW60" i="31"/>
  <c r="AW61" i="31"/>
  <c r="AW62" i="31"/>
  <c r="AW63" i="31"/>
  <c r="AW64" i="31"/>
  <c r="AW65" i="31"/>
  <c r="AU9" i="31"/>
  <c r="AU10" i="31"/>
  <c r="AU11" i="31"/>
  <c r="AU12" i="31"/>
  <c r="AU13" i="31"/>
  <c r="AU14" i="31"/>
  <c r="AU15" i="31"/>
  <c r="AU16" i="31"/>
  <c r="AU17" i="31"/>
  <c r="AU18" i="31"/>
  <c r="AU19" i="31"/>
  <c r="AU20" i="31"/>
  <c r="AU21" i="31"/>
  <c r="AU22" i="31"/>
  <c r="AU23" i="31"/>
  <c r="AU24" i="31"/>
  <c r="AU27" i="31"/>
  <c r="AU28" i="31"/>
  <c r="AU29" i="31"/>
  <c r="AU30" i="31"/>
  <c r="AU31" i="31"/>
  <c r="AU42" i="31"/>
  <c r="AU43" i="31"/>
  <c r="AU44" i="31"/>
  <c r="AU45" i="31"/>
  <c r="AU46" i="31"/>
  <c r="AU47" i="31"/>
  <c r="AU48" i="31"/>
  <c r="AU49" i="31"/>
  <c r="AU50" i="31"/>
  <c r="AU51" i="31"/>
  <c r="AU52" i="31"/>
  <c r="AU53" i="31"/>
  <c r="AU56" i="31"/>
  <c r="AU57" i="31"/>
  <c r="AU58" i="31"/>
  <c r="AU59" i="31"/>
  <c r="AU60" i="31"/>
  <c r="AU61" i="31"/>
  <c r="AU62" i="31"/>
  <c r="AU63" i="31"/>
  <c r="AU64" i="31"/>
  <c r="AU65" i="31"/>
  <c r="AS9" i="31"/>
  <c r="AS10" i="31"/>
  <c r="AS11" i="31"/>
  <c r="AS12" i="31"/>
  <c r="AS13" i="31"/>
  <c r="AS14" i="31"/>
  <c r="AS15" i="31"/>
  <c r="AS16" i="31"/>
  <c r="AS17" i="31"/>
  <c r="AS18" i="31"/>
  <c r="AS19" i="31"/>
  <c r="AS20" i="31"/>
  <c r="AS21" i="31"/>
  <c r="AS22" i="31"/>
  <c r="AS23" i="31"/>
  <c r="AS24" i="31"/>
  <c r="AS27" i="31"/>
  <c r="AS28" i="31"/>
  <c r="AS29" i="31"/>
  <c r="AS30" i="31"/>
  <c r="AS31" i="31"/>
  <c r="AS32" i="31"/>
  <c r="AS33" i="31"/>
  <c r="AS34" i="31"/>
  <c r="AS35" i="31"/>
  <c r="AS36" i="31"/>
  <c r="AS37" i="31"/>
  <c r="AS38" i="31"/>
  <c r="AS39" i="31"/>
  <c r="AS42" i="31"/>
  <c r="AS43" i="31"/>
  <c r="AS44" i="31"/>
  <c r="AS45" i="31"/>
  <c r="AS46" i="31"/>
  <c r="AS47" i="31"/>
  <c r="AS48" i="31"/>
  <c r="AS49" i="31"/>
  <c r="AS50" i="31"/>
  <c r="AS51" i="31"/>
  <c r="AS52" i="31"/>
  <c r="AS53" i="31"/>
  <c r="AS56" i="31"/>
  <c r="AS57" i="31"/>
  <c r="AS58" i="31"/>
  <c r="AS59" i="31"/>
  <c r="AS60" i="31"/>
  <c r="AS61" i="31"/>
  <c r="AS62" i="31"/>
  <c r="AS63" i="31"/>
  <c r="AS64" i="31"/>
  <c r="AS65" i="31"/>
  <c r="AQ9" i="31"/>
  <c r="AQ10" i="31"/>
  <c r="AQ11" i="31"/>
  <c r="AQ12" i="31"/>
  <c r="AQ13" i="31"/>
  <c r="AQ14" i="31"/>
  <c r="AQ15" i="31"/>
  <c r="AQ16" i="31"/>
  <c r="AQ17" i="31"/>
  <c r="AQ18" i="31"/>
  <c r="AQ19" i="31"/>
  <c r="AQ20" i="31"/>
  <c r="AQ21" i="31"/>
  <c r="AQ22" i="31"/>
  <c r="AQ23" i="31"/>
  <c r="AQ24" i="31"/>
  <c r="AQ27" i="31"/>
  <c r="AQ28" i="31"/>
  <c r="AQ29" i="31"/>
  <c r="AQ30" i="31"/>
  <c r="AQ31" i="31"/>
  <c r="AQ32" i="31"/>
  <c r="AQ33" i="31"/>
  <c r="AQ34" i="31"/>
  <c r="AQ35" i="31"/>
  <c r="AQ36" i="31"/>
  <c r="AQ37" i="31"/>
  <c r="AQ38" i="31"/>
  <c r="AQ39" i="31"/>
  <c r="AQ42" i="31"/>
  <c r="AQ43" i="31"/>
  <c r="AQ44" i="31"/>
  <c r="AQ45" i="31"/>
  <c r="AQ46" i="31"/>
  <c r="AQ47" i="31"/>
  <c r="AQ48" i="31"/>
  <c r="AQ49" i="31"/>
  <c r="AQ50" i="31"/>
  <c r="AQ51" i="31"/>
  <c r="AQ52" i="31"/>
  <c r="AQ53" i="31"/>
  <c r="AQ56" i="31"/>
  <c r="AQ57" i="31"/>
  <c r="AQ58" i="31"/>
  <c r="AQ59" i="31"/>
  <c r="AQ60" i="31"/>
  <c r="AQ61" i="31"/>
  <c r="AQ62" i="31"/>
  <c r="AQ63" i="31"/>
  <c r="AQ64" i="31"/>
  <c r="AQ65" i="31"/>
  <c r="AO9" i="31"/>
  <c r="AO10" i="31"/>
  <c r="AO11" i="31"/>
  <c r="AO12" i="31"/>
  <c r="AO13" i="31"/>
  <c r="AO14" i="31"/>
  <c r="AO15" i="31"/>
  <c r="AO16" i="31"/>
  <c r="AO17" i="31"/>
  <c r="AO18" i="31"/>
  <c r="AO19" i="31"/>
  <c r="AO20" i="31"/>
  <c r="AO21" i="31"/>
  <c r="AO22" i="31"/>
  <c r="AO23" i="31"/>
  <c r="AO24" i="31"/>
  <c r="AO27" i="31"/>
  <c r="AO28" i="31"/>
  <c r="AO29" i="31"/>
  <c r="AO30" i="31"/>
  <c r="AO31" i="31"/>
  <c r="AO42" i="31"/>
  <c r="AO43" i="31"/>
  <c r="AO44" i="31"/>
  <c r="AO45" i="31"/>
  <c r="AO46" i="31"/>
  <c r="AO47" i="31"/>
  <c r="AO48" i="31"/>
  <c r="AO49" i="31"/>
  <c r="AO50" i="31"/>
  <c r="AO51" i="31"/>
  <c r="AO52" i="31"/>
  <c r="AO53" i="31"/>
  <c r="AO56" i="31"/>
  <c r="AO57" i="31"/>
  <c r="AO58" i="31"/>
  <c r="AO59" i="31"/>
  <c r="AO60" i="31"/>
  <c r="AO61" i="31"/>
  <c r="AO62" i="31"/>
  <c r="AO63" i="31"/>
  <c r="AO64" i="31"/>
  <c r="AO65" i="31"/>
  <c r="AP9" i="31"/>
  <c r="AP10" i="31"/>
  <c r="AP11" i="31"/>
  <c r="AP12" i="31"/>
  <c r="AP13" i="31"/>
  <c r="AP14" i="31"/>
  <c r="AP15" i="31"/>
  <c r="AP16" i="31"/>
  <c r="AP17" i="31"/>
  <c r="AP18" i="31"/>
  <c r="AP19" i="31"/>
  <c r="AP20" i="31"/>
  <c r="AP21" i="31"/>
  <c r="AP22" i="31"/>
  <c r="AP23" i="31"/>
  <c r="AP24" i="31"/>
  <c r="AP27" i="31"/>
  <c r="AP28" i="31"/>
  <c r="AP29" i="31"/>
  <c r="AP30" i="31"/>
  <c r="AP31" i="31"/>
  <c r="AP32" i="31"/>
  <c r="AP33" i="31"/>
  <c r="AP34" i="31"/>
  <c r="AP35" i="31"/>
  <c r="AP36" i="31"/>
  <c r="AP37" i="31"/>
  <c r="AP38" i="31"/>
  <c r="AP39" i="31"/>
  <c r="AP42" i="31"/>
  <c r="AP43" i="31"/>
  <c r="AP44" i="31"/>
  <c r="AP45" i="31"/>
  <c r="AP46" i="31"/>
  <c r="AP47" i="31"/>
  <c r="AP48" i="31"/>
  <c r="AP49" i="31"/>
  <c r="AP50" i="31"/>
  <c r="AP51" i="31"/>
  <c r="AP52" i="31"/>
  <c r="AP53" i="31"/>
  <c r="AP56" i="31"/>
  <c r="AP57" i="31"/>
  <c r="AP58" i="31"/>
  <c r="AP59" i="31"/>
  <c r="AP60" i="31"/>
  <c r="AP61" i="31"/>
  <c r="AP62" i="31"/>
  <c r="AP63" i="31"/>
  <c r="AP64" i="31"/>
  <c r="AP65" i="31"/>
  <c r="AL9" i="31"/>
  <c r="AL10" i="31"/>
  <c r="AL11" i="31"/>
  <c r="AL12" i="31"/>
  <c r="AL13" i="31"/>
  <c r="AL14" i="31"/>
  <c r="AL15" i="31"/>
  <c r="AL16" i="31"/>
  <c r="AL17" i="31"/>
  <c r="AL18" i="31"/>
  <c r="AL19" i="31"/>
  <c r="AL20" i="31"/>
  <c r="AL21" i="31"/>
  <c r="AL22" i="31"/>
  <c r="AL23" i="31"/>
  <c r="AL24" i="31"/>
  <c r="AL27" i="31"/>
  <c r="AL28" i="31"/>
  <c r="AL29" i="31"/>
  <c r="AL30" i="31"/>
  <c r="AL31" i="31"/>
  <c r="AL32" i="31"/>
  <c r="AL33" i="31"/>
  <c r="AL34" i="31"/>
  <c r="AL35" i="31"/>
  <c r="AL36" i="31"/>
  <c r="AL37" i="31"/>
  <c r="AL38" i="31"/>
  <c r="AL39" i="31"/>
  <c r="AL42" i="31"/>
  <c r="AL43" i="31"/>
  <c r="AL44" i="31"/>
  <c r="AL45" i="31"/>
  <c r="AL46" i="31"/>
  <c r="AL47" i="31"/>
  <c r="AL48" i="31"/>
  <c r="AL49" i="31"/>
  <c r="AL50" i="31"/>
  <c r="AL51" i="31"/>
  <c r="AL52" i="31"/>
  <c r="AL53" i="31"/>
  <c r="AL56" i="31"/>
  <c r="AL57" i="31"/>
  <c r="AL58" i="31"/>
  <c r="AL59" i="31"/>
  <c r="AL60" i="31"/>
  <c r="AL61" i="31"/>
  <c r="AL62" i="31"/>
  <c r="AL63" i="31"/>
  <c r="AL64" i="31"/>
  <c r="AL65" i="31"/>
  <c r="AM9" i="31"/>
  <c r="AM10" i="31"/>
  <c r="AM11" i="31"/>
  <c r="AM12" i="31"/>
  <c r="AM13" i="31"/>
  <c r="AM14" i="31"/>
  <c r="AM15" i="31"/>
  <c r="AM16" i="31"/>
  <c r="AM17" i="31"/>
  <c r="AM18" i="31"/>
  <c r="AM19" i="31"/>
  <c r="AM20" i="31"/>
  <c r="AM21" i="31"/>
  <c r="AM22" i="31"/>
  <c r="AM23" i="31"/>
  <c r="AM24" i="31"/>
  <c r="AM27" i="31"/>
  <c r="AM28" i="31"/>
  <c r="AM29" i="31"/>
  <c r="AM30" i="31"/>
  <c r="AM31" i="31"/>
  <c r="AM32" i="31"/>
  <c r="AM33" i="31"/>
  <c r="AM34" i="31"/>
  <c r="AM35" i="31"/>
  <c r="AM36" i="31"/>
  <c r="AM37" i="31"/>
  <c r="AM38" i="31"/>
  <c r="AM39" i="31"/>
  <c r="AM42" i="31"/>
  <c r="AM43" i="31"/>
  <c r="AM44" i="31"/>
  <c r="AM45" i="31"/>
  <c r="AM46" i="31"/>
  <c r="AM47" i="31"/>
  <c r="AM48" i="31"/>
  <c r="AM49" i="31"/>
  <c r="AM50" i="31"/>
  <c r="AM51" i="31"/>
  <c r="AM52" i="31"/>
  <c r="AM53" i="31"/>
  <c r="AM56" i="31"/>
  <c r="AM57" i="31"/>
  <c r="AM58" i="31"/>
  <c r="AM59" i="31"/>
  <c r="AM60" i="31"/>
  <c r="AM61" i="31"/>
  <c r="AM62" i="31"/>
  <c r="AM63" i="31"/>
  <c r="AM64" i="31"/>
  <c r="AM65" i="31"/>
  <c r="DQ52" i="19" l="1"/>
  <c r="AO54" i="31" s="1"/>
  <c r="DR52" i="19"/>
  <c r="BV54" i="31" s="1"/>
  <c r="DS52" i="19"/>
  <c r="BX54" i="31" s="1"/>
  <c r="DQ38" i="19"/>
  <c r="DR38" i="19"/>
  <c r="DS38" i="19"/>
  <c r="DR23" i="19"/>
  <c r="DS23" i="19"/>
  <c r="DR5" i="19"/>
  <c r="DS5" i="19"/>
  <c r="DQ23" i="19"/>
  <c r="DO23" i="19"/>
  <c r="DO38" i="19"/>
  <c r="DO5" i="19"/>
  <c r="DP5" i="19"/>
  <c r="DP52" i="19"/>
  <c r="AM54" i="31" s="1"/>
  <c r="DP38" i="19"/>
  <c r="DP23" i="19"/>
  <c r="DQ5" i="19"/>
  <c r="ACN53" i="9"/>
  <c r="ACO53" i="9"/>
  <c r="ACP53" i="9"/>
  <c r="ACQ53" i="9"/>
  <c r="ACN39" i="9"/>
  <c r="ACO39" i="9"/>
  <c r="ACP39" i="9"/>
  <c r="ACQ39" i="9"/>
  <c r="ACO24" i="9"/>
  <c r="ACP24" i="9"/>
  <c r="ACQ24" i="9"/>
  <c r="ACM6" i="9"/>
  <c r="ACN6" i="9"/>
  <c r="ACO6" i="9"/>
  <c r="ACP6" i="9"/>
  <c r="ACQ6" i="9"/>
  <c r="ZP53" i="9"/>
  <c r="ZQ53" i="9"/>
  <c r="ZR53" i="9"/>
  <c r="ZS53" i="9"/>
  <c r="ZT53" i="9"/>
  <c r="CD54" i="31" s="1"/>
  <c r="ZP39" i="9"/>
  <c r="ZQ39" i="9"/>
  <c r="ZR39" i="9"/>
  <c r="ZS39" i="9"/>
  <c r="ZT39" i="9"/>
  <c r="ZP24" i="9"/>
  <c r="ZQ24" i="9"/>
  <c r="ZR24" i="9"/>
  <c r="ZS24" i="9"/>
  <c r="ZT24" i="9"/>
  <c r="ZP6" i="9"/>
  <c r="ZQ6" i="9"/>
  <c r="ZR6" i="9"/>
  <c r="ZS6" i="9"/>
  <c r="CB7" i="31" s="1"/>
  <c r="ZT6" i="9"/>
  <c r="TI53" i="9"/>
  <c r="TJ53" i="9"/>
  <c r="TK53" i="9"/>
  <c r="TL53" i="9"/>
  <c r="TM53" i="9"/>
  <c r="TC39" i="9"/>
  <c r="TI39" i="9"/>
  <c r="TJ39" i="9"/>
  <c r="TK39" i="9"/>
  <c r="TL39" i="9"/>
  <c r="TM39" i="9"/>
  <c r="TC24" i="9"/>
  <c r="TI24" i="9"/>
  <c r="TJ24" i="9"/>
  <c r="TK24" i="9"/>
  <c r="TL24" i="9"/>
  <c r="TM24" i="9"/>
  <c r="TJ6" i="9"/>
  <c r="TK6" i="9"/>
  <c r="TL6" i="9"/>
  <c r="TM6" i="9"/>
  <c r="QL53" i="9"/>
  <c r="QM53" i="9"/>
  <c r="QN53" i="9"/>
  <c r="QO53" i="9"/>
  <c r="QP53" i="9"/>
  <c r="QL39" i="9"/>
  <c r="QM39" i="9"/>
  <c r="QN39" i="9"/>
  <c r="QO39" i="9"/>
  <c r="QP39" i="9"/>
  <c r="QL24" i="9"/>
  <c r="QM24" i="9"/>
  <c r="QN24" i="9"/>
  <c r="QO24" i="9"/>
  <c r="QP24" i="9"/>
  <c r="QL6" i="9"/>
  <c r="QM6" i="9"/>
  <c r="QN6" i="9"/>
  <c r="QO6" i="9"/>
  <c r="QP6" i="9"/>
  <c r="NO53" i="9"/>
  <c r="NP53" i="9"/>
  <c r="NQ53" i="9"/>
  <c r="NR53" i="9"/>
  <c r="NS53" i="9"/>
  <c r="NO39" i="9"/>
  <c r="NP39" i="9"/>
  <c r="NQ39" i="9"/>
  <c r="NR39" i="9"/>
  <c r="NS39" i="9"/>
  <c r="NO24" i="9"/>
  <c r="NP24" i="9"/>
  <c r="NQ24" i="9"/>
  <c r="NR24" i="9"/>
  <c r="NS24" i="9"/>
  <c r="NR6" i="9"/>
  <c r="NO6" i="9"/>
  <c r="NP6" i="9"/>
  <c r="NQ6" i="9"/>
  <c r="NS6" i="9"/>
  <c r="KR53" i="9"/>
  <c r="KS53" i="9"/>
  <c r="KT53" i="9"/>
  <c r="KU53" i="9"/>
  <c r="KV53" i="9"/>
  <c r="KR39" i="9"/>
  <c r="KS39" i="9"/>
  <c r="KT39" i="9"/>
  <c r="KU39" i="9"/>
  <c r="KV39" i="9"/>
  <c r="KR24" i="9"/>
  <c r="KS24" i="9"/>
  <c r="KT24" i="9"/>
  <c r="KU24" i="9"/>
  <c r="KV24" i="9"/>
  <c r="OX8" i="9"/>
  <c r="OY8" i="9"/>
  <c r="OZ8" i="9"/>
  <c r="PA8" i="9"/>
  <c r="PB8" i="9"/>
  <c r="PC8" i="9"/>
  <c r="PD8" i="9"/>
  <c r="PE8" i="9"/>
  <c r="PF8" i="9"/>
  <c r="PG8" i="9"/>
  <c r="KR6" i="9"/>
  <c r="KS6" i="9"/>
  <c r="KT6" i="9"/>
  <c r="KU6" i="9"/>
  <c r="KV6" i="9"/>
  <c r="HL39" i="9"/>
  <c r="HM39" i="9"/>
  <c r="HN39" i="9"/>
  <c r="BV40" i="31" s="1"/>
  <c r="HO39" i="9"/>
  <c r="HK24" i="9"/>
  <c r="HL24" i="9"/>
  <c r="HM24" i="9"/>
  <c r="HN24" i="9"/>
  <c r="HO24" i="9"/>
  <c r="HK6" i="9"/>
  <c r="HL6" i="9"/>
  <c r="HM6" i="9"/>
  <c r="AO7" i="31" s="1"/>
  <c r="HN6" i="9"/>
  <c r="BV7" i="31" s="1"/>
  <c r="HO6" i="9"/>
  <c r="BX7" i="31" l="1"/>
  <c r="AM25" i="31"/>
  <c r="AU25" i="31"/>
  <c r="CD7" i="31"/>
  <c r="AO25" i="31"/>
  <c r="CB40" i="31"/>
  <c r="BX25" i="31"/>
  <c r="CD25" i="31"/>
  <c r="CB25" i="31"/>
  <c r="TI5" i="9"/>
  <c r="BX40" i="31"/>
  <c r="AS25" i="31"/>
  <c r="CD40" i="31"/>
  <c r="AQ25" i="31"/>
  <c r="BV25" i="31"/>
  <c r="AW54" i="31"/>
  <c r="CB54" i="31"/>
  <c r="AU40" i="31"/>
  <c r="AU7" i="31"/>
  <c r="ACO5" i="9"/>
  <c r="AS7" i="31"/>
  <c r="AW40" i="31"/>
  <c r="KR5" i="9"/>
  <c r="AW25" i="31"/>
  <c r="AM7" i="31"/>
  <c r="AO40" i="31"/>
  <c r="AQ40" i="31"/>
  <c r="ZP5" i="9"/>
  <c r="ACM5" i="9"/>
  <c r="AW7" i="31"/>
  <c r="AS40" i="31"/>
  <c r="AU54" i="31"/>
  <c r="DQ4" i="19"/>
  <c r="DP4" i="19"/>
  <c r="AQ7" i="31"/>
  <c r="AM40" i="31"/>
  <c r="AS54" i="31"/>
  <c r="DS4" i="19"/>
  <c r="AQ54" i="31"/>
  <c r="QL5" i="9"/>
  <c r="HK5" i="9"/>
  <c r="DR4" i="19"/>
  <c r="DO4" i="19"/>
  <c r="ACN5" i="9"/>
  <c r="ACQ5" i="9"/>
  <c r="ACP5" i="9"/>
  <c r="ZQ5" i="9"/>
  <c r="ZR5" i="9"/>
  <c r="ZT5" i="9"/>
  <c r="ZS5" i="9"/>
  <c r="TJ5" i="9"/>
  <c r="TM5" i="9"/>
  <c r="TL5" i="9"/>
  <c r="TK5" i="9"/>
  <c r="QM5" i="9"/>
  <c r="QN5" i="9"/>
  <c r="QP5" i="9"/>
  <c r="QO5" i="9"/>
  <c r="NP5" i="9"/>
  <c r="NO5" i="9"/>
  <c r="NS5" i="9"/>
  <c r="NR5" i="9"/>
  <c r="NQ5" i="9"/>
  <c r="KS5" i="9"/>
  <c r="KU5" i="9"/>
  <c r="KV5" i="9"/>
  <c r="KT5" i="9"/>
  <c r="HN5" i="9"/>
  <c r="HO5" i="9"/>
  <c r="HM5" i="9"/>
  <c r="HL5" i="9"/>
  <c r="DL53" i="9"/>
  <c r="DM53" i="9"/>
  <c r="DN53" i="9"/>
  <c r="DO53" i="9"/>
  <c r="DP53" i="9"/>
  <c r="DM39" i="9"/>
  <c r="DN39" i="9"/>
  <c r="DO39" i="9"/>
  <c r="DP39" i="9"/>
  <c r="DM24" i="9"/>
  <c r="DN24" i="9"/>
  <c r="DO24" i="9"/>
  <c r="DP24" i="9"/>
  <c r="AQ53" i="9"/>
  <c r="AR53" i="9"/>
  <c r="AS53" i="9"/>
  <c r="AT53" i="9"/>
  <c r="AQ39" i="9"/>
  <c r="AR39" i="9"/>
  <c r="AS39" i="9"/>
  <c r="AT39" i="9"/>
  <c r="AQ24" i="9"/>
  <c r="AR24" i="9"/>
  <c r="AS24" i="9"/>
  <c r="AT24" i="9"/>
  <c r="BX6" i="31" l="1"/>
  <c r="CD6" i="31"/>
  <c r="CB6" i="31"/>
  <c r="BV6" i="31"/>
  <c r="AQ6" i="31"/>
  <c r="AO6" i="31"/>
  <c r="AU6" i="31"/>
  <c r="E8" i="23"/>
  <c r="AM6" i="31"/>
  <c r="AS6" i="31"/>
  <c r="AW6" i="31"/>
  <c r="DL39" i="9"/>
  <c r="DL24" i="9"/>
  <c r="DM6" i="9"/>
  <c r="DM5" i="9" s="1"/>
  <c r="DN6" i="9"/>
  <c r="DN5" i="9" s="1"/>
  <c r="DO6" i="9"/>
  <c r="DO5" i="9" s="1"/>
  <c r="DP6" i="9"/>
  <c r="DP5" i="9" s="1"/>
  <c r="AP53" i="9"/>
  <c r="AP39" i="9"/>
  <c r="AP24" i="9"/>
  <c r="FC8" i="9"/>
  <c r="FC9" i="9"/>
  <c r="FC10" i="9"/>
  <c r="FC11" i="9"/>
  <c r="FH11" i="9"/>
  <c r="FC12" i="9"/>
  <c r="FC13" i="9"/>
  <c r="FC14" i="9"/>
  <c r="FC15" i="9"/>
  <c r="FC16" i="9"/>
  <c r="FC17" i="9"/>
  <c r="FC18" i="9"/>
  <c r="FC19" i="9"/>
  <c r="FC20" i="9"/>
  <c r="FC21" i="9"/>
  <c r="FC22" i="9"/>
  <c r="FC23" i="9"/>
  <c r="CC24" i="9"/>
  <c r="EY24" i="9"/>
  <c r="EZ24" i="9"/>
  <c r="FA24" i="9"/>
  <c r="FB24" i="9"/>
  <c r="FM24" i="9"/>
  <c r="FN24" i="9"/>
  <c r="FO24" i="9"/>
  <c r="FP24" i="9"/>
  <c r="FQ24" i="9"/>
  <c r="FR24" i="9"/>
  <c r="FS24" i="9"/>
  <c r="FT24" i="9"/>
  <c r="FU24" i="9"/>
  <c r="FV24" i="9"/>
  <c r="FW24" i="9"/>
  <c r="FC26" i="9"/>
  <c r="FC27" i="9"/>
  <c r="FC28" i="9"/>
  <c r="FC29" i="9"/>
  <c r="FC30" i="9"/>
  <c r="FC31" i="9"/>
  <c r="FC32" i="9"/>
  <c r="FC33" i="9"/>
  <c r="FC34" i="9"/>
  <c r="FC35" i="9"/>
  <c r="FC36" i="9"/>
  <c r="FC37" i="9"/>
  <c r="FC38" i="9"/>
  <c r="CC39" i="9"/>
  <c r="EY39" i="9"/>
  <c r="EZ39" i="9"/>
  <c r="FA39" i="9"/>
  <c r="FB39" i="9"/>
  <c r="FM39" i="9"/>
  <c r="FN39" i="9"/>
  <c r="FO39" i="9"/>
  <c r="FP39" i="9"/>
  <c r="FQ39" i="9"/>
  <c r="FR39" i="9"/>
  <c r="FS39" i="9"/>
  <c r="FT39" i="9"/>
  <c r="FU39" i="9"/>
  <c r="FV39" i="9"/>
  <c r="FW39" i="9"/>
  <c r="FC41" i="9"/>
  <c r="FC42" i="9"/>
  <c r="FC43" i="9"/>
  <c r="FC44" i="9"/>
  <c r="FC45" i="9"/>
  <c r="FC46" i="9"/>
  <c r="FC47" i="9"/>
  <c r="FC48" i="9"/>
  <c r="FC49" i="9"/>
  <c r="FC50" i="9"/>
  <c r="FC51" i="9"/>
  <c r="FC52" i="9"/>
  <c r="EY53" i="9"/>
  <c r="EZ53" i="9"/>
  <c r="FA53" i="9"/>
  <c r="FB53" i="9"/>
  <c r="FM53" i="9"/>
  <c r="FN53" i="9"/>
  <c r="FO53" i="9"/>
  <c r="FP53" i="9"/>
  <c r="FQ53" i="9"/>
  <c r="FR53" i="9"/>
  <c r="FS53" i="9"/>
  <c r="FT53" i="9"/>
  <c r="FU53" i="9"/>
  <c r="FV53" i="9"/>
  <c r="FW53" i="9"/>
  <c r="FC55" i="9"/>
  <c r="FC56" i="9"/>
  <c r="FC57" i="9"/>
  <c r="FC58" i="9"/>
  <c r="FC59" i="9"/>
  <c r="FC60" i="9"/>
  <c r="FC61" i="9"/>
  <c r="FC62" i="9"/>
  <c r="FC63" i="9"/>
  <c r="FC64" i="9"/>
  <c r="AT6" i="9"/>
  <c r="AT5" i="9" s="1"/>
  <c r="AS6" i="9"/>
  <c r="AS5" i="9" s="1"/>
  <c r="AR6" i="9"/>
  <c r="AR5" i="9" s="1"/>
  <c r="AQ6" i="9"/>
  <c r="AQ5" i="9" s="1"/>
  <c r="FC24" i="9" l="1"/>
  <c r="FC39" i="9"/>
  <c r="FC53" i="9"/>
  <c r="DL6" i="9"/>
  <c r="DL5" i="9" s="1"/>
  <c r="AP6" i="9"/>
  <c r="AP5" i="9" s="1"/>
  <c r="Z57" i="31"/>
  <c r="Z58" i="31"/>
  <c r="Z59" i="31"/>
  <c r="Z60" i="31"/>
  <c r="Z61" i="31"/>
  <c r="Z62" i="31"/>
  <c r="Z63" i="31"/>
  <c r="Z64" i="31"/>
  <c r="Z65" i="31"/>
  <c r="Z56" i="31"/>
  <c r="Z43" i="31"/>
  <c r="Z44" i="31"/>
  <c r="Z45" i="31"/>
  <c r="Z46" i="31"/>
  <c r="Z47" i="31"/>
  <c r="Z48" i="31"/>
  <c r="Z49" i="31"/>
  <c r="Z50" i="31"/>
  <c r="Z51" i="31"/>
  <c r="Z52" i="31"/>
  <c r="Z53" i="31"/>
  <c r="Z42" i="31"/>
  <c r="Z28" i="31"/>
  <c r="Z29" i="31"/>
  <c r="Z30" i="31"/>
  <c r="Z31" i="31"/>
  <c r="Z32" i="31"/>
  <c r="Z33" i="31"/>
  <c r="Z34" i="31"/>
  <c r="Z35" i="31"/>
  <c r="Z36" i="31"/>
  <c r="Z37" i="31"/>
  <c r="Z38" i="31"/>
  <c r="Z39" i="31"/>
  <c r="Z27" i="31"/>
  <c r="Z10" i="31"/>
  <c r="Z11" i="31"/>
  <c r="Z12" i="31"/>
  <c r="Z13" i="31"/>
  <c r="Z14" i="31"/>
  <c r="Z15" i="31"/>
  <c r="Z16" i="31"/>
  <c r="Z17" i="31"/>
  <c r="Z18" i="31"/>
  <c r="Z19" i="31"/>
  <c r="Z20" i="31"/>
  <c r="Z21" i="31"/>
  <c r="Z22" i="31"/>
  <c r="Z23" i="31"/>
  <c r="Z24" i="31"/>
  <c r="Z9" i="31"/>
  <c r="AB57" i="31"/>
  <c r="AB58" i="31"/>
  <c r="AB59" i="31"/>
  <c r="AB60" i="31"/>
  <c r="AB61" i="31"/>
  <c r="AB62" i="31"/>
  <c r="AB63" i="31"/>
  <c r="AB64" i="31"/>
  <c r="AB65" i="31"/>
  <c r="AB56" i="31"/>
  <c r="AB43" i="31"/>
  <c r="AB44" i="31"/>
  <c r="AB45" i="31"/>
  <c r="AB46" i="31"/>
  <c r="AB47" i="31"/>
  <c r="AB48" i="31"/>
  <c r="AB49" i="31"/>
  <c r="AB50" i="31"/>
  <c r="AB51" i="31"/>
  <c r="AB52" i="31"/>
  <c r="AB53" i="31"/>
  <c r="AB42" i="31"/>
  <c r="AB28" i="31"/>
  <c r="AB29" i="31"/>
  <c r="AB30" i="31"/>
  <c r="AB31" i="31"/>
  <c r="AB32" i="31"/>
  <c r="AB33" i="31"/>
  <c r="AB34" i="31"/>
  <c r="AB35" i="31"/>
  <c r="AB36" i="31"/>
  <c r="AB37" i="31"/>
  <c r="AB38" i="31"/>
  <c r="AB39" i="31"/>
  <c r="AB27" i="31"/>
  <c r="AB10" i="31"/>
  <c r="AB11" i="31"/>
  <c r="AB12" i="31"/>
  <c r="AB13" i="31"/>
  <c r="AB14" i="31"/>
  <c r="AB15" i="31"/>
  <c r="AB16" i="31"/>
  <c r="AB17" i="31"/>
  <c r="AB18" i="31"/>
  <c r="AB19" i="31"/>
  <c r="AB20" i="31"/>
  <c r="AB21" i="31"/>
  <c r="AB22" i="31"/>
  <c r="AB23" i="31"/>
  <c r="AB24" i="31"/>
  <c r="AB9" i="31"/>
  <c r="AD57" i="31"/>
  <c r="AD58" i="31"/>
  <c r="AD59" i="31"/>
  <c r="AD60" i="31"/>
  <c r="AD61" i="31"/>
  <c r="AD62" i="31"/>
  <c r="AD63" i="31"/>
  <c r="AD64" i="31"/>
  <c r="AD65" i="31"/>
  <c r="AD56" i="31"/>
  <c r="AD43" i="31"/>
  <c r="AD44" i="31"/>
  <c r="AD45" i="31"/>
  <c r="AD46" i="31"/>
  <c r="AD47" i="31"/>
  <c r="AD48" i="31"/>
  <c r="AD49" i="31"/>
  <c r="AD50" i="31"/>
  <c r="AD51" i="31"/>
  <c r="AD52" i="31"/>
  <c r="AD53" i="31"/>
  <c r="AD42" i="31"/>
  <c r="AD28" i="31"/>
  <c r="AD29" i="31"/>
  <c r="AD30" i="31"/>
  <c r="AD31" i="31"/>
  <c r="AD32" i="31"/>
  <c r="AD33" i="31"/>
  <c r="AD34" i="31"/>
  <c r="AD35" i="31"/>
  <c r="AD36" i="31"/>
  <c r="AD37" i="31"/>
  <c r="AD38" i="31"/>
  <c r="AD39" i="31"/>
  <c r="AD27" i="31"/>
  <c r="AD10" i="31"/>
  <c r="AD11" i="31"/>
  <c r="AD12" i="31"/>
  <c r="AD13" i="31"/>
  <c r="AD14" i="31"/>
  <c r="AD15" i="31"/>
  <c r="AD16" i="31"/>
  <c r="AD17" i="31"/>
  <c r="AD18" i="31"/>
  <c r="AD19" i="31"/>
  <c r="AD20" i="31"/>
  <c r="AD21" i="31"/>
  <c r="AD22" i="31"/>
  <c r="AD23" i="31"/>
  <c r="AD24" i="31"/>
  <c r="AD9" i="31"/>
  <c r="AK57" i="31" l="1"/>
  <c r="AK58" i="31"/>
  <c r="AK59" i="31"/>
  <c r="AK60" i="31"/>
  <c r="AK61" i="31"/>
  <c r="AK62" i="31"/>
  <c r="AK63" i="31"/>
  <c r="AK64" i="31"/>
  <c r="AK65" i="31"/>
  <c r="AK56" i="31"/>
  <c r="AK43" i="31"/>
  <c r="AK44" i="31"/>
  <c r="AK45" i="31"/>
  <c r="AK46" i="31"/>
  <c r="AK47" i="31"/>
  <c r="AK48" i="31"/>
  <c r="AK49" i="31"/>
  <c r="AK50" i="31"/>
  <c r="AK51" i="31"/>
  <c r="AK52" i="31"/>
  <c r="AK53" i="31"/>
  <c r="AK42" i="31"/>
  <c r="AK28" i="31"/>
  <c r="AK29" i="31"/>
  <c r="AK30" i="31"/>
  <c r="AK31" i="31"/>
  <c r="AK32" i="31"/>
  <c r="AK33" i="31"/>
  <c r="AK34" i="31"/>
  <c r="AK35" i="31"/>
  <c r="AK36" i="31"/>
  <c r="AK37" i="31"/>
  <c r="AK38" i="31"/>
  <c r="AK39" i="31"/>
  <c r="AK27" i="31"/>
  <c r="AK10" i="31"/>
  <c r="AK11" i="31"/>
  <c r="AK12" i="31"/>
  <c r="AK13" i="31"/>
  <c r="AK14" i="31"/>
  <c r="AK15" i="31"/>
  <c r="AK16" i="31"/>
  <c r="AK17" i="31"/>
  <c r="AK18" i="31"/>
  <c r="AK19" i="31"/>
  <c r="AK20" i="31"/>
  <c r="AK21" i="31"/>
  <c r="AK22" i="31"/>
  <c r="AK23" i="31"/>
  <c r="AK24" i="31"/>
  <c r="AK9" i="31"/>
  <c r="AI57" i="31"/>
  <c r="AI58" i="31"/>
  <c r="AI59" i="31"/>
  <c r="AI60" i="31"/>
  <c r="AI61" i="31"/>
  <c r="AI62" i="31"/>
  <c r="AI63" i="31"/>
  <c r="AI64" i="31"/>
  <c r="AI65" i="31"/>
  <c r="AI56" i="31"/>
  <c r="AI43" i="31"/>
  <c r="AI44" i="31"/>
  <c r="AI45" i="31"/>
  <c r="AI46" i="31"/>
  <c r="AI47" i="31"/>
  <c r="AI48" i="31"/>
  <c r="AI49" i="31"/>
  <c r="AI50" i="31"/>
  <c r="AI51" i="31"/>
  <c r="AI52" i="31"/>
  <c r="AI53" i="31"/>
  <c r="AI42" i="31"/>
  <c r="AI28" i="31"/>
  <c r="AI29" i="31"/>
  <c r="AI30" i="31"/>
  <c r="AI31" i="31"/>
  <c r="AI32" i="31"/>
  <c r="AI33" i="31"/>
  <c r="AI34" i="31"/>
  <c r="AI35" i="31"/>
  <c r="AI36" i="31"/>
  <c r="AI37" i="31"/>
  <c r="AI38" i="31"/>
  <c r="AI39" i="31"/>
  <c r="AI27" i="31"/>
  <c r="AI10" i="31"/>
  <c r="AI11" i="31"/>
  <c r="AI12" i="31"/>
  <c r="AI13" i="31"/>
  <c r="AI14" i="31"/>
  <c r="AI15" i="31"/>
  <c r="AI16" i="31"/>
  <c r="AI17" i="31"/>
  <c r="AI18" i="31"/>
  <c r="AI19" i="31"/>
  <c r="AI20" i="31"/>
  <c r="AI21" i="31"/>
  <c r="AI22" i="31"/>
  <c r="AI23" i="31"/>
  <c r="AI24" i="31"/>
  <c r="AI9" i="31"/>
  <c r="AG57" i="31"/>
  <c r="AG58" i="31"/>
  <c r="AG59" i="31"/>
  <c r="AG60" i="31"/>
  <c r="AG61" i="31"/>
  <c r="AG62" i="31"/>
  <c r="AG63" i="31"/>
  <c r="AG64" i="31"/>
  <c r="AG65" i="31"/>
  <c r="AG56" i="31"/>
  <c r="AG43" i="31"/>
  <c r="AG44" i="31"/>
  <c r="AG45" i="31"/>
  <c r="AG46" i="31"/>
  <c r="AG47" i="31"/>
  <c r="AG48" i="31"/>
  <c r="AG49" i="31"/>
  <c r="AG50" i="31"/>
  <c r="AG51" i="31"/>
  <c r="AG52" i="31"/>
  <c r="AG53" i="31"/>
  <c r="AG42" i="31"/>
  <c r="AG28" i="31"/>
  <c r="AG29" i="31"/>
  <c r="AG30" i="31"/>
  <c r="AG31" i="31"/>
  <c r="AG32" i="31"/>
  <c r="AG33" i="31"/>
  <c r="AG34" i="31"/>
  <c r="AG35" i="31"/>
  <c r="AG36" i="31"/>
  <c r="AG37" i="31"/>
  <c r="AG38" i="31"/>
  <c r="AG39" i="31"/>
  <c r="AG27" i="31"/>
  <c r="AG10" i="31"/>
  <c r="AG11" i="31"/>
  <c r="AG12" i="31"/>
  <c r="AG13" i="31"/>
  <c r="AG14" i="31"/>
  <c r="AG15" i="31"/>
  <c r="AG16" i="31"/>
  <c r="AG17" i="31"/>
  <c r="AG18" i="31"/>
  <c r="AG19" i="31"/>
  <c r="AG20" i="31"/>
  <c r="AG21" i="31"/>
  <c r="AG22" i="31"/>
  <c r="AG23" i="31"/>
  <c r="AG24" i="31"/>
  <c r="AG9" i="31"/>
  <c r="AE57" i="31"/>
  <c r="AE58" i="31"/>
  <c r="AE59" i="31"/>
  <c r="AE60" i="31"/>
  <c r="AE61" i="31"/>
  <c r="AE62" i="31"/>
  <c r="AE63" i="31"/>
  <c r="AE64" i="31"/>
  <c r="AE65" i="31"/>
  <c r="AE56" i="31"/>
  <c r="AE43" i="31"/>
  <c r="AE44" i="31"/>
  <c r="AE45" i="31"/>
  <c r="AE46" i="31"/>
  <c r="AE47" i="31"/>
  <c r="AE48" i="31"/>
  <c r="AE49" i="31"/>
  <c r="AE50" i="31"/>
  <c r="AE51" i="31"/>
  <c r="AE52" i="31"/>
  <c r="AE53" i="31"/>
  <c r="AE42" i="31"/>
  <c r="AE28" i="31"/>
  <c r="AE29" i="31"/>
  <c r="AE30" i="31"/>
  <c r="AE31" i="31"/>
  <c r="AE32" i="31"/>
  <c r="AE33" i="31"/>
  <c r="AE34" i="31"/>
  <c r="AE35" i="31"/>
  <c r="AE36" i="31"/>
  <c r="AE37" i="31"/>
  <c r="AE38" i="31"/>
  <c r="AE39" i="31"/>
  <c r="AE27" i="31"/>
  <c r="AE10" i="31"/>
  <c r="AE11" i="31"/>
  <c r="AE12" i="31"/>
  <c r="AE13" i="31"/>
  <c r="AE14" i="31"/>
  <c r="AE15" i="31"/>
  <c r="AE16" i="31"/>
  <c r="AE17" i="31"/>
  <c r="AE18" i="31"/>
  <c r="AE19" i="31"/>
  <c r="AE20" i="31"/>
  <c r="AE21" i="31"/>
  <c r="AE22" i="31"/>
  <c r="AE23" i="31"/>
  <c r="AE24" i="31"/>
  <c r="AE9" i="31"/>
  <c r="AC57" i="31"/>
  <c r="AC58" i="31"/>
  <c r="AC59" i="31"/>
  <c r="AC60" i="31"/>
  <c r="AC61" i="31"/>
  <c r="AC62" i="31"/>
  <c r="AC63" i="31"/>
  <c r="AC64" i="31"/>
  <c r="AC65" i="31"/>
  <c r="AC56" i="31"/>
  <c r="AC43" i="31"/>
  <c r="AC44" i="31"/>
  <c r="AC45" i="31"/>
  <c r="AC46" i="31"/>
  <c r="AC47" i="31"/>
  <c r="AC48" i="31"/>
  <c r="AC49" i="31"/>
  <c r="AC50" i="31"/>
  <c r="AC51" i="31"/>
  <c r="AC52" i="31"/>
  <c r="AC53" i="31"/>
  <c r="AC42" i="31"/>
  <c r="AC28" i="31"/>
  <c r="AC29" i="31"/>
  <c r="AC30" i="31"/>
  <c r="AC31" i="31"/>
  <c r="AC32" i="31"/>
  <c r="AC33" i="31"/>
  <c r="AC34" i="31"/>
  <c r="AC35" i="31"/>
  <c r="AC36" i="31"/>
  <c r="AC37" i="31"/>
  <c r="AC38" i="31"/>
  <c r="AC39" i="31"/>
  <c r="AC27" i="31"/>
  <c r="AC10" i="31"/>
  <c r="AC11" i="31"/>
  <c r="AC12" i="31"/>
  <c r="AC13" i="31"/>
  <c r="AC14" i="31"/>
  <c r="AC15" i="31"/>
  <c r="AC16" i="31"/>
  <c r="AC17" i="31"/>
  <c r="AC18" i="31"/>
  <c r="AC19" i="31"/>
  <c r="AC20" i="31"/>
  <c r="AC21" i="31"/>
  <c r="AC22" i="31"/>
  <c r="AC23" i="31"/>
  <c r="AC24" i="31"/>
  <c r="AC9" i="31"/>
  <c r="AA57" i="31"/>
  <c r="AA58" i="31"/>
  <c r="AA59" i="31"/>
  <c r="AA60" i="31"/>
  <c r="AA61" i="31"/>
  <c r="AA62" i="31"/>
  <c r="AA63" i="31"/>
  <c r="AA64" i="31"/>
  <c r="AA65" i="31"/>
  <c r="AA56" i="31"/>
  <c r="AA43" i="31"/>
  <c r="AA44" i="31"/>
  <c r="AA45" i="31"/>
  <c r="AA46" i="31"/>
  <c r="AA47" i="31"/>
  <c r="AA48" i="31"/>
  <c r="AA49" i="31"/>
  <c r="AA50" i="31"/>
  <c r="AA51" i="31"/>
  <c r="AA52" i="31"/>
  <c r="AA53" i="31"/>
  <c r="AA42" i="31"/>
  <c r="AA28" i="31"/>
  <c r="AA29" i="31"/>
  <c r="AA30" i="31"/>
  <c r="AA31" i="31"/>
  <c r="AA32" i="31"/>
  <c r="AA33" i="31"/>
  <c r="AA34" i="31"/>
  <c r="AA35" i="31"/>
  <c r="AA36" i="31"/>
  <c r="AA37" i="31"/>
  <c r="AA38" i="31"/>
  <c r="AA39" i="31"/>
  <c r="AA27" i="31"/>
  <c r="AA10" i="31"/>
  <c r="AA11" i="31"/>
  <c r="AA12" i="31"/>
  <c r="AA13" i="31"/>
  <c r="AA14" i="31"/>
  <c r="AA15" i="31"/>
  <c r="AA16" i="31"/>
  <c r="AA17" i="31"/>
  <c r="AA18" i="31"/>
  <c r="AA19" i="31"/>
  <c r="AA20" i="31"/>
  <c r="AA21" i="31"/>
  <c r="AA22" i="31"/>
  <c r="AA23" i="31"/>
  <c r="AA24" i="31"/>
  <c r="AA9" i="31"/>
  <c r="KH53" i="9" l="1"/>
  <c r="KH39" i="9"/>
  <c r="KH24" i="9"/>
  <c r="DH52" i="19"/>
  <c r="DI52" i="19"/>
  <c r="DH38" i="19"/>
  <c r="DI38" i="19"/>
  <c r="DH23" i="19"/>
  <c r="DI23" i="19"/>
  <c r="DH5" i="19"/>
  <c r="DI5" i="19"/>
  <c r="DG5" i="19"/>
  <c r="DG52" i="19"/>
  <c r="DG38" i="19"/>
  <c r="DG23" i="19"/>
  <c r="DF52" i="19"/>
  <c r="DF38" i="19"/>
  <c r="DF23" i="19"/>
  <c r="DF5" i="19"/>
  <c r="DE5" i="19"/>
  <c r="DE23" i="19"/>
  <c r="DE38" i="19"/>
  <c r="DE52" i="19"/>
  <c r="DG4" i="19" l="1"/>
  <c r="DE4" i="19"/>
  <c r="DH4" i="19"/>
  <c r="DI4" i="19"/>
  <c r="DF4" i="19"/>
  <c r="ACG6" i="9"/>
  <c r="ACG24" i="9"/>
  <c r="ACG39" i="9"/>
  <c r="ACG53" i="9"/>
  <c r="ZJ6" i="9"/>
  <c r="ZJ24" i="9"/>
  <c r="ZJ39" i="9"/>
  <c r="ZJ53" i="9"/>
  <c r="TC6" i="9"/>
  <c r="TC53" i="9"/>
  <c r="QF6" i="9"/>
  <c r="QF24" i="9"/>
  <c r="QF39" i="9"/>
  <c r="QF53" i="9"/>
  <c r="NI6" i="9"/>
  <c r="NI24" i="9"/>
  <c r="NI39" i="9"/>
  <c r="NI53" i="9"/>
  <c r="KL6" i="9"/>
  <c r="KL24" i="9"/>
  <c r="KL39" i="9"/>
  <c r="KL53" i="9"/>
  <c r="AJ53" i="9"/>
  <c r="AJ39" i="9"/>
  <c r="AJ24" i="9"/>
  <c r="HE53" i="9"/>
  <c r="HE6" i="9"/>
  <c r="HE39" i="9"/>
  <c r="HE24" i="9"/>
  <c r="HE5" i="9" l="1"/>
  <c r="KL5" i="9"/>
  <c r="NI5" i="9"/>
  <c r="QF5" i="9"/>
  <c r="TC5" i="9"/>
  <c r="ZJ5" i="9"/>
  <c r="ACG5" i="9"/>
  <c r="DF6" i="9"/>
  <c r="DF5" i="9" s="1"/>
  <c r="AJ6" i="9"/>
  <c r="AJ5" i="9" s="1"/>
  <c r="ACF6" i="9"/>
  <c r="ACF24" i="9"/>
  <c r="ACF39" i="9"/>
  <c r="ACF53" i="9"/>
  <c r="ZI6" i="9"/>
  <c r="ZI24" i="9"/>
  <c r="AK25" i="31" s="1"/>
  <c r="ZI39" i="9"/>
  <c r="AK40" i="31" s="1"/>
  <c r="ZI53" i="9"/>
  <c r="AK54" i="31" s="1"/>
  <c r="TB6" i="9"/>
  <c r="TB24" i="9"/>
  <c r="TB39" i="9"/>
  <c r="TB53" i="9"/>
  <c r="QE6" i="9"/>
  <c r="QE24" i="9"/>
  <c r="QE39" i="9"/>
  <c r="QE53" i="9"/>
  <c r="NH6" i="9"/>
  <c r="NH24" i="9"/>
  <c r="NH39" i="9"/>
  <c r="NH53" i="9"/>
  <c r="KK53" i="9"/>
  <c r="KK39" i="9"/>
  <c r="KK24" i="9"/>
  <c r="KK6" i="9"/>
  <c r="HD6" i="9"/>
  <c r="HD24" i="9"/>
  <c r="AE25" i="31" s="1"/>
  <c r="HD39" i="9"/>
  <c r="AE40" i="31" s="1"/>
  <c r="HD53" i="9"/>
  <c r="AE54" i="31" s="1"/>
  <c r="DE6" i="9"/>
  <c r="AI6" i="9"/>
  <c r="AI24" i="9"/>
  <c r="AI39" i="9"/>
  <c r="AI53" i="9"/>
  <c r="AI5" i="9" l="1"/>
  <c r="HD5" i="9"/>
  <c r="AE6" i="31" s="1"/>
  <c r="AE7" i="31"/>
  <c r="NH5" i="9"/>
  <c r="TB5" i="9"/>
  <c r="ZI5" i="9"/>
  <c r="AK6" i="31" s="1"/>
  <c r="AK7" i="31"/>
  <c r="ACF5" i="9"/>
  <c r="QE5" i="9"/>
  <c r="KK5" i="9"/>
  <c r="DE5" i="9"/>
  <c r="ACE6" i="9"/>
  <c r="ACE24" i="9"/>
  <c r="ACE39" i="9"/>
  <c r="ACE53" i="9"/>
  <c r="ZH6" i="9"/>
  <c r="ZH24" i="9"/>
  <c r="AI25" i="31" s="1"/>
  <c r="ZH39" i="9"/>
  <c r="AI40" i="31" s="1"/>
  <c r="ZH53" i="9"/>
  <c r="AI54" i="31" s="1"/>
  <c r="TA6" i="9"/>
  <c r="TA24" i="9"/>
  <c r="TA39" i="9"/>
  <c r="TA53" i="9"/>
  <c r="NG6" i="9"/>
  <c r="NG24" i="9"/>
  <c r="NG39" i="9"/>
  <c r="NG53" i="9"/>
  <c r="QD6" i="9"/>
  <c r="QD24" i="9"/>
  <c r="QD39" i="9"/>
  <c r="QD53" i="9"/>
  <c r="KJ6" i="9"/>
  <c r="KJ24" i="9"/>
  <c r="KJ39" i="9"/>
  <c r="KJ53" i="9"/>
  <c r="HC6" i="9"/>
  <c r="HC24" i="9"/>
  <c r="AC25" i="31" s="1"/>
  <c r="HC39" i="9"/>
  <c r="AC40" i="31" s="1"/>
  <c r="HC53" i="9"/>
  <c r="AC54" i="31" s="1"/>
  <c r="DD6" i="9"/>
  <c r="AH6" i="9"/>
  <c r="AH24" i="9"/>
  <c r="AH39" i="9"/>
  <c r="AH53" i="9"/>
  <c r="AH5" i="9" l="1"/>
  <c r="HC5" i="9"/>
  <c r="AC6" i="31" s="1"/>
  <c r="AC7" i="31"/>
  <c r="ACE5" i="9"/>
  <c r="DD5" i="9"/>
  <c r="QD5" i="9"/>
  <c r="TA5" i="9"/>
  <c r="ZH5" i="9"/>
  <c r="AI6" i="31" s="1"/>
  <c r="AI7" i="31"/>
  <c r="KJ5" i="9"/>
  <c r="NG5" i="9"/>
  <c r="KI6" i="9"/>
  <c r="KI24" i="9"/>
  <c r="KI39" i="9"/>
  <c r="KI53" i="9"/>
  <c r="KI5" i="9" l="1"/>
  <c r="M27" i="10"/>
  <c r="M42" i="10"/>
  <c r="SZ6" i="9"/>
  <c r="SZ24" i="9"/>
  <c r="SZ39" i="9"/>
  <c r="SZ53" i="9"/>
  <c r="ACD6" i="9"/>
  <c r="ACC24" i="9"/>
  <c r="ACD24" i="9"/>
  <c r="ACD39" i="9"/>
  <c r="ACD53" i="9"/>
  <c r="ZG6" i="9"/>
  <c r="ZG24" i="9"/>
  <c r="AG25" i="31" s="1"/>
  <c r="ZG39" i="9"/>
  <c r="AG40" i="31" s="1"/>
  <c r="ZG53" i="9"/>
  <c r="AG54" i="31" s="1"/>
  <c r="QC6" i="9"/>
  <c r="QC24" i="9"/>
  <c r="QC39" i="9"/>
  <c r="QC53" i="9"/>
  <c r="NF6" i="9"/>
  <c r="NF24" i="9"/>
  <c r="NF39" i="9"/>
  <c r="NF53" i="9"/>
  <c r="HA53" i="9"/>
  <c r="HB53" i="9"/>
  <c r="AA54" i="31" s="1"/>
  <c r="HA39" i="9"/>
  <c r="HB39" i="9"/>
  <c r="AA40" i="31" s="1"/>
  <c r="HB24" i="9"/>
  <c r="AA25" i="31" s="1"/>
  <c r="HB6" i="9"/>
  <c r="AA7" i="31" s="1"/>
  <c r="DC6" i="9"/>
  <c r="AG6" i="9"/>
  <c r="AG53" i="9"/>
  <c r="AG39" i="9"/>
  <c r="AG24" i="9"/>
  <c r="NF5" i="9" l="1"/>
  <c r="ZG5" i="9"/>
  <c r="AG6" i="31" s="1"/>
  <c r="AG7" i="31"/>
  <c r="AG5" i="9"/>
  <c r="DC5" i="9"/>
  <c r="ACD5" i="9"/>
  <c r="SZ5" i="9"/>
  <c r="QC5" i="9"/>
  <c r="HB5" i="9"/>
  <c r="AA6" i="31" s="1"/>
  <c r="ACC6" i="9"/>
  <c r="ACC39" i="9"/>
  <c r="ACC53" i="9"/>
  <c r="ZF53" i="9"/>
  <c r="ZF39" i="9"/>
  <c r="ZF24" i="9"/>
  <c r="ZF6" i="9"/>
  <c r="SY53" i="9"/>
  <c r="SY39" i="9"/>
  <c r="SY24" i="9"/>
  <c r="SY6" i="9"/>
  <c r="QB53" i="9"/>
  <c r="QB39" i="9"/>
  <c r="QB24" i="9"/>
  <c r="NE53" i="9"/>
  <c r="NE39" i="9"/>
  <c r="NE24" i="9"/>
  <c r="NE6" i="9"/>
  <c r="KH6" i="9"/>
  <c r="HA24" i="9"/>
  <c r="HA6" i="9"/>
  <c r="DB6" i="9"/>
  <c r="AF53" i="9"/>
  <c r="AF39" i="9"/>
  <c r="AF24" i="9"/>
  <c r="AF6" i="9"/>
  <c r="ACC5" i="9" l="1"/>
  <c r="HA5" i="9"/>
  <c r="ZF5" i="9"/>
  <c r="SY5" i="9"/>
  <c r="QB5" i="9"/>
  <c r="NE5" i="9"/>
  <c r="KH5" i="9"/>
  <c r="DB5" i="9"/>
  <c r="AF5" i="9"/>
  <c r="Y10" i="31"/>
  <c r="Y11" i="31"/>
  <c r="Y12" i="31"/>
  <c r="Y13" i="31"/>
  <c r="Y14" i="31"/>
  <c r="Y15" i="31"/>
  <c r="Y16" i="31"/>
  <c r="Y17" i="31"/>
  <c r="Y18" i="31"/>
  <c r="Y19" i="31"/>
  <c r="Y20" i="31"/>
  <c r="Y21" i="31"/>
  <c r="Y22" i="31"/>
  <c r="Y23" i="31"/>
  <c r="Y24" i="31"/>
  <c r="Y27" i="31"/>
  <c r="Y28" i="31"/>
  <c r="Y29" i="31"/>
  <c r="Y30" i="31"/>
  <c r="Y31" i="31"/>
  <c r="Y32" i="31"/>
  <c r="Y33" i="31"/>
  <c r="Y34" i="31"/>
  <c r="Y35" i="31"/>
  <c r="Y36" i="31"/>
  <c r="Y37" i="31"/>
  <c r="Y38" i="31"/>
  <c r="Y39" i="31"/>
  <c r="Y42" i="31"/>
  <c r="Y43" i="31"/>
  <c r="Y44" i="31"/>
  <c r="Y45" i="31"/>
  <c r="Y46" i="31"/>
  <c r="Y47" i="31"/>
  <c r="Y48" i="31"/>
  <c r="Y49" i="31"/>
  <c r="Y50" i="31"/>
  <c r="Y51" i="31"/>
  <c r="Y52" i="31"/>
  <c r="Y53" i="31"/>
  <c r="Y56" i="31"/>
  <c r="Y57" i="31"/>
  <c r="Y58" i="31"/>
  <c r="Y59" i="31"/>
  <c r="Y60" i="31"/>
  <c r="Y61" i="31"/>
  <c r="Y62" i="31"/>
  <c r="Y63" i="31"/>
  <c r="Y64" i="31"/>
  <c r="Y65" i="31"/>
  <c r="Y9" i="31"/>
  <c r="W10" i="31"/>
  <c r="W11" i="31"/>
  <c r="W12" i="31"/>
  <c r="W13" i="31"/>
  <c r="W14" i="31"/>
  <c r="W15" i="31"/>
  <c r="W16" i="31"/>
  <c r="W17" i="31"/>
  <c r="W18" i="31"/>
  <c r="W19" i="31"/>
  <c r="W20" i="31"/>
  <c r="W21" i="31"/>
  <c r="W22" i="31"/>
  <c r="W23" i="31"/>
  <c r="W24" i="31"/>
  <c r="W27" i="31"/>
  <c r="W28" i="31"/>
  <c r="W29" i="31"/>
  <c r="W30" i="31"/>
  <c r="W31" i="31"/>
  <c r="W32" i="31"/>
  <c r="W33" i="31"/>
  <c r="W34" i="31"/>
  <c r="W35" i="31"/>
  <c r="W36" i="31"/>
  <c r="W37" i="31"/>
  <c r="W38" i="31"/>
  <c r="W39" i="31"/>
  <c r="W42" i="31"/>
  <c r="W43" i="31"/>
  <c r="W44" i="31"/>
  <c r="W45" i="31"/>
  <c r="W46" i="31"/>
  <c r="W47" i="31"/>
  <c r="W48" i="31"/>
  <c r="W49" i="31"/>
  <c r="W50" i="31"/>
  <c r="W51" i="31"/>
  <c r="W52" i="31"/>
  <c r="W53" i="31"/>
  <c r="W56" i="31"/>
  <c r="W57" i="31"/>
  <c r="W58" i="31"/>
  <c r="W59" i="31"/>
  <c r="W60" i="31"/>
  <c r="W61" i="31"/>
  <c r="W62" i="31"/>
  <c r="W63" i="31"/>
  <c r="W64" i="31"/>
  <c r="W65" i="31"/>
  <c r="W9" i="31"/>
  <c r="U10" i="31"/>
  <c r="U11" i="31"/>
  <c r="U12" i="31"/>
  <c r="U13" i="31"/>
  <c r="U14" i="31"/>
  <c r="U15" i="31"/>
  <c r="U16" i="31"/>
  <c r="U17" i="31"/>
  <c r="U18" i="31"/>
  <c r="U19" i="31"/>
  <c r="U20" i="31"/>
  <c r="U21" i="31"/>
  <c r="U22" i="31"/>
  <c r="U23" i="31"/>
  <c r="U24" i="31"/>
  <c r="U27" i="31"/>
  <c r="U28" i="31"/>
  <c r="U29" i="31"/>
  <c r="U30" i="31"/>
  <c r="U31" i="31"/>
  <c r="U32" i="31"/>
  <c r="U33" i="31"/>
  <c r="U34" i="31"/>
  <c r="U35" i="31"/>
  <c r="U36" i="31"/>
  <c r="U37" i="31"/>
  <c r="U38" i="31"/>
  <c r="U39" i="31"/>
  <c r="U42" i="31"/>
  <c r="U43" i="31"/>
  <c r="U44" i="31"/>
  <c r="U45" i="31"/>
  <c r="U46" i="31"/>
  <c r="U47" i="31"/>
  <c r="U48" i="31"/>
  <c r="U49" i="31"/>
  <c r="U50" i="31"/>
  <c r="U51" i="31"/>
  <c r="U52" i="31"/>
  <c r="U53" i="31"/>
  <c r="U56" i="31"/>
  <c r="U57" i="31"/>
  <c r="U58" i="31"/>
  <c r="U59" i="31"/>
  <c r="U60" i="31"/>
  <c r="U61" i="31"/>
  <c r="U62" i="31"/>
  <c r="U63" i="31"/>
  <c r="U64" i="31"/>
  <c r="U65" i="31"/>
  <c r="U9" i="31"/>
  <c r="GV6" i="9"/>
  <c r="GV24" i="9"/>
  <c r="GV39" i="9"/>
  <c r="GV53" i="9"/>
  <c r="GZ6" i="9"/>
  <c r="GZ24" i="9"/>
  <c r="GZ39" i="9"/>
  <c r="GZ53" i="9"/>
  <c r="GY6" i="9"/>
  <c r="GY24" i="9"/>
  <c r="GY39" i="9"/>
  <c r="GY53" i="9"/>
  <c r="GX6" i="9"/>
  <c r="GX24" i="9"/>
  <c r="GX39" i="9"/>
  <c r="GX53" i="9"/>
  <c r="GW6" i="9"/>
  <c r="GX5" i="9" l="1"/>
  <c r="GZ5" i="9"/>
  <c r="GW5" i="9"/>
  <c r="GV5" i="9"/>
  <c r="GY5" i="9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6" i="31"/>
  <c r="C57" i="31"/>
  <c r="C58" i="31"/>
  <c r="C59" i="31"/>
  <c r="C60" i="31"/>
  <c r="C61" i="31"/>
  <c r="C62" i="31"/>
  <c r="C63" i="31"/>
  <c r="C64" i="31"/>
  <c r="C65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6" i="31"/>
  <c r="E57" i="31"/>
  <c r="E58" i="31"/>
  <c r="E59" i="31"/>
  <c r="E60" i="31"/>
  <c r="E61" i="31"/>
  <c r="E62" i="31"/>
  <c r="E63" i="31"/>
  <c r="E64" i="31"/>
  <c r="E65" i="31"/>
  <c r="MZ6" i="9"/>
  <c r="NA6" i="9"/>
  <c r="NB6" i="9"/>
  <c r="NC6" i="9"/>
  <c r="ND6" i="9"/>
  <c r="MZ24" i="9"/>
  <c r="NB24" i="9"/>
  <c r="NC24" i="9"/>
  <c r="ND24" i="9"/>
  <c r="MZ39" i="9"/>
  <c r="NB39" i="9"/>
  <c r="NC39" i="9"/>
  <c r="ND39" i="9"/>
  <c r="MZ53" i="9"/>
  <c r="NB53" i="9"/>
  <c r="NC53" i="9"/>
  <c r="ND53" i="9"/>
  <c r="PX6" i="9"/>
  <c r="PY6" i="9"/>
  <c r="PZ6" i="9"/>
  <c r="QA6" i="9"/>
  <c r="PY24" i="9"/>
  <c r="PZ24" i="9"/>
  <c r="QA24" i="9"/>
  <c r="PY39" i="9"/>
  <c r="PZ39" i="9"/>
  <c r="QA39" i="9"/>
  <c r="PY53" i="9"/>
  <c r="PZ53" i="9"/>
  <c r="QA53" i="9"/>
  <c r="PW6" i="9"/>
  <c r="PW24" i="9"/>
  <c r="PW39" i="9"/>
  <c r="PW53" i="9"/>
  <c r="KG6" i="9"/>
  <c r="KG53" i="9"/>
  <c r="KG39" i="9"/>
  <c r="KG24" i="9"/>
  <c r="KF6" i="9"/>
  <c r="KF24" i="9"/>
  <c r="KF39" i="9"/>
  <c r="KF53" i="9"/>
  <c r="KE6" i="9"/>
  <c r="KE24" i="9"/>
  <c r="KE39" i="9"/>
  <c r="KE53" i="9"/>
  <c r="KD6" i="9"/>
  <c r="KC6" i="9"/>
  <c r="KC24" i="9"/>
  <c r="KC39" i="9"/>
  <c r="KC53" i="9"/>
  <c r="MZ5" i="9" l="1"/>
  <c r="ND5" i="9"/>
  <c r="NC5" i="9"/>
  <c r="NB5" i="9"/>
  <c r="NA5" i="9"/>
  <c r="QA5" i="9"/>
  <c r="PZ5" i="9"/>
  <c r="PY5" i="9"/>
  <c r="PW5" i="9"/>
  <c r="PX5" i="9"/>
  <c r="KD5" i="9"/>
  <c r="KC5" i="9"/>
  <c r="KE5" i="9"/>
  <c r="KG5" i="9"/>
  <c r="KF5" i="9"/>
  <c r="S10" i="31" l="1"/>
  <c r="S11" i="31"/>
  <c r="S12" i="31"/>
  <c r="S13" i="31"/>
  <c r="S14" i="31"/>
  <c r="S15" i="31"/>
  <c r="S16" i="31"/>
  <c r="S17" i="31"/>
  <c r="S18" i="31"/>
  <c r="S19" i="31"/>
  <c r="S20" i="31"/>
  <c r="S21" i="31"/>
  <c r="S22" i="31"/>
  <c r="S23" i="31"/>
  <c r="S24" i="31"/>
  <c r="S27" i="31"/>
  <c r="S28" i="31"/>
  <c r="S29" i="31"/>
  <c r="S30" i="31"/>
  <c r="S31" i="31"/>
  <c r="S32" i="31"/>
  <c r="S33" i="31"/>
  <c r="S34" i="31"/>
  <c r="S35" i="31"/>
  <c r="S36" i="31"/>
  <c r="S37" i="31"/>
  <c r="S38" i="31"/>
  <c r="S39" i="31"/>
  <c r="S42" i="31"/>
  <c r="S43" i="31"/>
  <c r="S44" i="31"/>
  <c r="S45" i="31"/>
  <c r="S46" i="31"/>
  <c r="S47" i="31"/>
  <c r="S48" i="31"/>
  <c r="S49" i="31"/>
  <c r="S50" i="31"/>
  <c r="S51" i="31"/>
  <c r="S52" i="31"/>
  <c r="S53" i="31"/>
  <c r="S56" i="31"/>
  <c r="S57" i="31"/>
  <c r="S58" i="31"/>
  <c r="S59" i="31"/>
  <c r="S60" i="31"/>
  <c r="S61" i="31"/>
  <c r="S62" i="31"/>
  <c r="S63" i="31"/>
  <c r="S64" i="31"/>
  <c r="S65" i="31"/>
  <c r="S9" i="31"/>
  <c r="Q10" i="31"/>
  <c r="Q11" i="31"/>
  <c r="Q12" i="31"/>
  <c r="Q13" i="31"/>
  <c r="Q14" i="31"/>
  <c r="Q15" i="31"/>
  <c r="Q16" i="31"/>
  <c r="Q17" i="31"/>
  <c r="Q18" i="31"/>
  <c r="Q19" i="31"/>
  <c r="Q20" i="31"/>
  <c r="Q21" i="31"/>
  <c r="Q22" i="31"/>
  <c r="Q23" i="31"/>
  <c r="Q24" i="31"/>
  <c r="Q27" i="31"/>
  <c r="Q28" i="31"/>
  <c r="Q29" i="31"/>
  <c r="Q30" i="31"/>
  <c r="Q31" i="31"/>
  <c r="Q32" i="31"/>
  <c r="Q33" i="31"/>
  <c r="Q34" i="31"/>
  <c r="Q35" i="31"/>
  <c r="Q36" i="31"/>
  <c r="Q37" i="31"/>
  <c r="Q38" i="31"/>
  <c r="Q39" i="31"/>
  <c r="Q42" i="31"/>
  <c r="Q43" i="31"/>
  <c r="Q44" i="31"/>
  <c r="Q45" i="31"/>
  <c r="Q46" i="31"/>
  <c r="Q47" i="31"/>
  <c r="Q48" i="31"/>
  <c r="Q49" i="31"/>
  <c r="Q50" i="31"/>
  <c r="Q51" i="31"/>
  <c r="Q52" i="31"/>
  <c r="Q53" i="31"/>
  <c r="Q56" i="31"/>
  <c r="Q57" i="31"/>
  <c r="Q58" i="31"/>
  <c r="Q59" i="31"/>
  <c r="Q60" i="31"/>
  <c r="Q61" i="31"/>
  <c r="Q62" i="31"/>
  <c r="Q63" i="31"/>
  <c r="Q64" i="31"/>
  <c r="Q65" i="31"/>
  <c r="Q9" i="31"/>
  <c r="O10" i="31"/>
  <c r="O11" i="31"/>
  <c r="O12" i="31"/>
  <c r="O13" i="31"/>
  <c r="O14" i="31"/>
  <c r="O15" i="31"/>
  <c r="O16" i="31"/>
  <c r="O17" i="31"/>
  <c r="O18" i="31"/>
  <c r="O19" i="31"/>
  <c r="O20" i="31"/>
  <c r="O21" i="31"/>
  <c r="O22" i="31"/>
  <c r="O23" i="31"/>
  <c r="O24" i="31"/>
  <c r="O27" i="31"/>
  <c r="O28" i="31"/>
  <c r="O29" i="31"/>
  <c r="O30" i="31"/>
  <c r="O31" i="31"/>
  <c r="O32" i="31"/>
  <c r="O33" i="31"/>
  <c r="O34" i="31"/>
  <c r="O35" i="31"/>
  <c r="O36" i="31"/>
  <c r="O37" i="31"/>
  <c r="O38" i="31"/>
  <c r="O39" i="31"/>
  <c r="O42" i="31"/>
  <c r="O43" i="31"/>
  <c r="O44" i="31"/>
  <c r="O45" i="31"/>
  <c r="O46" i="31"/>
  <c r="O47" i="31"/>
  <c r="O48" i="31"/>
  <c r="O49" i="31"/>
  <c r="O50" i="31"/>
  <c r="O51" i="31"/>
  <c r="O52" i="31"/>
  <c r="O53" i="31"/>
  <c r="O56" i="31"/>
  <c r="O57" i="31"/>
  <c r="O58" i="31"/>
  <c r="O59" i="31"/>
  <c r="O60" i="31"/>
  <c r="O61" i="31"/>
  <c r="O62" i="31"/>
  <c r="O63" i="31"/>
  <c r="O64" i="31"/>
  <c r="O65" i="31"/>
  <c r="O9" i="31"/>
  <c r="R10" i="31"/>
  <c r="R11" i="31"/>
  <c r="R12" i="31"/>
  <c r="R13" i="31"/>
  <c r="R14" i="31"/>
  <c r="R15" i="31"/>
  <c r="R16" i="31"/>
  <c r="R17" i="31"/>
  <c r="R18" i="31"/>
  <c r="R19" i="31"/>
  <c r="R20" i="31"/>
  <c r="R21" i="31"/>
  <c r="R22" i="31"/>
  <c r="R23" i="31"/>
  <c r="R24" i="31"/>
  <c r="R27" i="31"/>
  <c r="R28" i="31"/>
  <c r="R29" i="31"/>
  <c r="R30" i="31"/>
  <c r="R31" i="31"/>
  <c r="R32" i="31"/>
  <c r="R33" i="31"/>
  <c r="R34" i="31"/>
  <c r="R35" i="31"/>
  <c r="R36" i="31"/>
  <c r="R37" i="31"/>
  <c r="R38" i="31"/>
  <c r="R39" i="31"/>
  <c r="R42" i="31"/>
  <c r="R43" i="31"/>
  <c r="R44" i="31"/>
  <c r="R45" i="31"/>
  <c r="R46" i="31"/>
  <c r="R47" i="31"/>
  <c r="R48" i="31"/>
  <c r="R49" i="31"/>
  <c r="R50" i="31"/>
  <c r="R51" i="31"/>
  <c r="R52" i="31"/>
  <c r="R53" i="31"/>
  <c r="R56" i="31"/>
  <c r="R57" i="31"/>
  <c r="R58" i="31"/>
  <c r="R59" i="31"/>
  <c r="R60" i="31"/>
  <c r="R61" i="31"/>
  <c r="R62" i="31"/>
  <c r="R63" i="31"/>
  <c r="R64" i="31"/>
  <c r="R65" i="31"/>
  <c r="R9" i="31"/>
  <c r="P65" i="31"/>
  <c r="P64" i="31"/>
  <c r="P63" i="31"/>
  <c r="P62" i="31"/>
  <c r="P61" i="31"/>
  <c r="P60" i="31"/>
  <c r="P59" i="31"/>
  <c r="P58" i="31"/>
  <c r="P57" i="31"/>
  <c r="P56" i="31"/>
  <c r="P53" i="31"/>
  <c r="P52" i="31"/>
  <c r="P51" i="31"/>
  <c r="P50" i="31"/>
  <c r="P49" i="31"/>
  <c r="P48" i="31"/>
  <c r="P47" i="31"/>
  <c r="P46" i="31"/>
  <c r="P45" i="31"/>
  <c r="P44" i="31"/>
  <c r="P43" i="31"/>
  <c r="P42" i="31"/>
  <c r="P39" i="31"/>
  <c r="P38" i="31"/>
  <c r="P37" i="31"/>
  <c r="P36" i="31"/>
  <c r="P35" i="31"/>
  <c r="P34" i="31"/>
  <c r="P33" i="31"/>
  <c r="P32" i="31"/>
  <c r="P31" i="31"/>
  <c r="P30" i="31"/>
  <c r="P29" i="31"/>
  <c r="P28" i="31"/>
  <c r="P27" i="31"/>
  <c r="P24" i="31"/>
  <c r="P23" i="31"/>
  <c r="P22" i="31"/>
  <c r="P21" i="31"/>
  <c r="P20" i="31"/>
  <c r="P19" i="31"/>
  <c r="P18" i="31"/>
  <c r="P17" i="31"/>
  <c r="P16" i="31"/>
  <c r="P15" i="31"/>
  <c r="P14" i="31"/>
  <c r="P13" i="31"/>
  <c r="P12" i="31"/>
  <c r="P11" i="31"/>
  <c r="P10" i="31"/>
  <c r="P9" i="31"/>
  <c r="N65" i="31"/>
  <c r="N64" i="31"/>
  <c r="N63" i="31"/>
  <c r="N62" i="31"/>
  <c r="N61" i="31"/>
  <c r="N60" i="31"/>
  <c r="N59" i="31"/>
  <c r="N58" i="31"/>
  <c r="N57" i="31"/>
  <c r="N56" i="31"/>
  <c r="N53" i="31"/>
  <c r="N52" i="31"/>
  <c r="N51" i="31"/>
  <c r="N50" i="31"/>
  <c r="N49" i="31"/>
  <c r="N48" i="31"/>
  <c r="N47" i="31"/>
  <c r="N46" i="31"/>
  <c r="N45" i="31"/>
  <c r="N44" i="31"/>
  <c r="N43" i="31"/>
  <c r="N42" i="31"/>
  <c r="N39" i="31"/>
  <c r="N38" i="31"/>
  <c r="N37" i="31"/>
  <c r="N36" i="31"/>
  <c r="N35" i="31"/>
  <c r="N34" i="31"/>
  <c r="N33" i="31"/>
  <c r="N32" i="31"/>
  <c r="N31" i="31"/>
  <c r="N30" i="31"/>
  <c r="N29" i="31"/>
  <c r="N28" i="31"/>
  <c r="N27" i="31"/>
  <c r="N24" i="31"/>
  <c r="N23" i="31"/>
  <c r="N22" i="31"/>
  <c r="N21" i="31"/>
  <c r="N20" i="31"/>
  <c r="N19" i="31"/>
  <c r="N18" i="31"/>
  <c r="N17" i="31"/>
  <c r="N16" i="31"/>
  <c r="N15" i="31"/>
  <c r="N14" i="31"/>
  <c r="N13" i="31"/>
  <c r="N12" i="31"/>
  <c r="N11" i="31"/>
  <c r="N10" i="31"/>
  <c r="N9" i="31"/>
  <c r="CZ5" i="19" l="1"/>
  <c r="DA5" i="19"/>
  <c r="BJ7" i="31" s="1"/>
  <c r="DB5" i="19"/>
  <c r="BL7" i="31" s="1"/>
  <c r="DC5" i="19"/>
  <c r="DD5" i="19"/>
  <c r="BN7" i="31" s="1"/>
  <c r="CZ52" i="19"/>
  <c r="DB52" i="19"/>
  <c r="BL54" i="31" s="1"/>
  <c r="DC52" i="19"/>
  <c r="DD52" i="19"/>
  <c r="BN54" i="31" s="1"/>
  <c r="CZ38" i="19"/>
  <c r="DB38" i="19"/>
  <c r="BL40" i="31" s="1"/>
  <c r="DC38" i="19"/>
  <c r="DD38" i="19"/>
  <c r="BN40" i="31" s="1"/>
  <c r="CZ23" i="19"/>
  <c r="DB23" i="19"/>
  <c r="BL25" i="31" s="1"/>
  <c r="DC23" i="19"/>
  <c r="DD23" i="19"/>
  <c r="BN25" i="31" s="1"/>
  <c r="DC4" i="19" l="1"/>
  <c r="CZ4" i="19"/>
  <c r="DD4" i="19"/>
  <c r="BN6" i="31" s="1"/>
  <c r="DB4" i="19"/>
  <c r="BL6" i="31" s="1"/>
  <c r="DA4" i="19"/>
  <c r="BJ6" i="31" s="1"/>
  <c r="ACB6" i="9"/>
  <c r="ACB24" i="9"/>
  <c r="ACB39" i="9"/>
  <c r="ACB53" i="9"/>
  <c r="ABZ6" i="9"/>
  <c r="ACA6" i="9"/>
  <c r="ABZ24" i="9"/>
  <c r="ACA24" i="9"/>
  <c r="ABZ39" i="9"/>
  <c r="ACA39" i="9"/>
  <c r="ABZ53" i="9"/>
  <c r="ACA53" i="9"/>
  <c r="ABY6" i="9"/>
  <c r="ABX6" i="9"/>
  <c r="ABX53" i="9"/>
  <c r="ABX39" i="9"/>
  <c r="ABX24" i="9"/>
  <c r="ABX5" i="9" l="1"/>
  <c r="ACB5" i="9"/>
  <c r="ABZ5" i="9"/>
  <c r="ABY5" i="9"/>
  <c r="ACA5" i="9"/>
  <c r="ZA6" i="9" l="1"/>
  <c r="ZB6" i="9"/>
  <c r="ZC6" i="9"/>
  <c r="ZD6" i="9"/>
  <c r="ZE6" i="9"/>
  <c r="ZA53" i="9"/>
  <c r="U54" i="31"/>
  <c r="ZC53" i="9"/>
  <c r="ZD53" i="9"/>
  <c r="ZE53" i="9"/>
  <c r="ZA39" i="9"/>
  <c r="U40" i="31"/>
  <c r="ZC39" i="9"/>
  <c r="ZD39" i="9"/>
  <c r="ZE39" i="9"/>
  <c r="ZE24" i="9"/>
  <c r="ZA24" i="9"/>
  <c r="U25" i="31"/>
  <c r="ZC24" i="9"/>
  <c r="ZD24" i="9"/>
  <c r="O7" i="31"/>
  <c r="Q7" i="31"/>
  <c r="S7" i="31"/>
  <c r="O54" i="31"/>
  <c r="Q54" i="31"/>
  <c r="S54" i="31"/>
  <c r="O40" i="31"/>
  <c r="Q40" i="31"/>
  <c r="S40" i="31"/>
  <c r="O25" i="31"/>
  <c r="Q25" i="31"/>
  <c r="S25" i="31"/>
  <c r="DA6" i="9"/>
  <c r="CZ6" i="9"/>
  <c r="GU8" i="9"/>
  <c r="IY8" i="9"/>
  <c r="IZ8" i="9"/>
  <c r="JA8" i="9"/>
  <c r="JB8" i="9"/>
  <c r="BW9" i="31" s="1"/>
  <c r="JC8" i="9"/>
  <c r="BY9" i="31" s="1"/>
  <c r="GU9" i="9"/>
  <c r="IY9" i="9"/>
  <c r="IZ9" i="9"/>
  <c r="JA9" i="9"/>
  <c r="JB9" i="9"/>
  <c r="BW10" i="31" s="1"/>
  <c r="JC9" i="9"/>
  <c r="BY10" i="31" s="1"/>
  <c r="GU10" i="9"/>
  <c r="GU11" i="9"/>
  <c r="IY11" i="9"/>
  <c r="IZ11" i="9"/>
  <c r="JA11" i="9"/>
  <c r="JB11" i="9"/>
  <c r="BW12" i="31" s="1"/>
  <c r="JC11" i="9"/>
  <c r="BY12" i="31" s="1"/>
  <c r="GU12" i="9"/>
  <c r="IY12" i="9"/>
  <c r="IZ12" i="9"/>
  <c r="JA12" i="9"/>
  <c r="JB12" i="9"/>
  <c r="BW13" i="31" s="1"/>
  <c r="JC12" i="9"/>
  <c r="BY13" i="31" s="1"/>
  <c r="GU13" i="9"/>
  <c r="IY13" i="9"/>
  <c r="IZ13" i="9"/>
  <c r="JA13" i="9"/>
  <c r="JB13" i="9"/>
  <c r="BW14" i="31" s="1"/>
  <c r="JC13" i="9"/>
  <c r="BY14" i="31" s="1"/>
  <c r="GU14" i="9"/>
  <c r="IY14" i="9"/>
  <c r="IZ14" i="9"/>
  <c r="JA14" i="9"/>
  <c r="JB14" i="9"/>
  <c r="BW15" i="31" s="1"/>
  <c r="JC14" i="9"/>
  <c r="BY15" i="31" s="1"/>
  <c r="GU15" i="9"/>
  <c r="IY15" i="9"/>
  <c r="IZ15" i="9"/>
  <c r="JA15" i="9"/>
  <c r="JB15" i="9"/>
  <c r="BW16" i="31" s="1"/>
  <c r="JC15" i="9"/>
  <c r="BY16" i="31" s="1"/>
  <c r="GU16" i="9"/>
  <c r="IY16" i="9"/>
  <c r="IZ16" i="9"/>
  <c r="JA16" i="9"/>
  <c r="JB16" i="9"/>
  <c r="BW17" i="31" s="1"/>
  <c r="JC16" i="9"/>
  <c r="BY17" i="31" s="1"/>
  <c r="GU17" i="9"/>
  <c r="IY17" i="9"/>
  <c r="IZ17" i="9"/>
  <c r="JA17" i="9"/>
  <c r="JB17" i="9"/>
  <c r="BW18" i="31" s="1"/>
  <c r="JC17" i="9"/>
  <c r="BY18" i="31" s="1"/>
  <c r="GU18" i="9"/>
  <c r="IY18" i="9"/>
  <c r="IZ18" i="9"/>
  <c r="JA18" i="9"/>
  <c r="JB18" i="9"/>
  <c r="BW19" i="31" s="1"/>
  <c r="JC18" i="9"/>
  <c r="BY19" i="31" s="1"/>
  <c r="GU19" i="9"/>
  <c r="IY19" i="9"/>
  <c r="IZ19" i="9"/>
  <c r="JA19" i="9"/>
  <c r="JB19" i="9"/>
  <c r="BW20" i="31" s="1"/>
  <c r="JC19" i="9"/>
  <c r="BY20" i="31" s="1"/>
  <c r="GU20" i="9"/>
  <c r="IY20" i="9"/>
  <c r="IZ20" i="9"/>
  <c r="JA20" i="9"/>
  <c r="JB20" i="9"/>
  <c r="BW21" i="31" s="1"/>
  <c r="JC20" i="9"/>
  <c r="BY21" i="31" s="1"/>
  <c r="GU21" i="9"/>
  <c r="IY21" i="9"/>
  <c r="IZ21" i="9"/>
  <c r="JA21" i="9"/>
  <c r="JB21" i="9"/>
  <c r="BW22" i="31" s="1"/>
  <c r="JC21" i="9"/>
  <c r="BY22" i="31" s="1"/>
  <c r="GU22" i="9"/>
  <c r="IY22" i="9"/>
  <c r="IZ22" i="9"/>
  <c r="JA22" i="9"/>
  <c r="JB22" i="9"/>
  <c r="BW23" i="31" s="1"/>
  <c r="JC22" i="9"/>
  <c r="BY23" i="31" s="1"/>
  <c r="GU23" i="9"/>
  <c r="IY23" i="9"/>
  <c r="IZ23" i="9"/>
  <c r="JA23" i="9"/>
  <c r="JB23" i="9"/>
  <c r="BW24" i="31" s="1"/>
  <c r="JC23" i="9"/>
  <c r="BY24" i="31" s="1"/>
  <c r="GA24" i="9"/>
  <c r="GB24" i="9"/>
  <c r="GC24" i="9"/>
  <c r="GD24" i="9"/>
  <c r="GE24" i="9"/>
  <c r="GF24" i="9"/>
  <c r="GG24" i="9"/>
  <c r="GH24" i="9"/>
  <c r="GI24" i="9"/>
  <c r="GJ24" i="9"/>
  <c r="GK24" i="9"/>
  <c r="GL24" i="9"/>
  <c r="GM24" i="9"/>
  <c r="GN24" i="9"/>
  <c r="GO24" i="9"/>
  <c r="GP24" i="9"/>
  <c r="GQ24" i="9"/>
  <c r="GR24" i="9"/>
  <c r="GS24" i="9"/>
  <c r="GT24" i="9"/>
  <c r="JD24" i="9"/>
  <c r="CA25" i="31" s="1"/>
  <c r="GU26" i="9"/>
  <c r="GU27" i="9"/>
  <c r="GU28" i="9"/>
  <c r="GU29" i="9"/>
  <c r="GU30" i="9"/>
  <c r="GU31" i="9"/>
  <c r="GU32" i="9"/>
  <c r="GU33" i="9"/>
  <c r="GU34" i="9"/>
  <c r="GU35" i="9"/>
  <c r="GU36" i="9"/>
  <c r="GU37" i="9"/>
  <c r="GU38" i="9"/>
  <c r="GA39" i="9"/>
  <c r="GB39" i="9"/>
  <c r="GC39" i="9"/>
  <c r="GD39" i="9"/>
  <c r="GE39" i="9"/>
  <c r="GF39" i="9"/>
  <c r="GG39" i="9"/>
  <c r="GH39" i="9"/>
  <c r="GI39" i="9"/>
  <c r="GJ39" i="9"/>
  <c r="GK39" i="9"/>
  <c r="GL39" i="9"/>
  <c r="GM39" i="9"/>
  <c r="GN39" i="9"/>
  <c r="GO39" i="9"/>
  <c r="GP39" i="9"/>
  <c r="GQ39" i="9"/>
  <c r="GR39" i="9"/>
  <c r="GS39" i="9"/>
  <c r="GT39" i="9"/>
  <c r="JD39" i="9"/>
  <c r="CA40" i="31" s="1"/>
  <c r="GU41" i="9"/>
  <c r="GU42" i="9"/>
  <c r="GU43" i="9"/>
  <c r="GU44" i="9"/>
  <c r="GU45" i="9"/>
  <c r="GU46" i="9"/>
  <c r="GU47" i="9"/>
  <c r="GU48" i="9"/>
  <c r="GU49" i="9"/>
  <c r="GU50" i="9"/>
  <c r="GU51" i="9"/>
  <c r="GU52" i="9"/>
  <c r="GA53" i="9"/>
  <c r="GB53" i="9"/>
  <c r="GC53" i="9"/>
  <c r="GD53" i="9"/>
  <c r="GE53" i="9"/>
  <c r="GF53" i="9"/>
  <c r="GG53" i="9"/>
  <c r="GH53" i="9"/>
  <c r="GI53" i="9"/>
  <c r="GJ53" i="9"/>
  <c r="GK53" i="9"/>
  <c r="GL53" i="9"/>
  <c r="GM53" i="9"/>
  <c r="GN53" i="9"/>
  <c r="GO53" i="9"/>
  <c r="GP53" i="9"/>
  <c r="GQ53" i="9"/>
  <c r="GR53" i="9"/>
  <c r="GS53" i="9"/>
  <c r="GT53" i="9"/>
  <c r="JD53" i="9"/>
  <c r="CA54" i="31" s="1"/>
  <c r="GU55" i="9"/>
  <c r="GU56" i="9"/>
  <c r="GU57" i="9"/>
  <c r="GU58" i="9"/>
  <c r="GU59" i="9"/>
  <c r="GU60" i="9"/>
  <c r="GU61" i="9"/>
  <c r="GU62" i="9"/>
  <c r="GU63" i="9"/>
  <c r="GU64" i="9"/>
  <c r="CY6" i="9"/>
  <c r="CX6" i="9"/>
  <c r="CW6" i="9"/>
  <c r="AA6" i="9"/>
  <c r="AA24" i="9"/>
  <c r="AA39" i="9"/>
  <c r="AA53" i="9"/>
  <c r="Y40" i="31" l="1"/>
  <c r="BT40" i="31"/>
  <c r="W40" i="31"/>
  <c r="BR40" i="31"/>
  <c r="Y25" i="31"/>
  <c r="BT25" i="31"/>
  <c r="W25" i="31"/>
  <c r="BR25" i="31"/>
  <c r="W7" i="31"/>
  <c r="BR7" i="31"/>
  <c r="W54" i="31"/>
  <c r="BR54" i="31"/>
  <c r="Y7" i="31"/>
  <c r="BT7" i="31"/>
  <c r="U7" i="31"/>
  <c r="BP7" i="31"/>
  <c r="Y54" i="31"/>
  <c r="BT54" i="31"/>
  <c r="GU53" i="9"/>
  <c r="GU24" i="9"/>
  <c r="ZE5" i="9"/>
  <c r="GU39" i="9"/>
  <c r="ZD5" i="9"/>
  <c r="ZC5" i="9"/>
  <c r="ZB5" i="9"/>
  <c r="ZA5" i="9"/>
  <c r="CY5" i="9"/>
  <c r="S6" i="31"/>
  <c r="Q6" i="31"/>
  <c r="O6" i="31"/>
  <c r="CZ5" i="9"/>
  <c r="DA5" i="9"/>
  <c r="AA5" i="9"/>
  <c r="CX5" i="9"/>
  <c r="CW5" i="9"/>
  <c r="W6" i="31" l="1"/>
  <c r="BR6" i="31"/>
  <c r="Y6" i="31"/>
  <c r="BT6" i="31"/>
  <c r="U6" i="31"/>
  <c r="BP6" i="31"/>
  <c r="AB6" i="9"/>
  <c r="AC6" i="9"/>
  <c r="AC53" i="9"/>
  <c r="AC39" i="9"/>
  <c r="AC24" i="9"/>
  <c r="AD6" i="9"/>
  <c r="AD24" i="9"/>
  <c r="AD39" i="9"/>
  <c r="AD53" i="9"/>
  <c r="AE53" i="9"/>
  <c r="AE39" i="9"/>
  <c r="AE24" i="9"/>
  <c r="AE6" i="9"/>
  <c r="AC5" i="9" l="1"/>
  <c r="AB5" i="9"/>
  <c r="AD5" i="9"/>
  <c r="AE5" i="9"/>
  <c r="M64" i="31" l="1"/>
  <c r="M57" i="31"/>
  <c r="M50" i="31"/>
  <c r="K50" i="31"/>
  <c r="G64" i="31"/>
  <c r="G57" i="31"/>
  <c r="G50" i="31"/>
  <c r="K34" i="31" l="1"/>
  <c r="K35" i="31"/>
  <c r="K36" i="31"/>
  <c r="K37" i="31"/>
  <c r="K38" i="31"/>
  <c r="K39" i="31"/>
  <c r="K42" i="31"/>
  <c r="K43" i="31"/>
  <c r="K44" i="31"/>
  <c r="K45" i="31"/>
  <c r="K46" i="31"/>
  <c r="K47" i="31"/>
  <c r="K48" i="31"/>
  <c r="K49" i="31"/>
  <c r="K51" i="31"/>
  <c r="K52" i="31"/>
  <c r="K53" i="31"/>
  <c r="K56" i="31"/>
  <c r="K57" i="31"/>
  <c r="K58" i="31"/>
  <c r="K59" i="31"/>
  <c r="K60" i="31"/>
  <c r="K61" i="31"/>
  <c r="K62" i="31"/>
  <c r="K63" i="31"/>
  <c r="K64" i="31"/>
  <c r="K65" i="31"/>
  <c r="K32" i="31"/>
  <c r="M65" i="31"/>
  <c r="M63" i="31"/>
  <c r="M62" i="31"/>
  <c r="M61" i="31"/>
  <c r="M60" i="31"/>
  <c r="M59" i="31"/>
  <c r="M58" i="31"/>
  <c r="M56" i="31"/>
  <c r="M53" i="31"/>
  <c r="M52" i="31"/>
  <c r="M51" i="31"/>
  <c r="M49" i="31"/>
  <c r="M48" i="31"/>
  <c r="M47" i="31"/>
  <c r="M46" i="31"/>
  <c r="M45" i="31"/>
  <c r="M44" i="31"/>
  <c r="M43" i="31"/>
  <c r="M42" i="31"/>
  <c r="M39" i="31"/>
  <c r="M38" i="31"/>
  <c r="M37" i="31"/>
  <c r="M36" i="31"/>
  <c r="M35" i="31"/>
  <c r="M34" i="31"/>
  <c r="M33" i="31"/>
  <c r="M32" i="31"/>
  <c r="M31" i="31"/>
  <c r="M30" i="31"/>
  <c r="M29" i="31"/>
  <c r="M28" i="31"/>
  <c r="M27" i="31"/>
  <c r="M24" i="31"/>
  <c r="M23" i="31"/>
  <c r="M22" i="31"/>
  <c r="M21" i="31"/>
  <c r="M20" i="31"/>
  <c r="M19" i="31"/>
  <c r="M18" i="31"/>
  <c r="M17" i="31"/>
  <c r="M16" i="31"/>
  <c r="M15" i="31"/>
  <c r="M14" i="31"/>
  <c r="M13" i="31"/>
  <c r="M12" i="31"/>
  <c r="M11" i="31"/>
  <c r="M10" i="31"/>
  <c r="M9" i="31"/>
  <c r="K33" i="31"/>
  <c r="K31" i="31"/>
  <c r="K30" i="31"/>
  <c r="K29" i="31"/>
  <c r="K28" i="31"/>
  <c r="K27" i="31"/>
  <c r="K24" i="31"/>
  <c r="K23" i="31"/>
  <c r="K22" i="31"/>
  <c r="K21" i="31"/>
  <c r="K20" i="31"/>
  <c r="K19" i="31"/>
  <c r="K18" i="31"/>
  <c r="K17" i="31"/>
  <c r="K16" i="31"/>
  <c r="K15" i="31"/>
  <c r="K14" i="31"/>
  <c r="K13" i="31"/>
  <c r="K12" i="31"/>
  <c r="K11" i="31"/>
  <c r="K10" i="31"/>
  <c r="K9" i="31"/>
  <c r="I65" i="31"/>
  <c r="I64" i="31"/>
  <c r="I63" i="31"/>
  <c r="I62" i="31"/>
  <c r="I61" i="31"/>
  <c r="I60" i="31"/>
  <c r="I59" i="31"/>
  <c r="I58" i="31"/>
  <c r="I57" i="31"/>
  <c r="I56" i="31"/>
  <c r="I53" i="31"/>
  <c r="I52" i="31"/>
  <c r="I51" i="31"/>
  <c r="I50" i="31"/>
  <c r="I49" i="31"/>
  <c r="I48" i="31"/>
  <c r="I47" i="31"/>
  <c r="I46" i="31"/>
  <c r="I45" i="31"/>
  <c r="I44" i="31"/>
  <c r="I43" i="31"/>
  <c r="I42" i="31"/>
  <c r="I39" i="31"/>
  <c r="I38" i="31"/>
  <c r="I37" i="31"/>
  <c r="I36" i="31"/>
  <c r="I35" i="31"/>
  <c r="I34" i="31"/>
  <c r="I33" i="31"/>
  <c r="I32" i="31"/>
  <c r="I31" i="31"/>
  <c r="I30" i="31"/>
  <c r="I29" i="31"/>
  <c r="I28" i="31"/>
  <c r="I27" i="31"/>
  <c r="I24" i="31"/>
  <c r="I23" i="31"/>
  <c r="I22" i="31"/>
  <c r="I21" i="31"/>
  <c r="I20" i="31"/>
  <c r="I19" i="31"/>
  <c r="I18" i="31"/>
  <c r="I17" i="31"/>
  <c r="I16" i="31"/>
  <c r="I15" i="31"/>
  <c r="I14" i="31"/>
  <c r="I13" i="31"/>
  <c r="I12" i="31"/>
  <c r="I11" i="31"/>
  <c r="I10" i="31"/>
  <c r="I9" i="31"/>
  <c r="G65" i="31"/>
  <c r="G63" i="31"/>
  <c r="G62" i="31"/>
  <c r="G61" i="31"/>
  <c r="G60" i="31"/>
  <c r="G59" i="31"/>
  <c r="G58" i="31"/>
  <c r="G56" i="31"/>
  <c r="G53" i="31"/>
  <c r="G52" i="31"/>
  <c r="G51" i="31"/>
  <c r="G49" i="31"/>
  <c r="G48" i="31"/>
  <c r="G47" i="31"/>
  <c r="G46" i="31"/>
  <c r="G45" i="31"/>
  <c r="G44" i="31"/>
  <c r="G43" i="31"/>
  <c r="G42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OX56" i="9"/>
  <c r="OY56" i="9"/>
  <c r="OZ56" i="9"/>
  <c r="PA56" i="9"/>
  <c r="PB56" i="9"/>
  <c r="PC56" i="9"/>
  <c r="PD56" i="9"/>
  <c r="PE56" i="9"/>
  <c r="PF56" i="9"/>
  <c r="PG56" i="9"/>
  <c r="OX57" i="9"/>
  <c r="OY57" i="9"/>
  <c r="OZ57" i="9"/>
  <c r="PA57" i="9"/>
  <c r="PB57" i="9"/>
  <c r="PC57" i="9"/>
  <c r="PD57" i="9"/>
  <c r="PE57" i="9"/>
  <c r="PF57" i="9"/>
  <c r="PG57" i="9"/>
  <c r="OX58" i="9"/>
  <c r="OY58" i="9"/>
  <c r="OZ58" i="9"/>
  <c r="PA58" i="9"/>
  <c r="PB58" i="9"/>
  <c r="PC58" i="9"/>
  <c r="PD58" i="9"/>
  <c r="PE58" i="9"/>
  <c r="PF58" i="9"/>
  <c r="PG58" i="9"/>
  <c r="OX59" i="9"/>
  <c r="OY59" i="9"/>
  <c r="OZ59" i="9"/>
  <c r="PA59" i="9"/>
  <c r="PB59" i="9"/>
  <c r="PC59" i="9"/>
  <c r="PD59" i="9"/>
  <c r="PE59" i="9"/>
  <c r="PF59" i="9"/>
  <c r="PG59" i="9"/>
  <c r="OX60" i="9"/>
  <c r="OY60" i="9"/>
  <c r="OZ60" i="9"/>
  <c r="PA60" i="9"/>
  <c r="PB60" i="9"/>
  <c r="PC60" i="9"/>
  <c r="PD60" i="9"/>
  <c r="PE60" i="9"/>
  <c r="PF60" i="9"/>
  <c r="PG60" i="9"/>
  <c r="OX61" i="9"/>
  <c r="OY61" i="9"/>
  <c r="OZ61" i="9"/>
  <c r="PA61" i="9"/>
  <c r="PB61" i="9"/>
  <c r="PC61" i="9"/>
  <c r="PD61" i="9"/>
  <c r="PE61" i="9"/>
  <c r="PF61" i="9"/>
  <c r="PG61" i="9"/>
  <c r="OX62" i="9"/>
  <c r="OY62" i="9"/>
  <c r="OZ62" i="9"/>
  <c r="PA62" i="9"/>
  <c r="PB62" i="9"/>
  <c r="PC62" i="9"/>
  <c r="PD62" i="9"/>
  <c r="PE62" i="9"/>
  <c r="PF62" i="9"/>
  <c r="PG62" i="9"/>
  <c r="OX63" i="9"/>
  <c r="OY63" i="9"/>
  <c r="OZ63" i="9"/>
  <c r="PA63" i="9"/>
  <c r="PB63" i="9"/>
  <c r="PC63" i="9"/>
  <c r="PD63" i="9"/>
  <c r="PE63" i="9"/>
  <c r="PF63" i="9"/>
  <c r="PG63" i="9"/>
  <c r="OX64" i="9"/>
  <c r="OY64" i="9"/>
  <c r="OZ64" i="9"/>
  <c r="PA64" i="9"/>
  <c r="PB64" i="9"/>
  <c r="PC64" i="9"/>
  <c r="PD64" i="9"/>
  <c r="PE64" i="9"/>
  <c r="PF64" i="9"/>
  <c r="PG64" i="9"/>
  <c r="PG55" i="9"/>
  <c r="PF55" i="9"/>
  <c r="PE55" i="9"/>
  <c r="PD55" i="9"/>
  <c r="PC55" i="9"/>
  <c r="PB55" i="9"/>
  <c r="PA55" i="9"/>
  <c r="OZ55" i="9"/>
  <c r="OY55" i="9"/>
  <c r="OX55" i="9"/>
  <c r="OX42" i="9"/>
  <c r="OY42" i="9"/>
  <c r="OZ42" i="9"/>
  <c r="PA42" i="9"/>
  <c r="PB42" i="9"/>
  <c r="PC42" i="9"/>
  <c r="PD42" i="9"/>
  <c r="PE42" i="9"/>
  <c r="PF42" i="9"/>
  <c r="PG42" i="9"/>
  <c r="OX43" i="9"/>
  <c r="OY43" i="9"/>
  <c r="OZ43" i="9"/>
  <c r="PA43" i="9"/>
  <c r="PB43" i="9"/>
  <c r="PC43" i="9"/>
  <c r="PD43" i="9"/>
  <c r="PE43" i="9"/>
  <c r="PF43" i="9"/>
  <c r="PG43" i="9"/>
  <c r="OX44" i="9"/>
  <c r="OY44" i="9"/>
  <c r="OZ44" i="9"/>
  <c r="PA44" i="9"/>
  <c r="PB44" i="9"/>
  <c r="PC44" i="9"/>
  <c r="PD44" i="9"/>
  <c r="PE44" i="9"/>
  <c r="PF44" i="9"/>
  <c r="PG44" i="9"/>
  <c r="OX45" i="9"/>
  <c r="OY45" i="9"/>
  <c r="OZ45" i="9"/>
  <c r="PA45" i="9"/>
  <c r="PB45" i="9"/>
  <c r="PC45" i="9"/>
  <c r="PD45" i="9"/>
  <c r="PE45" i="9"/>
  <c r="PF45" i="9"/>
  <c r="PG45" i="9"/>
  <c r="OX46" i="9"/>
  <c r="OY46" i="9"/>
  <c r="OZ46" i="9"/>
  <c r="PA46" i="9"/>
  <c r="PB46" i="9"/>
  <c r="PC46" i="9"/>
  <c r="PD46" i="9"/>
  <c r="PE46" i="9"/>
  <c r="PF46" i="9"/>
  <c r="PG46" i="9"/>
  <c r="OX47" i="9"/>
  <c r="OY47" i="9"/>
  <c r="OZ47" i="9"/>
  <c r="PA47" i="9"/>
  <c r="PB47" i="9"/>
  <c r="PC47" i="9"/>
  <c r="PD47" i="9"/>
  <c r="PE47" i="9"/>
  <c r="PF47" i="9"/>
  <c r="PG47" i="9"/>
  <c r="OX48" i="9"/>
  <c r="OY48" i="9"/>
  <c r="OZ48" i="9"/>
  <c r="PA48" i="9"/>
  <c r="PB48" i="9"/>
  <c r="PC48" i="9"/>
  <c r="PD48" i="9"/>
  <c r="PE48" i="9"/>
  <c r="PF48" i="9"/>
  <c r="PG48" i="9"/>
  <c r="OX49" i="9"/>
  <c r="OY49" i="9"/>
  <c r="OZ49" i="9"/>
  <c r="PA49" i="9"/>
  <c r="PB49" i="9"/>
  <c r="PC49" i="9"/>
  <c r="PD49" i="9"/>
  <c r="PE49" i="9"/>
  <c r="PF49" i="9"/>
  <c r="PG49" i="9"/>
  <c r="OX50" i="9"/>
  <c r="OY50" i="9"/>
  <c r="OZ50" i="9"/>
  <c r="PA50" i="9"/>
  <c r="PB50" i="9"/>
  <c r="PC50" i="9"/>
  <c r="PD50" i="9"/>
  <c r="PE50" i="9"/>
  <c r="PF50" i="9"/>
  <c r="PG50" i="9"/>
  <c r="OX51" i="9"/>
  <c r="OY51" i="9"/>
  <c r="OZ51" i="9"/>
  <c r="PA51" i="9"/>
  <c r="PB51" i="9"/>
  <c r="PC51" i="9"/>
  <c r="PD51" i="9"/>
  <c r="PE51" i="9"/>
  <c r="PF51" i="9"/>
  <c r="PG51" i="9"/>
  <c r="OX52" i="9"/>
  <c r="OY52" i="9"/>
  <c r="OZ52" i="9"/>
  <c r="PA52" i="9"/>
  <c r="PB52" i="9"/>
  <c r="PC52" i="9"/>
  <c r="PD52" i="9"/>
  <c r="PE52" i="9"/>
  <c r="PF52" i="9"/>
  <c r="PG52" i="9"/>
  <c r="PG41" i="9"/>
  <c r="PF41" i="9"/>
  <c r="PE41" i="9"/>
  <c r="PD41" i="9"/>
  <c r="PC41" i="9"/>
  <c r="PB41" i="9"/>
  <c r="PA41" i="9"/>
  <c r="OZ41" i="9"/>
  <c r="OY41" i="9"/>
  <c r="OX41" i="9"/>
  <c r="OX27" i="9"/>
  <c r="OY27" i="9"/>
  <c r="OZ27" i="9"/>
  <c r="PA27" i="9"/>
  <c r="PB27" i="9"/>
  <c r="PC27" i="9"/>
  <c r="PD27" i="9"/>
  <c r="PE27" i="9"/>
  <c r="PF27" i="9"/>
  <c r="PG27" i="9"/>
  <c r="OX28" i="9"/>
  <c r="OY28" i="9"/>
  <c r="OZ28" i="9"/>
  <c r="PA28" i="9"/>
  <c r="PB28" i="9"/>
  <c r="PC28" i="9"/>
  <c r="PD28" i="9"/>
  <c r="PE28" i="9"/>
  <c r="PF28" i="9"/>
  <c r="PG28" i="9"/>
  <c r="OX29" i="9"/>
  <c r="OY29" i="9"/>
  <c r="OZ29" i="9"/>
  <c r="PA29" i="9"/>
  <c r="PB29" i="9"/>
  <c r="PC29" i="9"/>
  <c r="PD29" i="9"/>
  <c r="PE29" i="9"/>
  <c r="PF29" i="9"/>
  <c r="PG29" i="9"/>
  <c r="OX30" i="9"/>
  <c r="OY30" i="9"/>
  <c r="OZ30" i="9"/>
  <c r="PA30" i="9"/>
  <c r="PB30" i="9"/>
  <c r="PC30" i="9"/>
  <c r="PD30" i="9"/>
  <c r="PE30" i="9"/>
  <c r="PF30" i="9"/>
  <c r="PG30" i="9"/>
  <c r="OX31" i="9"/>
  <c r="OY31" i="9"/>
  <c r="OZ31" i="9"/>
  <c r="PA31" i="9"/>
  <c r="PB31" i="9"/>
  <c r="PC31" i="9"/>
  <c r="PD31" i="9"/>
  <c r="PE31" i="9"/>
  <c r="PF31" i="9"/>
  <c r="PG31" i="9"/>
  <c r="OX32" i="9"/>
  <c r="OY32" i="9"/>
  <c r="OZ32" i="9"/>
  <c r="PA32" i="9"/>
  <c r="PB32" i="9"/>
  <c r="PC32" i="9"/>
  <c r="PD32" i="9"/>
  <c r="PE32" i="9"/>
  <c r="PF32" i="9"/>
  <c r="PG32" i="9"/>
  <c r="OX33" i="9"/>
  <c r="OY33" i="9"/>
  <c r="OZ33" i="9"/>
  <c r="PA33" i="9"/>
  <c r="PB33" i="9"/>
  <c r="PC33" i="9"/>
  <c r="PD33" i="9"/>
  <c r="PE33" i="9"/>
  <c r="PF33" i="9"/>
  <c r="PG33" i="9"/>
  <c r="OX34" i="9"/>
  <c r="OY34" i="9"/>
  <c r="OZ34" i="9"/>
  <c r="PA34" i="9"/>
  <c r="PB34" i="9"/>
  <c r="PC34" i="9"/>
  <c r="PD34" i="9"/>
  <c r="PE34" i="9"/>
  <c r="PF34" i="9"/>
  <c r="PG34" i="9"/>
  <c r="OX35" i="9"/>
  <c r="OY35" i="9"/>
  <c r="OZ35" i="9"/>
  <c r="PA35" i="9"/>
  <c r="PB35" i="9"/>
  <c r="PC35" i="9"/>
  <c r="PD35" i="9"/>
  <c r="PE35" i="9"/>
  <c r="PF35" i="9"/>
  <c r="PG35" i="9"/>
  <c r="OX36" i="9"/>
  <c r="OY36" i="9"/>
  <c r="OZ36" i="9"/>
  <c r="PA36" i="9"/>
  <c r="PB36" i="9"/>
  <c r="PC36" i="9"/>
  <c r="PD36" i="9"/>
  <c r="PE36" i="9"/>
  <c r="PF36" i="9"/>
  <c r="PG36" i="9"/>
  <c r="OX37" i="9"/>
  <c r="OY37" i="9"/>
  <c r="OZ37" i="9"/>
  <c r="PA37" i="9"/>
  <c r="PB37" i="9"/>
  <c r="PC37" i="9"/>
  <c r="PD37" i="9"/>
  <c r="PE37" i="9"/>
  <c r="PF37" i="9"/>
  <c r="PG37" i="9"/>
  <c r="OX38" i="9"/>
  <c r="OY38" i="9"/>
  <c r="OZ38" i="9"/>
  <c r="PA38" i="9"/>
  <c r="PB38" i="9"/>
  <c r="PC38" i="9"/>
  <c r="PD38" i="9"/>
  <c r="PE38" i="9"/>
  <c r="PF38" i="9"/>
  <c r="PG38" i="9"/>
  <c r="PG26" i="9"/>
  <c r="PF26" i="9"/>
  <c r="PE26" i="9"/>
  <c r="PD26" i="9"/>
  <c r="PC26" i="9"/>
  <c r="PB26" i="9"/>
  <c r="PA26" i="9"/>
  <c r="OZ26" i="9"/>
  <c r="OY26" i="9"/>
  <c r="OX26" i="9"/>
  <c r="OX9" i="9"/>
  <c r="OY9" i="9"/>
  <c r="OZ9" i="9"/>
  <c r="PA9" i="9"/>
  <c r="PB9" i="9"/>
  <c r="PC9" i="9"/>
  <c r="PD9" i="9"/>
  <c r="PE9" i="9"/>
  <c r="PF9" i="9"/>
  <c r="PG9" i="9"/>
  <c r="OX10" i="9"/>
  <c r="OY10" i="9"/>
  <c r="OZ10" i="9"/>
  <c r="PA10" i="9"/>
  <c r="PB10" i="9"/>
  <c r="PC10" i="9"/>
  <c r="PD10" i="9"/>
  <c r="PE10" i="9"/>
  <c r="PF10" i="9"/>
  <c r="PG10" i="9"/>
  <c r="OX11" i="9"/>
  <c r="OY11" i="9"/>
  <c r="OZ11" i="9"/>
  <c r="PA11" i="9"/>
  <c r="PB11" i="9"/>
  <c r="PC11" i="9"/>
  <c r="PD11" i="9"/>
  <c r="PE11" i="9"/>
  <c r="PF11" i="9"/>
  <c r="PG11" i="9"/>
  <c r="OX12" i="9"/>
  <c r="OY12" i="9"/>
  <c r="OZ12" i="9"/>
  <c r="PA12" i="9"/>
  <c r="PB12" i="9"/>
  <c r="PC12" i="9"/>
  <c r="PD12" i="9"/>
  <c r="PE12" i="9"/>
  <c r="PF12" i="9"/>
  <c r="PG12" i="9"/>
  <c r="OX13" i="9"/>
  <c r="OY13" i="9"/>
  <c r="OZ13" i="9"/>
  <c r="PA13" i="9"/>
  <c r="PB13" i="9"/>
  <c r="PC13" i="9"/>
  <c r="PD13" i="9"/>
  <c r="PE13" i="9"/>
  <c r="PF13" i="9"/>
  <c r="PG13" i="9"/>
  <c r="OX14" i="9"/>
  <c r="OY14" i="9"/>
  <c r="OZ14" i="9"/>
  <c r="PA14" i="9"/>
  <c r="PB14" i="9"/>
  <c r="PC14" i="9"/>
  <c r="PD14" i="9"/>
  <c r="PE14" i="9"/>
  <c r="PF14" i="9"/>
  <c r="PG14" i="9"/>
  <c r="OX15" i="9"/>
  <c r="OY15" i="9"/>
  <c r="OZ15" i="9"/>
  <c r="PA15" i="9"/>
  <c r="PB15" i="9"/>
  <c r="PC15" i="9"/>
  <c r="PD15" i="9"/>
  <c r="PE15" i="9"/>
  <c r="PF15" i="9"/>
  <c r="PG15" i="9"/>
  <c r="OX16" i="9"/>
  <c r="OY16" i="9"/>
  <c r="OZ16" i="9"/>
  <c r="PA16" i="9"/>
  <c r="PB16" i="9"/>
  <c r="PC16" i="9"/>
  <c r="PD16" i="9"/>
  <c r="PE16" i="9"/>
  <c r="PF16" i="9"/>
  <c r="PG16" i="9"/>
  <c r="OX17" i="9"/>
  <c r="OY17" i="9"/>
  <c r="OZ17" i="9"/>
  <c r="PA17" i="9"/>
  <c r="PB17" i="9"/>
  <c r="PC17" i="9"/>
  <c r="PD17" i="9"/>
  <c r="PE17" i="9"/>
  <c r="PF17" i="9"/>
  <c r="PG17" i="9"/>
  <c r="OX18" i="9"/>
  <c r="OY18" i="9"/>
  <c r="OZ18" i="9"/>
  <c r="PA18" i="9"/>
  <c r="PB18" i="9"/>
  <c r="PC18" i="9"/>
  <c r="PD18" i="9"/>
  <c r="PE18" i="9"/>
  <c r="PF18" i="9"/>
  <c r="PG18" i="9"/>
  <c r="OX19" i="9"/>
  <c r="OY19" i="9"/>
  <c r="OZ19" i="9"/>
  <c r="PA19" i="9"/>
  <c r="PB19" i="9"/>
  <c r="PC19" i="9"/>
  <c r="PD19" i="9"/>
  <c r="PE19" i="9"/>
  <c r="PF19" i="9"/>
  <c r="PG19" i="9"/>
  <c r="OX20" i="9"/>
  <c r="OY20" i="9"/>
  <c r="OZ20" i="9"/>
  <c r="PA20" i="9"/>
  <c r="PB20" i="9"/>
  <c r="PC20" i="9"/>
  <c r="PD20" i="9"/>
  <c r="PE20" i="9"/>
  <c r="PF20" i="9"/>
  <c r="PG20" i="9"/>
  <c r="OX21" i="9"/>
  <c r="OY21" i="9"/>
  <c r="OZ21" i="9"/>
  <c r="PA21" i="9"/>
  <c r="PB21" i="9"/>
  <c r="PC21" i="9"/>
  <c r="PD21" i="9"/>
  <c r="PE21" i="9"/>
  <c r="PF21" i="9"/>
  <c r="PG21" i="9"/>
  <c r="OX22" i="9"/>
  <c r="OY22" i="9"/>
  <c r="OZ22" i="9"/>
  <c r="PA22" i="9"/>
  <c r="PB22" i="9"/>
  <c r="PC22" i="9"/>
  <c r="PD22" i="9"/>
  <c r="PE22" i="9"/>
  <c r="PF22" i="9"/>
  <c r="PG22" i="9"/>
  <c r="OX23" i="9"/>
  <c r="OY23" i="9"/>
  <c r="OZ23" i="9"/>
  <c r="PA23" i="9"/>
  <c r="PB23" i="9"/>
  <c r="PC23" i="9"/>
  <c r="PD23" i="9"/>
  <c r="PE23" i="9"/>
  <c r="PF23" i="9"/>
  <c r="PG23" i="9"/>
  <c r="MU53" i="9"/>
  <c r="MV53" i="9"/>
  <c r="MW53" i="9"/>
  <c r="MX53" i="9"/>
  <c r="MY53" i="9"/>
  <c r="MU39" i="9"/>
  <c r="MV39" i="9"/>
  <c r="MW39" i="9"/>
  <c r="MX39" i="9"/>
  <c r="MY39" i="9"/>
  <c r="MU24" i="9"/>
  <c r="MV24" i="9"/>
  <c r="MW24" i="9"/>
  <c r="MX24" i="9"/>
  <c r="MY24" i="9"/>
  <c r="MU6" i="9"/>
  <c r="MV6" i="9"/>
  <c r="MW6" i="9"/>
  <c r="MX6" i="9"/>
  <c r="MY6" i="9"/>
  <c r="OX39" i="9" l="1"/>
  <c r="OZ39" i="9"/>
  <c r="MU5" i="9"/>
  <c r="PG24" i="9"/>
  <c r="PE39" i="9"/>
  <c r="PD53" i="9"/>
  <c r="PB53" i="9"/>
  <c r="PF6" i="9"/>
  <c r="PE53" i="9"/>
  <c r="OY53" i="9"/>
  <c r="PA53" i="9"/>
  <c r="PG6" i="9"/>
  <c r="PA24" i="9"/>
  <c r="OZ24" i="9"/>
  <c r="PE6" i="9"/>
  <c r="PD39" i="9"/>
  <c r="OX6" i="9"/>
  <c r="PE24" i="9"/>
  <c r="PG53" i="9"/>
  <c r="PF53" i="9"/>
  <c r="PA6" i="9"/>
  <c r="PB24" i="9"/>
  <c r="PF24" i="9"/>
  <c r="PF39" i="9"/>
  <c r="OX53" i="9"/>
  <c r="PC53" i="9"/>
  <c r="OZ53" i="9"/>
  <c r="PA39" i="9"/>
  <c r="PB39" i="9"/>
  <c r="OY39" i="9"/>
  <c r="PG39" i="9"/>
  <c r="PC39" i="9"/>
  <c r="PC24" i="9"/>
  <c r="PD24" i="9"/>
  <c r="PD6" i="9"/>
  <c r="PC6" i="9"/>
  <c r="OX24" i="9"/>
  <c r="OY24" i="9"/>
  <c r="OY6" i="9"/>
  <c r="PB6" i="9"/>
  <c r="OZ6" i="9"/>
  <c r="MV5" i="9"/>
  <c r="MW5" i="9"/>
  <c r="MY5" i="9"/>
  <c r="MX5" i="9"/>
  <c r="ABS53" i="9"/>
  <c r="ABT53" i="9"/>
  <c r="ABU53" i="9"/>
  <c r="ABV53" i="9"/>
  <c r="ABW53" i="9"/>
  <c r="ABS39" i="9"/>
  <c r="ABT39" i="9"/>
  <c r="ABU39" i="9"/>
  <c r="ABV39" i="9"/>
  <c r="ABW39" i="9"/>
  <c r="ABS24" i="9"/>
  <c r="ABT24" i="9"/>
  <c r="ABU24" i="9"/>
  <c r="ABV24" i="9"/>
  <c r="ABW24" i="9"/>
  <c r="ABS6" i="9"/>
  <c r="ABT6" i="9"/>
  <c r="ABU6" i="9"/>
  <c r="ABV6" i="9"/>
  <c r="ABW6" i="9"/>
  <c r="YV53" i="9"/>
  <c r="YW53" i="9"/>
  <c r="YX53" i="9"/>
  <c r="YY53" i="9"/>
  <c r="YZ53" i="9"/>
  <c r="YV39" i="9"/>
  <c r="YW39" i="9"/>
  <c r="YX39" i="9"/>
  <c r="YY39" i="9"/>
  <c r="YZ39" i="9"/>
  <c r="YV24" i="9"/>
  <c r="YW24" i="9"/>
  <c r="YX24" i="9"/>
  <c r="YY24" i="9"/>
  <c r="YZ24" i="9"/>
  <c r="YV6" i="9"/>
  <c r="YW6" i="9"/>
  <c r="YX6" i="9"/>
  <c r="YY6" i="9"/>
  <c r="YZ6" i="9"/>
  <c r="SO53" i="9"/>
  <c r="SP53" i="9"/>
  <c r="SQ53" i="9"/>
  <c r="SR53" i="9"/>
  <c r="SS53" i="9"/>
  <c r="SO39" i="9"/>
  <c r="SP39" i="9"/>
  <c r="SQ39" i="9"/>
  <c r="SR39" i="9"/>
  <c r="SS39" i="9"/>
  <c r="SO24" i="9"/>
  <c r="SP24" i="9"/>
  <c r="SQ24" i="9"/>
  <c r="SR24" i="9"/>
  <c r="SS24" i="9"/>
  <c r="SO6" i="9"/>
  <c r="SP6" i="9"/>
  <c r="SQ6" i="9"/>
  <c r="SR6" i="9"/>
  <c r="SS6" i="9"/>
  <c r="JX53" i="9"/>
  <c r="JY53" i="9"/>
  <c r="JZ53" i="9"/>
  <c r="KA53" i="9"/>
  <c r="KB53" i="9"/>
  <c r="JX39" i="9"/>
  <c r="JY39" i="9"/>
  <c r="JZ39" i="9"/>
  <c r="KA39" i="9"/>
  <c r="KB39" i="9"/>
  <c r="JX24" i="9"/>
  <c r="JY24" i="9"/>
  <c r="JZ24" i="9"/>
  <c r="KA24" i="9"/>
  <c r="KB24" i="9"/>
  <c r="JX6" i="9"/>
  <c r="JY6" i="9"/>
  <c r="JZ6" i="9"/>
  <c r="KA6" i="9"/>
  <c r="KB6" i="9"/>
  <c r="GQ6" i="9"/>
  <c r="GR6" i="9"/>
  <c r="GS6" i="9"/>
  <c r="GT6" i="9"/>
  <c r="PF5" i="9" l="1"/>
  <c r="PE5" i="9"/>
  <c r="OX5" i="9"/>
  <c r="PA5" i="9"/>
  <c r="OZ5" i="9"/>
  <c r="PB5" i="9"/>
  <c r="PG5" i="9"/>
  <c r="GU6" i="9"/>
  <c r="GU5" i="9" s="1"/>
  <c r="PD5" i="9"/>
  <c r="PC5" i="9"/>
  <c r="OY5" i="9"/>
  <c r="ABW5" i="9"/>
  <c r="ABS5" i="9"/>
  <c r="ABU5" i="9"/>
  <c r="ABT5" i="9"/>
  <c r="ABV5" i="9"/>
  <c r="YW5" i="9"/>
  <c r="YV5" i="9"/>
  <c r="YX5" i="9"/>
  <c r="YZ5" i="9"/>
  <c r="YY5" i="9"/>
  <c r="SO5" i="9"/>
  <c r="SQ5" i="9"/>
  <c r="SR5" i="9"/>
  <c r="SP5" i="9"/>
  <c r="SS5" i="9"/>
  <c r="JZ5" i="9"/>
  <c r="KA5" i="9"/>
  <c r="KB5" i="9"/>
  <c r="JX5" i="9"/>
  <c r="JY5" i="9"/>
  <c r="GS5" i="9"/>
  <c r="GQ5" i="9"/>
  <c r="GR5" i="9"/>
  <c r="GT5" i="9"/>
  <c r="FB6" i="9"/>
  <c r="FA6" i="9"/>
  <c r="EZ6" i="9"/>
  <c r="EY6" i="9"/>
  <c r="CX55" i="19"/>
  <c r="CX56" i="19"/>
  <c r="CX57" i="19"/>
  <c r="CX58" i="19"/>
  <c r="CX59" i="19"/>
  <c r="CX60" i="19"/>
  <c r="CX61" i="19"/>
  <c r="CX62" i="19"/>
  <c r="CX63" i="19"/>
  <c r="CX54" i="19"/>
  <c r="CX41" i="19"/>
  <c r="CX42" i="19"/>
  <c r="CX43" i="19"/>
  <c r="CX44" i="19"/>
  <c r="CX45" i="19"/>
  <c r="CX46" i="19"/>
  <c r="CX47" i="19"/>
  <c r="CX48" i="19"/>
  <c r="CX49" i="19"/>
  <c r="CX50" i="19"/>
  <c r="CX51" i="19"/>
  <c r="CX40" i="19"/>
  <c r="CX26" i="19"/>
  <c r="CX27" i="19"/>
  <c r="CX28" i="19"/>
  <c r="CX29" i="19"/>
  <c r="CX30" i="19"/>
  <c r="CX31" i="19"/>
  <c r="CX32" i="19"/>
  <c r="CX33" i="19"/>
  <c r="CX34" i="19"/>
  <c r="CX35" i="19"/>
  <c r="CX36" i="19"/>
  <c r="CX37" i="19"/>
  <c r="CX25" i="19"/>
  <c r="CX8" i="19"/>
  <c r="CX9" i="19"/>
  <c r="CX10" i="19"/>
  <c r="CX11" i="19"/>
  <c r="CX12" i="19"/>
  <c r="CX13" i="19"/>
  <c r="CX14" i="19"/>
  <c r="CX15" i="19"/>
  <c r="CX16" i="19"/>
  <c r="CX17" i="19"/>
  <c r="CX18" i="19"/>
  <c r="CX19" i="19"/>
  <c r="CX20" i="19"/>
  <c r="CX21" i="19"/>
  <c r="CX22" i="19"/>
  <c r="CX7" i="19"/>
  <c r="CU52" i="19"/>
  <c r="CV52" i="19"/>
  <c r="BD54" i="31" s="1"/>
  <c r="CW52" i="19"/>
  <c r="BF54" i="31" s="1"/>
  <c r="CY52" i="19"/>
  <c r="BH54" i="31" s="1"/>
  <c r="CU38" i="19"/>
  <c r="CV38" i="19"/>
  <c r="BD40" i="31" s="1"/>
  <c r="CW38" i="19"/>
  <c r="BF40" i="31" s="1"/>
  <c r="CY38" i="19"/>
  <c r="CU23" i="19"/>
  <c r="CV23" i="19"/>
  <c r="BD25" i="31" s="1"/>
  <c r="CW23" i="19"/>
  <c r="CY23" i="19"/>
  <c r="BH25" i="31" s="1"/>
  <c r="G25" i="31" l="1"/>
  <c r="BB25" i="31"/>
  <c r="G54" i="31"/>
  <c r="BB54" i="31"/>
  <c r="E25" i="31"/>
  <c r="AZ25" i="31"/>
  <c r="E54" i="31"/>
  <c r="AZ54" i="31"/>
  <c r="C25" i="31"/>
  <c r="AX25" i="31"/>
  <c r="C54" i="31"/>
  <c r="AX54" i="31"/>
  <c r="G40" i="31"/>
  <c r="BB40" i="31"/>
  <c r="BH40" i="31"/>
  <c r="E40" i="31"/>
  <c r="AZ40" i="31"/>
  <c r="BF25" i="31"/>
  <c r="C40" i="31"/>
  <c r="AX40" i="31"/>
  <c r="I40" i="31"/>
  <c r="K40" i="31"/>
  <c r="K54" i="31"/>
  <c r="M25" i="31"/>
  <c r="M54" i="31"/>
  <c r="CX52" i="19"/>
  <c r="M40" i="31"/>
  <c r="I25" i="31"/>
  <c r="I54" i="31"/>
  <c r="K25" i="31"/>
  <c r="FC6" i="9"/>
  <c r="FC5" i="9" s="1"/>
  <c r="EY5" i="9"/>
  <c r="EZ5" i="9"/>
  <c r="FA5" i="9"/>
  <c r="FB5" i="9"/>
  <c r="CX38" i="19"/>
  <c r="CX23" i="19"/>
  <c r="CU5" i="19"/>
  <c r="CV5" i="19"/>
  <c r="CW5" i="19"/>
  <c r="CY5" i="19"/>
  <c r="CX5" i="19"/>
  <c r="BH7" i="31" l="1"/>
  <c r="BB7" i="31"/>
  <c r="E7" i="31"/>
  <c r="BF7" i="31"/>
  <c r="AZ7" i="31"/>
  <c r="C7" i="31"/>
  <c r="BD7" i="31"/>
  <c r="AX7" i="31"/>
  <c r="CU4" i="19"/>
  <c r="CY4" i="19"/>
  <c r="G7" i="31"/>
  <c r="M7" i="31"/>
  <c r="CW4" i="19"/>
  <c r="K7" i="31"/>
  <c r="CV4" i="19"/>
  <c r="I7" i="31"/>
  <c r="CX4" i="19"/>
  <c r="BH6" i="31" l="1"/>
  <c r="BB6" i="31"/>
  <c r="C6" i="31"/>
  <c r="BD6" i="31"/>
  <c r="AX6" i="31"/>
  <c r="E6" i="31"/>
  <c r="AZ6" i="31"/>
  <c r="BF6" i="31"/>
  <c r="K6" i="31"/>
  <c r="M6" i="31"/>
  <c r="G6" i="31"/>
  <c r="I6" i="31"/>
  <c r="BY52" i="19"/>
  <c r="BZ52" i="19"/>
  <c r="BY38" i="19"/>
  <c r="BZ38" i="19"/>
  <c r="BY23" i="19"/>
  <c r="BZ23" i="19"/>
  <c r="BY5" i="19"/>
  <c r="BZ5" i="19"/>
  <c r="BX63" i="19"/>
  <c r="BX62" i="19"/>
  <c r="BX61" i="19"/>
  <c r="BX60" i="19"/>
  <c r="BX59" i="19"/>
  <c r="BX58" i="19"/>
  <c r="BX57" i="19"/>
  <c r="BX56" i="19"/>
  <c r="BX55" i="19"/>
  <c r="BX54" i="19"/>
  <c r="BX51" i="19"/>
  <c r="BX50" i="19"/>
  <c r="BX49" i="19"/>
  <c r="BX48" i="19"/>
  <c r="BX47" i="19"/>
  <c r="BX46" i="19"/>
  <c r="BX45" i="19"/>
  <c r="BX44" i="19"/>
  <c r="BX43" i="19"/>
  <c r="BX42" i="19"/>
  <c r="BX41" i="19"/>
  <c r="BX40" i="19"/>
  <c r="BX37" i="19"/>
  <c r="BX36" i="19"/>
  <c r="BX35" i="19"/>
  <c r="BX34" i="19"/>
  <c r="BX33" i="19"/>
  <c r="BX32" i="19"/>
  <c r="BX31" i="19"/>
  <c r="BX30" i="19"/>
  <c r="BX29" i="19"/>
  <c r="BX28" i="19"/>
  <c r="BX27" i="19"/>
  <c r="BX26" i="19"/>
  <c r="BX25" i="19"/>
  <c r="BX22" i="19"/>
  <c r="BX21" i="19"/>
  <c r="BX20" i="19"/>
  <c r="BX19" i="19"/>
  <c r="BX18" i="19"/>
  <c r="BX17" i="19"/>
  <c r="BX16" i="19"/>
  <c r="BX15" i="19"/>
  <c r="BX14" i="19"/>
  <c r="BX13" i="19"/>
  <c r="BX12" i="19"/>
  <c r="BX11" i="19"/>
  <c r="BX10" i="19"/>
  <c r="BX9" i="19"/>
  <c r="BX8" i="19"/>
  <c r="BX7" i="19"/>
  <c r="BK52" i="19"/>
  <c r="BJ52" i="19"/>
  <c r="BK38" i="19"/>
  <c r="BJ38" i="19"/>
  <c r="BK23" i="19"/>
  <c r="BJ23" i="19"/>
  <c r="BK5" i="19"/>
  <c r="BJ5" i="19"/>
  <c r="BX38" i="19" l="1"/>
  <c r="BX5" i="19"/>
  <c r="BX23" i="19"/>
  <c r="BX52" i="19"/>
  <c r="BZ4" i="19"/>
  <c r="BY4" i="19"/>
  <c r="BJ4" i="19"/>
  <c r="BK4" i="19"/>
  <c r="JT24" i="9"/>
  <c r="JU24" i="9"/>
  <c r="JS53" i="9"/>
  <c r="JT53" i="9"/>
  <c r="JU53" i="9"/>
  <c r="JV53" i="9"/>
  <c r="JW53" i="9"/>
  <c r="JS39" i="9"/>
  <c r="JT39" i="9"/>
  <c r="JU39" i="9"/>
  <c r="JV39" i="9"/>
  <c r="JW39" i="9"/>
  <c r="JS24" i="9"/>
  <c r="JV24" i="9"/>
  <c r="JW24" i="9"/>
  <c r="JS6" i="9"/>
  <c r="JT6" i="9"/>
  <c r="JU6" i="9"/>
  <c r="JV6" i="9"/>
  <c r="JW6" i="9"/>
  <c r="BX4" i="19" l="1"/>
  <c r="JV5" i="9"/>
  <c r="JW5" i="9"/>
  <c r="JU5" i="9"/>
  <c r="JT5" i="9"/>
  <c r="JS5" i="9"/>
  <c r="ABQ53" i="9"/>
  <c r="ABO53" i="9"/>
  <c r="ABP53" i="9"/>
  <c r="ABR53" i="9"/>
  <c r="ABO39" i="9"/>
  <c r="ABP39" i="9"/>
  <c r="ABQ39" i="9"/>
  <c r="ABR39" i="9"/>
  <c r="ABO24" i="9"/>
  <c r="ABP24" i="9"/>
  <c r="ABQ24" i="9"/>
  <c r="ABR24" i="9"/>
  <c r="ABO6" i="9"/>
  <c r="ABP6" i="9"/>
  <c r="ABQ6" i="9"/>
  <c r="ABR6" i="9"/>
  <c r="YR53" i="9"/>
  <c r="YS53" i="9"/>
  <c r="YT53" i="9"/>
  <c r="YU53" i="9"/>
  <c r="YR39" i="9"/>
  <c r="YS39" i="9"/>
  <c r="YT39" i="9"/>
  <c r="YU39" i="9"/>
  <c r="YR24" i="9"/>
  <c r="YS24" i="9"/>
  <c r="YT24" i="9"/>
  <c r="YU24" i="9"/>
  <c r="YR6" i="9"/>
  <c r="YS6" i="9"/>
  <c r="YT6" i="9"/>
  <c r="YU6" i="9"/>
  <c r="SN53" i="9"/>
  <c r="SM53" i="9"/>
  <c r="SL53" i="9"/>
  <c r="SK53" i="9"/>
  <c r="SJ53" i="9"/>
  <c r="SN39" i="9"/>
  <c r="SM39" i="9"/>
  <c r="SL39" i="9"/>
  <c r="SK39" i="9"/>
  <c r="SJ39" i="9"/>
  <c r="SN24" i="9"/>
  <c r="SM24" i="9"/>
  <c r="SL24" i="9"/>
  <c r="SK24" i="9"/>
  <c r="SJ24" i="9"/>
  <c r="SN6" i="9"/>
  <c r="SM6" i="9"/>
  <c r="SL6" i="9"/>
  <c r="SK6" i="9"/>
  <c r="SJ6" i="9"/>
  <c r="PL53" i="9"/>
  <c r="PK53" i="9"/>
  <c r="PJ53" i="9"/>
  <c r="PI53" i="9"/>
  <c r="PH53" i="9"/>
  <c r="PL39" i="9"/>
  <c r="PK39" i="9"/>
  <c r="PJ39" i="9"/>
  <c r="PI39" i="9"/>
  <c r="PH39" i="9"/>
  <c r="PL24" i="9"/>
  <c r="PK24" i="9"/>
  <c r="PJ24" i="9"/>
  <c r="PI24" i="9"/>
  <c r="PH24" i="9"/>
  <c r="PL6" i="9"/>
  <c r="PK6" i="9"/>
  <c r="PJ6" i="9"/>
  <c r="PI6" i="9"/>
  <c r="PH6" i="9"/>
  <c r="MT53" i="9"/>
  <c r="MS53" i="9"/>
  <c r="MR53" i="9"/>
  <c r="MQ53" i="9"/>
  <c r="MP53" i="9"/>
  <c r="MT39" i="9"/>
  <c r="MS39" i="9"/>
  <c r="MR39" i="9"/>
  <c r="MQ39" i="9"/>
  <c r="MP39" i="9"/>
  <c r="MT24" i="9"/>
  <c r="MS24" i="9"/>
  <c r="MR24" i="9"/>
  <c r="MQ24" i="9"/>
  <c r="MP24" i="9"/>
  <c r="MT6" i="9"/>
  <c r="MS6" i="9"/>
  <c r="MR6" i="9"/>
  <c r="MQ6" i="9"/>
  <c r="MP6" i="9"/>
  <c r="GP6" i="9"/>
  <c r="GO6" i="9"/>
  <c r="GN6" i="9"/>
  <c r="GM6" i="9"/>
  <c r="GL6" i="9"/>
  <c r="CV6" i="9"/>
  <c r="CU6" i="9"/>
  <c r="CT6" i="9"/>
  <c r="CS6" i="9"/>
  <c r="CR6" i="9"/>
  <c r="SN5" i="9" l="1"/>
  <c r="ABR5" i="9"/>
  <c r="YT5" i="9"/>
  <c r="ABQ5" i="9"/>
  <c r="PH5" i="9"/>
  <c r="SK5" i="9"/>
  <c r="YS5" i="9"/>
  <c r="ABP5" i="9"/>
  <c r="SL5" i="9"/>
  <c r="YR5" i="9"/>
  <c r="ABO5" i="9"/>
  <c r="YU5" i="9"/>
  <c r="SJ5" i="9"/>
  <c r="GP5" i="9"/>
  <c r="SM5" i="9"/>
  <c r="CR5" i="9"/>
  <c r="PL5" i="9"/>
  <c r="MP5" i="9"/>
  <c r="PI5" i="9"/>
  <c r="PJ5" i="9"/>
  <c r="PK5" i="9"/>
  <c r="MS5" i="9"/>
  <c r="MQ5" i="9"/>
  <c r="MR5" i="9"/>
  <c r="MT5" i="9"/>
  <c r="GL5" i="9"/>
  <c r="GO5" i="9"/>
  <c r="GN5" i="9"/>
  <c r="CV5" i="9"/>
  <c r="GM5" i="9"/>
  <c r="CS5" i="9"/>
  <c r="CU5" i="9"/>
  <c r="CT5" i="9"/>
  <c r="Y53" i="9"/>
  <c r="Z53" i="9"/>
  <c r="X53" i="9"/>
  <c r="W53" i="9"/>
  <c r="V53" i="9"/>
  <c r="Z39" i="9"/>
  <c r="Y39" i="9"/>
  <c r="X39" i="9"/>
  <c r="W39" i="9"/>
  <c r="V39" i="9"/>
  <c r="Z24" i="9"/>
  <c r="Y24" i="9"/>
  <c r="X24" i="9"/>
  <c r="W24" i="9"/>
  <c r="V24" i="9"/>
  <c r="Z6" i="9"/>
  <c r="Y6" i="9"/>
  <c r="X6" i="9"/>
  <c r="W6" i="9"/>
  <c r="V6" i="9"/>
  <c r="Y5" i="9" l="1"/>
  <c r="X5" i="9"/>
  <c r="W5" i="9"/>
  <c r="Z5" i="9"/>
  <c r="V5" i="9"/>
  <c r="CR52" i="19"/>
  <c r="CS52" i="19"/>
  <c r="CT52" i="19"/>
  <c r="CR38" i="19"/>
  <c r="CS38" i="19"/>
  <c r="CT38" i="19"/>
  <c r="CR23" i="19"/>
  <c r="CS23" i="19"/>
  <c r="CT23" i="19"/>
  <c r="CQ52" i="19"/>
  <c r="CQ38" i="19"/>
  <c r="CQ23" i="19"/>
  <c r="CP52" i="19"/>
  <c r="CP38" i="19"/>
  <c r="CP23" i="19"/>
  <c r="CT5" i="19" l="1"/>
  <c r="CT4" i="19" l="1"/>
  <c r="BO52" i="19"/>
  <c r="BP52" i="19"/>
  <c r="BQ52" i="19"/>
  <c r="BR52" i="19"/>
  <c r="BS52" i="19"/>
  <c r="BT52" i="19"/>
  <c r="BU52" i="19"/>
  <c r="BV52" i="19"/>
  <c r="BW52" i="19"/>
  <c r="BO38" i="19"/>
  <c r="BP38" i="19"/>
  <c r="BQ38" i="19"/>
  <c r="BR38" i="19"/>
  <c r="BS38" i="19"/>
  <c r="BT38" i="19"/>
  <c r="BU38" i="19"/>
  <c r="BV38" i="19"/>
  <c r="BW38" i="19"/>
  <c r="BO23" i="19"/>
  <c r="BP23" i="19"/>
  <c r="BQ23" i="19"/>
  <c r="BR23" i="19"/>
  <c r="BS23" i="19"/>
  <c r="BT23" i="19"/>
  <c r="BU23" i="19"/>
  <c r="BV23" i="19"/>
  <c r="BW23" i="19"/>
  <c r="BO5" i="19"/>
  <c r="BP5" i="19"/>
  <c r="BQ5" i="19"/>
  <c r="BR5" i="19"/>
  <c r="BS5" i="19"/>
  <c r="BT5" i="19"/>
  <c r="BU5" i="19"/>
  <c r="BV5" i="19"/>
  <c r="BW5" i="19"/>
  <c r="BN52" i="19"/>
  <c r="BN38" i="19"/>
  <c r="BN23" i="19"/>
  <c r="BN5" i="19"/>
  <c r="BM52" i="19"/>
  <c r="BM38" i="19"/>
  <c r="BM23" i="19"/>
  <c r="BM5" i="19"/>
  <c r="BL52" i="19"/>
  <c r="BL38" i="19"/>
  <c r="BL23" i="19"/>
  <c r="BL5" i="19"/>
  <c r="BI52" i="19"/>
  <c r="BI38" i="19"/>
  <c r="BI23" i="19"/>
  <c r="BI5" i="19"/>
  <c r="CQ5" i="19"/>
  <c r="CR5" i="19"/>
  <c r="CS5" i="19"/>
  <c r="F65" i="31"/>
  <c r="D65" i="31"/>
  <c r="B65" i="31"/>
  <c r="F64" i="31"/>
  <c r="D64" i="31"/>
  <c r="B64" i="31"/>
  <c r="F63" i="31"/>
  <c r="D63" i="31"/>
  <c r="B63" i="31"/>
  <c r="F62" i="31"/>
  <c r="D62" i="31"/>
  <c r="B62" i="31"/>
  <c r="F61" i="31"/>
  <c r="D61" i="31"/>
  <c r="B61" i="31"/>
  <c r="F60" i="31"/>
  <c r="D60" i="31"/>
  <c r="B60" i="31"/>
  <c r="F59" i="31"/>
  <c r="D59" i="31"/>
  <c r="B59" i="31"/>
  <c r="F58" i="31"/>
  <c r="D58" i="31"/>
  <c r="B58" i="31"/>
  <c r="F57" i="31"/>
  <c r="D57" i="31"/>
  <c r="B57" i="31"/>
  <c r="F56" i="31"/>
  <c r="D56" i="31"/>
  <c r="B56" i="31"/>
  <c r="F53" i="31"/>
  <c r="D53" i="31"/>
  <c r="B53" i="31"/>
  <c r="F52" i="31"/>
  <c r="D52" i="31"/>
  <c r="B52" i="31"/>
  <c r="F51" i="31"/>
  <c r="D51" i="31"/>
  <c r="B51" i="31"/>
  <c r="F50" i="31"/>
  <c r="D50" i="31"/>
  <c r="B50" i="31"/>
  <c r="F49" i="31"/>
  <c r="D49" i="31"/>
  <c r="B49" i="31"/>
  <c r="F48" i="31"/>
  <c r="D48" i="31"/>
  <c r="B48" i="31"/>
  <c r="F47" i="31"/>
  <c r="D47" i="31"/>
  <c r="B47" i="31"/>
  <c r="F46" i="31"/>
  <c r="D46" i="31"/>
  <c r="B46" i="31"/>
  <c r="F45" i="31"/>
  <c r="D45" i="31"/>
  <c r="B45" i="31"/>
  <c r="F44" i="31"/>
  <c r="D44" i="31"/>
  <c r="B44" i="31"/>
  <c r="F43" i="31"/>
  <c r="D43" i="31"/>
  <c r="B43" i="31"/>
  <c r="F42" i="31"/>
  <c r="D42" i="31"/>
  <c r="B42" i="31"/>
  <c r="F39" i="31"/>
  <c r="D39" i="31"/>
  <c r="B39" i="31"/>
  <c r="F38" i="31"/>
  <c r="D38" i="31"/>
  <c r="B38" i="31"/>
  <c r="F37" i="31"/>
  <c r="D37" i="31"/>
  <c r="B37" i="31"/>
  <c r="F36" i="31"/>
  <c r="D36" i="31"/>
  <c r="B36" i="31"/>
  <c r="F35" i="31"/>
  <c r="D35" i="31"/>
  <c r="B35" i="31"/>
  <c r="F34" i="31"/>
  <c r="D34" i="31"/>
  <c r="B34" i="31"/>
  <c r="F33" i="31"/>
  <c r="D33" i="31"/>
  <c r="B33" i="31"/>
  <c r="F32" i="31"/>
  <c r="D32" i="31"/>
  <c r="B32" i="31"/>
  <c r="F31" i="31"/>
  <c r="D31" i="31"/>
  <c r="B31" i="31"/>
  <c r="F30" i="31"/>
  <c r="D30" i="31"/>
  <c r="B30" i="31"/>
  <c r="F29" i="31"/>
  <c r="D29" i="31"/>
  <c r="B29" i="31"/>
  <c r="F28" i="31"/>
  <c r="D28" i="31"/>
  <c r="B28" i="31"/>
  <c r="F27" i="31"/>
  <c r="D27" i="31"/>
  <c r="B27" i="31"/>
  <c r="F24" i="31"/>
  <c r="D24" i="31"/>
  <c r="B24" i="31"/>
  <c r="F23" i="31"/>
  <c r="D23" i="31"/>
  <c r="B23" i="31"/>
  <c r="F22" i="31"/>
  <c r="D22" i="31"/>
  <c r="B22" i="31"/>
  <c r="F21" i="31"/>
  <c r="D21" i="31"/>
  <c r="B21" i="31"/>
  <c r="F20" i="31"/>
  <c r="D20" i="31"/>
  <c r="B20" i="31"/>
  <c r="F19" i="31"/>
  <c r="D19" i="31"/>
  <c r="B19" i="31"/>
  <c r="F18" i="31"/>
  <c r="D18" i="31"/>
  <c r="B18" i="31"/>
  <c r="F17" i="31"/>
  <c r="D17" i="31"/>
  <c r="B17" i="31"/>
  <c r="F16" i="31"/>
  <c r="D16" i="31"/>
  <c r="B16" i="31"/>
  <c r="F15" i="31"/>
  <c r="D15" i="31"/>
  <c r="B15" i="31"/>
  <c r="F14" i="31"/>
  <c r="D14" i="31"/>
  <c r="B14" i="31"/>
  <c r="F13" i="31"/>
  <c r="D13" i="31"/>
  <c r="B13" i="31"/>
  <c r="F12" i="31"/>
  <c r="D12" i="31"/>
  <c r="B12" i="31"/>
  <c r="F11" i="31"/>
  <c r="D11" i="31"/>
  <c r="B11" i="31"/>
  <c r="F10" i="31"/>
  <c r="D10" i="31"/>
  <c r="B10" i="31"/>
  <c r="F9" i="31"/>
  <c r="D9" i="31"/>
  <c r="B9" i="31"/>
  <c r="BP4" i="19" l="1"/>
  <c r="BL4" i="19"/>
  <c r="BI4" i="19"/>
  <c r="BO4" i="19"/>
  <c r="BV4" i="19"/>
  <c r="BS4" i="19"/>
  <c r="BR4" i="19"/>
  <c r="BQ4" i="19"/>
  <c r="BW4" i="19"/>
  <c r="BU4" i="19"/>
  <c r="BT4" i="19"/>
  <c r="BM4" i="19"/>
  <c r="BN4" i="19"/>
  <c r="CQ4" i="19"/>
  <c r="CS4" i="19"/>
  <c r="CR4" i="19"/>
  <c r="CP5" i="19" l="1"/>
  <c r="ABN6" i="9"/>
  <c r="ABN24" i="9"/>
  <c r="ABN39" i="9"/>
  <c r="ABN53" i="9"/>
  <c r="YQ53" i="9"/>
  <c r="YQ39" i="9"/>
  <c r="YQ24" i="9"/>
  <c r="YQ6" i="9"/>
  <c r="CO52" i="19"/>
  <c r="CN52" i="19"/>
  <c r="CM52" i="19"/>
  <c r="CL52" i="19"/>
  <c r="CK52" i="19"/>
  <c r="CJ52" i="19"/>
  <c r="CI52" i="19"/>
  <c r="CH52" i="19"/>
  <c r="CG52" i="19"/>
  <c r="CF52" i="19"/>
  <c r="CE52" i="19"/>
  <c r="CD52" i="19"/>
  <c r="CC52" i="19"/>
  <c r="CA52" i="19"/>
  <c r="BH52" i="19"/>
  <c r="BG52" i="19"/>
  <c r="BF52" i="19"/>
  <c r="BE52" i="19"/>
  <c r="BD52" i="19"/>
  <c r="BC52" i="19"/>
  <c r="BB52" i="19"/>
  <c r="BA52" i="19"/>
  <c r="AZ52" i="19"/>
  <c r="AB54" i="31" s="1"/>
  <c r="AY52" i="19"/>
  <c r="AX52" i="19"/>
  <c r="AV52" i="19"/>
  <c r="AU52" i="19"/>
  <c r="AT52" i="19"/>
  <c r="AS52" i="19"/>
  <c r="AQ52" i="19"/>
  <c r="AP52" i="19"/>
  <c r="AO52" i="19"/>
  <c r="AN52" i="19"/>
  <c r="AM52" i="19"/>
  <c r="AK52" i="19"/>
  <c r="AJ52" i="19"/>
  <c r="AI52" i="19"/>
  <c r="AG52" i="19"/>
  <c r="AF52" i="19"/>
  <c r="AE52" i="19"/>
  <c r="AD52" i="19"/>
  <c r="AC52" i="19"/>
  <c r="AB52" i="19"/>
  <c r="AA52" i="19"/>
  <c r="Y52" i="19"/>
  <c r="X52" i="19"/>
  <c r="V52" i="19"/>
  <c r="U52" i="19"/>
  <c r="S52" i="19"/>
  <c r="R52" i="19"/>
  <c r="Q52" i="19"/>
  <c r="O52" i="19"/>
  <c r="N52" i="19"/>
  <c r="L52" i="19"/>
  <c r="K52" i="19"/>
  <c r="I52" i="19"/>
  <c r="H52" i="19"/>
  <c r="G52" i="19"/>
  <c r="F52" i="19"/>
  <c r="E52" i="19"/>
  <c r="D52" i="19"/>
  <c r="C52" i="19"/>
  <c r="B52" i="19"/>
  <c r="CO38" i="19"/>
  <c r="CN38" i="19"/>
  <c r="CM38" i="19"/>
  <c r="CL38" i="19"/>
  <c r="CK38" i="19"/>
  <c r="CJ38" i="19"/>
  <c r="CI38" i="19"/>
  <c r="CH38" i="19"/>
  <c r="CG38" i="19"/>
  <c r="CF38" i="19"/>
  <c r="CE38" i="19"/>
  <c r="CD38" i="19"/>
  <c r="CC38" i="19"/>
  <c r="CA38" i="19"/>
  <c r="BH38" i="19"/>
  <c r="BG38" i="19"/>
  <c r="BF38" i="19"/>
  <c r="BE38" i="19"/>
  <c r="BD38" i="19"/>
  <c r="BC38" i="19"/>
  <c r="BB38" i="19"/>
  <c r="BA38" i="19"/>
  <c r="AZ38" i="19"/>
  <c r="AB40" i="31" s="1"/>
  <c r="AY38" i="19"/>
  <c r="AX38" i="19"/>
  <c r="AV38" i="19"/>
  <c r="AU38" i="19"/>
  <c r="AT38" i="19"/>
  <c r="AS38" i="19"/>
  <c r="AQ38" i="19"/>
  <c r="AP38" i="19"/>
  <c r="AO38" i="19"/>
  <c r="AN38" i="19"/>
  <c r="AM38" i="19"/>
  <c r="AK38" i="19"/>
  <c r="AJ38" i="19"/>
  <c r="AI38" i="19"/>
  <c r="AG38" i="19"/>
  <c r="AF38" i="19"/>
  <c r="AE38" i="19"/>
  <c r="AD38" i="19"/>
  <c r="AC38" i="19"/>
  <c r="AB38" i="19"/>
  <c r="AA38" i="19"/>
  <c r="Y38" i="19"/>
  <c r="X38" i="19"/>
  <c r="V38" i="19"/>
  <c r="U38" i="19"/>
  <c r="S38" i="19"/>
  <c r="R38" i="19"/>
  <c r="Q38" i="19"/>
  <c r="O38" i="19"/>
  <c r="N38" i="19"/>
  <c r="L38" i="19"/>
  <c r="K38" i="19"/>
  <c r="I38" i="19"/>
  <c r="H38" i="19"/>
  <c r="G38" i="19"/>
  <c r="F38" i="19"/>
  <c r="E38" i="19"/>
  <c r="D38" i="19"/>
  <c r="C38" i="19"/>
  <c r="B38" i="19"/>
  <c r="CO23" i="19"/>
  <c r="CN23" i="19"/>
  <c r="CM23" i="19"/>
  <c r="CL23" i="19"/>
  <c r="CK23" i="19"/>
  <c r="CJ23" i="19"/>
  <c r="CI23" i="19"/>
  <c r="CH23" i="19"/>
  <c r="CG23" i="19"/>
  <c r="CF23" i="19"/>
  <c r="CE23" i="19"/>
  <c r="CD23" i="19"/>
  <c r="CC23" i="19"/>
  <c r="CA23" i="19"/>
  <c r="BH23" i="19"/>
  <c r="BG23" i="19"/>
  <c r="BF23" i="19"/>
  <c r="BE23" i="19"/>
  <c r="BD23" i="19"/>
  <c r="BC23" i="19"/>
  <c r="BB23" i="19"/>
  <c r="BA23" i="19"/>
  <c r="AZ23" i="19"/>
  <c r="AB25" i="31" s="1"/>
  <c r="AY23" i="19"/>
  <c r="AX23" i="19"/>
  <c r="AV23" i="19"/>
  <c r="AU23" i="19"/>
  <c r="AT23" i="19"/>
  <c r="AS23" i="19"/>
  <c r="AQ23" i="19"/>
  <c r="AP23" i="19"/>
  <c r="AO23" i="19"/>
  <c r="AN23" i="19"/>
  <c r="AM23" i="19"/>
  <c r="AK23" i="19"/>
  <c r="AJ23" i="19"/>
  <c r="AI23" i="19"/>
  <c r="AG23" i="19"/>
  <c r="AF23" i="19"/>
  <c r="AE23" i="19"/>
  <c r="AD23" i="19"/>
  <c r="AC23" i="19"/>
  <c r="AB23" i="19"/>
  <c r="AA23" i="19"/>
  <c r="Y23" i="19"/>
  <c r="X23" i="19"/>
  <c r="V23" i="19"/>
  <c r="U23" i="19"/>
  <c r="S23" i="19"/>
  <c r="R23" i="19"/>
  <c r="Q23" i="19"/>
  <c r="O23" i="19"/>
  <c r="N23" i="19"/>
  <c r="L23" i="19"/>
  <c r="K23" i="19"/>
  <c r="I23" i="19"/>
  <c r="H23" i="19"/>
  <c r="G23" i="19"/>
  <c r="F23" i="19"/>
  <c r="E23" i="19"/>
  <c r="D23" i="19"/>
  <c r="C23" i="19"/>
  <c r="B23" i="19"/>
  <c r="CO5" i="19"/>
  <c r="CN5" i="19"/>
  <c r="CM5" i="19"/>
  <c r="CL5" i="19"/>
  <c r="CK5" i="19"/>
  <c r="CJ5" i="19"/>
  <c r="CI5" i="19"/>
  <c r="CH5" i="19"/>
  <c r="CG5" i="19"/>
  <c r="CF5" i="19"/>
  <c r="CE5" i="19"/>
  <c r="CD5" i="19"/>
  <c r="CC5" i="19"/>
  <c r="CB5" i="19"/>
  <c r="CB4" i="19" s="1"/>
  <c r="CA5" i="19"/>
  <c r="BH5" i="19"/>
  <c r="BG5" i="19"/>
  <c r="BF5" i="19"/>
  <c r="BE5" i="19"/>
  <c r="BD5" i="19"/>
  <c r="BC5" i="19"/>
  <c r="BB5" i="19"/>
  <c r="BA5" i="19"/>
  <c r="AZ5" i="19"/>
  <c r="AY5" i="19"/>
  <c r="AX5" i="19"/>
  <c r="AV5" i="19"/>
  <c r="AU5" i="19"/>
  <c r="AT5" i="19"/>
  <c r="AS5" i="19"/>
  <c r="AQ5" i="19"/>
  <c r="AP5" i="19"/>
  <c r="AO5" i="19"/>
  <c r="AN5" i="19"/>
  <c r="AM5" i="19"/>
  <c r="AK5" i="19"/>
  <c r="AJ5" i="19"/>
  <c r="AI5" i="19"/>
  <c r="AG5" i="19"/>
  <c r="AF5" i="19"/>
  <c r="AE5" i="19"/>
  <c r="AD5" i="19"/>
  <c r="AC5" i="19"/>
  <c r="AB5" i="19"/>
  <c r="AA5" i="19"/>
  <c r="Y5" i="19"/>
  <c r="X5" i="19"/>
  <c r="V5" i="19"/>
  <c r="U5" i="19"/>
  <c r="S5" i="19"/>
  <c r="R5" i="19"/>
  <c r="Q5" i="19"/>
  <c r="O5" i="19"/>
  <c r="N5" i="19"/>
  <c r="L5" i="19"/>
  <c r="K5" i="19"/>
  <c r="I5" i="19"/>
  <c r="H5" i="19"/>
  <c r="G5" i="19"/>
  <c r="F5" i="19"/>
  <c r="E5" i="19"/>
  <c r="D5" i="19"/>
  <c r="C5" i="19"/>
  <c r="B5" i="19"/>
  <c r="U4" i="19" l="1"/>
  <c r="AO4" i="19"/>
  <c r="O4" i="19"/>
  <c r="AA4" i="19"/>
  <c r="H4" i="19"/>
  <c r="AN4" i="19"/>
  <c r="BF4" i="19"/>
  <c r="CN4" i="19"/>
  <c r="D4" i="19"/>
  <c r="N4" i="19"/>
  <c r="Y4" i="19"/>
  <c r="V4" i="19"/>
  <c r="BH4" i="19"/>
  <c r="L4" i="19"/>
  <c r="Q4" i="19"/>
  <c r="AB4" i="19"/>
  <c r="AK4" i="19"/>
  <c r="BD4" i="19"/>
  <c r="BA4" i="19"/>
  <c r="CK4" i="19"/>
  <c r="R4" i="19"/>
  <c r="AM4" i="19"/>
  <c r="Z25" i="31"/>
  <c r="AL25" i="31"/>
  <c r="AD25" i="31"/>
  <c r="AP25" i="31"/>
  <c r="Z40" i="31"/>
  <c r="AL40" i="31"/>
  <c r="AD40" i="31"/>
  <c r="AP40" i="31"/>
  <c r="Z54" i="31"/>
  <c r="AL54" i="31"/>
  <c r="AD54" i="31"/>
  <c r="AP54" i="31"/>
  <c r="R25" i="31"/>
  <c r="N40" i="31"/>
  <c r="R40" i="31"/>
  <c r="N54" i="31"/>
  <c r="R54" i="31"/>
  <c r="N25" i="31"/>
  <c r="P25" i="31"/>
  <c r="P40" i="31"/>
  <c r="P54" i="31"/>
  <c r="AS4" i="19"/>
  <c r="AI4" i="19"/>
  <c r="ABN5" i="9"/>
  <c r="S4" i="19"/>
  <c r="BG4" i="19"/>
  <c r="AE4" i="19"/>
  <c r="CJ4" i="19"/>
  <c r="X4" i="19"/>
  <c r="CH4" i="19"/>
  <c r="CG4" i="19"/>
  <c r="AY4" i="19"/>
  <c r="AP4" i="19"/>
  <c r="F4" i="19"/>
  <c r="AC4" i="19"/>
  <c r="AX4" i="19"/>
  <c r="AQ4" i="19"/>
  <c r="AV4" i="19"/>
  <c r="CC4" i="19"/>
  <c r="CD4" i="19"/>
  <c r="I4" i="19"/>
  <c r="AU4" i="19"/>
  <c r="G4" i="19"/>
  <c r="AD4" i="19"/>
  <c r="AF4" i="19"/>
  <c r="CF4" i="19"/>
  <c r="K4" i="19"/>
  <c r="CI4" i="19"/>
  <c r="BB4" i="19"/>
  <c r="AJ4" i="19"/>
  <c r="CA4" i="19"/>
  <c r="AG4" i="19"/>
  <c r="BE4" i="19"/>
  <c r="E4" i="19"/>
  <c r="CE4" i="19"/>
  <c r="CL4" i="19"/>
  <c r="AT4" i="19"/>
  <c r="CM4" i="19"/>
  <c r="AZ4" i="19"/>
  <c r="BC4" i="19"/>
  <c r="CO4" i="19"/>
  <c r="CP4" i="19"/>
  <c r="YQ5" i="9"/>
  <c r="YP53" i="9"/>
  <c r="YO53" i="9"/>
  <c r="YN53" i="9"/>
  <c r="YM53" i="9"/>
  <c r="YL53" i="9"/>
  <c r="YK53" i="9"/>
  <c r="YJ53" i="9"/>
  <c r="YI53" i="9"/>
  <c r="YH53" i="9"/>
  <c r="YG53" i="9"/>
  <c r="XX53" i="9"/>
  <c r="XW53" i="9"/>
  <c r="XU53" i="9"/>
  <c r="XT53" i="9"/>
  <c r="XR53" i="9"/>
  <c r="XQ53" i="9"/>
  <c r="XO53" i="9"/>
  <c r="XN53" i="9"/>
  <c r="XL53" i="9"/>
  <c r="XK53" i="9"/>
  <c r="XJ53" i="9"/>
  <c r="XI53" i="9"/>
  <c r="XH53" i="9"/>
  <c r="XG53" i="9"/>
  <c r="XF53" i="9"/>
  <c r="WV53" i="9"/>
  <c r="WU53" i="9"/>
  <c r="WS53" i="9"/>
  <c r="WR53" i="9"/>
  <c r="WO53" i="9"/>
  <c r="WN53" i="9"/>
  <c r="WM53" i="9"/>
  <c r="WL53" i="9"/>
  <c r="YP39" i="9"/>
  <c r="YO39" i="9"/>
  <c r="YN39" i="9"/>
  <c r="YM39" i="9"/>
  <c r="YL39" i="9"/>
  <c r="YK39" i="9"/>
  <c r="YJ39" i="9"/>
  <c r="YI39" i="9"/>
  <c r="YH39" i="9"/>
  <c r="YG39" i="9"/>
  <c r="XX39" i="9"/>
  <c r="XW39" i="9"/>
  <c r="XU39" i="9"/>
  <c r="XT39" i="9"/>
  <c r="XR39" i="9"/>
  <c r="XQ39" i="9"/>
  <c r="XO39" i="9"/>
  <c r="XN39" i="9"/>
  <c r="XL39" i="9"/>
  <c r="XK39" i="9"/>
  <c r="XJ39" i="9"/>
  <c r="XI39" i="9"/>
  <c r="XH39" i="9"/>
  <c r="XG39" i="9"/>
  <c r="XF39" i="9"/>
  <c r="WV39" i="9"/>
  <c r="WU39" i="9"/>
  <c r="WS39" i="9"/>
  <c r="WR39" i="9"/>
  <c r="WO39" i="9"/>
  <c r="WN39" i="9"/>
  <c r="WM39" i="9"/>
  <c r="WL39" i="9"/>
  <c r="YP24" i="9"/>
  <c r="YO24" i="9"/>
  <c r="YN24" i="9"/>
  <c r="YM24" i="9"/>
  <c r="YL24" i="9"/>
  <c r="YK24" i="9"/>
  <c r="YJ24" i="9"/>
  <c r="YI24" i="9"/>
  <c r="YH24" i="9"/>
  <c r="YG24" i="9"/>
  <c r="XX24" i="9"/>
  <c r="XW24" i="9"/>
  <c r="XU24" i="9"/>
  <c r="XT24" i="9"/>
  <c r="XR24" i="9"/>
  <c r="XQ24" i="9"/>
  <c r="XO24" i="9"/>
  <c r="XN24" i="9"/>
  <c r="XL24" i="9"/>
  <c r="XK24" i="9"/>
  <c r="XJ24" i="9"/>
  <c r="XI24" i="9"/>
  <c r="XH24" i="9"/>
  <c r="XG24" i="9"/>
  <c r="XF24" i="9"/>
  <c r="WV24" i="9"/>
  <c r="WU24" i="9"/>
  <c r="WS24" i="9"/>
  <c r="WR24" i="9"/>
  <c r="WO24" i="9"/>
  <c r="WN24" i="9"/>
  <c r="WM24" i="9"/>
  <c r="WL24" i="9"/>
  <c r="YP6" i="9"/>
  <c r="YO6" i="9"/>
  <c r="YN6" i="9"/>
  <c r="YM6" i="9"/>
  <c r="YL6" i="9"/>
  <c r="YK6" i="9"/>
  <c r="YJ6" i="9"/>
  <c r="YI6" i="9"/>
  <c r="YH6" i="9"/>
  <c r="YG6" i="9"/>
  <c r="YF6" i="9"/>
  <c r="YE6" i="9"/>
  <c r="YD6" i="9"/>
  <c r="YC6" i="9"/>
  <c r="YB6" i="9"/>
  <c r="XX6" i="9"/>
  <c r="XW6" i="9"/>
  <c r="XU6" i="9"/>
  <c r="XT6" i="9"/>
  <c r="XR6" i="9"/>
  <c r="XQ6" i="9"/>
  <c r="XO6" i="9"/>
  <c r="XN6" i="9"/>
  <c r="XL6" i="9"/>
  <c r="XK6" i="9"/>
  <c r="XJ6" i="9"/>
  <c r="XI6" i="9"/>
  <c r="XH6" i="9"/>
  <c r="XG6" i="9"/>
  <c r="XF6" i="9"/>
  <c r="WV6" i="9"/>
  <c r="WU6" i="9"/>
  <c r="WS6" i="9"/>
  <c r="WR6" i="9"/>
  <c r="WO6" i="9"/>
  <c r="WN6" i="9"/>
  <c r="WM6" i="9"/>
  <c r="WL6" i="9"/>
  <c r="WF53" i="9"/>
  <c r="WE53" i="9"/>
  <c r="WD53" i="9"/>
  <c r="VW53" i="9"/>
  <c r="VV53" i="9"/>
  <c r="VT53" i="9"/>
  <c r="VS53" i="9"/>
  <c r="VQ53" i="9"/>
  <c r="VP53" i="9"/>
  <c r="VO53" i="9"/>
  <c r="VN53" i="9"/>
  <c r="VJ53" i="9"/>
  <c r="WF39" i="9"/>
  <c r="WE39" i="9"/>
  <c r="WD39" i="9"/>
  <c r="VW39" i="9"/>
  <c r="VV39" i="9"/>
  <c r="VT39" i="9"/>
  <c r="VS39" i="9"/>
  <c r="VQ39" i="9"/>
  <c r="VP39" i="9"/>
  <c r="VO39" i="9"/>
  <c r="VN39" i="9"/>
  <c r="VJ39" i="9"/>
  <c r="WF24" i="9"/>
  <c r="WE24" i="9"/>
  <c r="WD24" i="9"/>
  <c r="VW24" i="9"/>
  <c r="VV24" i="9"/>
  <c r="VT24" i="9"/>
  <c r="VS24" i="9"/>
  <c r="VQ24" i="9"/>
  <c r="VP24" i="9"/>
  <c r="VO24" i="9"/>
  <c r="VN24" i="9"/>
  <c r="VJ24" i="9"/>
  <c r="WF6" i="9"/>
  <c r="WE6" i="9"/>
  <c r="WD6" i="9"/>
  <c r="VW6" i="9"/>
  <c r="VV6" i="9"/>
  <c r="VT6" i="9"/>
  <c r="VS6" i="9"/>
  <c r="VQ6" i="9"/>
  <c r="VP6" i="9"/>
  <c r="VO6" i="9"/>
  <c r="VN6" i="9"/>
  <c r="VJ6" i="9"/>
  <c r="VI53" i="9"/>
  <c r="VH53" i="9"/>
  <c r="VF53" i="9"/>
  <c r="VE53" i="9"/>
  <c r="VC53" i="9"/>
  <c r="VB53" i="9"/>
  <c r="UX53" i="9"/>
  <c r="VI39" i="9"/>
  <c r="VH39" i="9"/>
  <c r="VF39" i="9"/>
  <c r="VE39" i="9"/>
  <c r="VC39" i="9"/>
  <c r="VB39" i="9"/>
  <c r="UX39" i="9"/>
  <c r="VI24" i="9"/>
  <c r="VH24" i="9"/>
  <c r="VF24" i="9"/>
  <c r="VE24" i="9"/>
  <c r="VC24" i="9"/>
  <c r="VB24" i="9"/>
  <c r="UX24" i="9"/>
  <c r="VH6" i="9"/>
  <c r="VI6" i="9"/>
  <c r="VF6" i="9"/>
  <c r="VE6" i="9"/>
  <c r="VC6" i="9"/>
  <c r="VB6" i="9"/>
  <c r="UX6" i="9"/>
  <c r="UW53" i="9"/>
  <c r="UV53" i="9"/>
  <c r="UT53" i="9"/>
  <c r="US53" i="9"/>
  <c r="UW39" i="9"/>
  <c r="UV39" i="9"/>
  <c r="UT39" i="9"/>
  <c r="US39" i="9"/>
  <c r="UW24" i="9"/>
  <c r="UV24" i="9"/>
  <c r="UT24" i="9"/>
  <c r="US24" i="9"/>
  <c r="UW6" i="9"/>
  <c r="UV6" i="9"/>
  <c r="UT6" i="9"/>
  <c r="US6" i="9"/>
  <c r="ABH53" i="9"/>
  <c r="ABG53" i="9"/>
  <c r="ABF53" i="9"/>
  <c r="ABE53" i="9"/>
  <c r="ABD53" i="9"/>
  <c r="CG54" i="31" s="1"/>
  <c r="CE54" i="31"/>
  <c r="CC54" i="31"/>
  <c r="ABH39" i="9"/>
  <c r="ABG39" i="9"/>
  <c r="ABF39" i="9"/>
  <c r="ABE39" i="9"/>
  <c r="ABD39" i="9"/>
  <c r="CG40" i="31" s="1"/>
  <c r="CE40" i="31"/>
  <c r="CC40" i="31"/>
  <c r="ABH24" i="9"/>
  <c r="ABG24" i="9"/>
  <c r="ABF24" i="9"/>
  <c r="ABE24" i="9"/>
  <c r="ABD24" i="9"/>
  <c r="CG25" i="31" s="1"/>
  <c r="CE25" i="31"/>
  <c r="CC25" i="31"/>
  <c r="ABH6" i="9"/>
  <c r="ABG6" i="9"/>
  <c r="ABF6" i="9"/>
  <c r="ABE6" i="9"/>
  <c r="ABD6" i="9"/>
  <c r="CG7" i="31" s="1"/>
  <c r="CE7" i="31"/>
  <c r="CC7" i="31"/>
  <c r="SD53" i="9"/>
  <c r="SC53" i="9"/>
  <c r="SB53" i="9"/>
  <c r="SA53" i="9"/>
  <c r="RZ53" i="9"/>
  <c r="RY53" i="9"/>
  <c r="RX53" i="9"/>
  <c r="RW53" i="9"/>
  <c r="RV53" i="9"/>
  <c r="RU53" i="9"/>
  <c r="MJ53" i="9"/>
  <c r="MI53" i="9"/>
  <c r="MH53" i="9"/>
  <c r="MG53" i="9"/>
  <c r="MF53" i="9"/>
  <c r="ME53" i="9"/>
  <c r="MD53" i="9"/>
  <c r="MC53" i="9"/>
  <c r="MB53" i="9"/>
  <c r="MA53" i="9"/>
  <c r="SD39" i="9"/>
  <c r="SC39" i="9"/>
  <c r="SB39" i="9"/>
  <c r="SA39" i="9"/>
  <c r="RZ39" i="9"/>
  <c r="RY39" i="9"/>
  <c r="RX39" i="9"/>
  <c r="RW39" i="9"/>
  <c r="RV39" i="9"/>
  <c r="RU39" i="9"/>
  <c r="MJ39" i="9"/>
  <c r="MI39" i="9"/>
  <c r="MH39" i="9"/>
  <c r="MG39" i="9"/>
  <c r="MF39" i="9"/>
  <c r="ME39" i="9"/>
  <c r="MD39" i="9"/>
  <c r="MC39" i="9"/>
  <c r="MB39" i="9"/>
  <c r="SD24" i="9"/>
  <c r="SC24" i="9"/>
  <c r="SB24" i="9"/>
  <c r="SA24" i="9"/>
  <c r="RZ24" i="9"/>
  <c r="RY24" i="9"/>
  <c r="RX24" i="9"/>
  <c r="RW24" i="9"/>
  <c r="RV24" i="9"/>
  <c r="RU24" i="9"/>
  <c r="MJ24" i="9"/>
  <c r="MI24" i="9"/>
  <c r="MH24" i="9"/>
  <c r="MG24" i="9"/>
  <c r="MF24" i="9"/>
  <c r="ME24" i="9"/>
  <c r="MD24" i="9"/>
  <c r="MC24" i="9"/>
  <c r="MB24" i="9"/>
  <c r="MA24" i="9"/>
  <c r="SD6" i="9"/>
  <c r="SC6" i="9"/>
  <c r="SB6" i="9"/>
  <c r="SA6" i="9"/>
  <c r="RZ6" i="9"/>
  <c r="RY6" i="9"/>
  <c r="RX6" i="9"/>
  <c r="RW6" i="9"/>
  <c r="RV6" i="9"/>
  <c r="RU6" i="9"/>
  <c r="MJ6" i="9"/>
  <c r="MI6" i="9"/>
  <c r="MH6" i="9"/>
  <c r="MG6" i="9"/>
  <c r="MF6" i="9"/>
  <c r="ME6" i="9"/>
  <c r="MD6" i="9"/>
  <c r="MC6" i="9"/>
  <c r="MB6" i="9"/>
  <c r="MA6" i="9"/>
  <c r="JM53" i="9"/>
  <c r="JL53" i="9"/>
  <c r="JK53" i="9"/>
  <c r="JJ53" i="9"/>
  <c r="JI53" i="9"/>
  <c r="JH53" i="9"/>
  <c r="JG53" i="9"/>
  <c r="JF53" i="9"/>
  <c r="JE53" i="9"/>
  <c r="JM39" i="9"/>
  <c r="JL39" i="9"/>
  <c r="JK39" i="9"/>
  <c r="JJ39" i="9"/>
  <c r="JI39" i="9"/>
  <c r="JH39" i="9"/>
  <c r="JG39" i="9"/>
  <c r="JF39" i="9"/>
  <c r="JE39" i="9"/>
  <c r="JM24" i="9"/>
  <c r="JL24" i="9"/>
  <c r="JK24" i="9"/>
  <c r="JJ24" i="9"/>
  <c r="JI24" i="9"/>
  <c r="JH24" i="9"/>
  <c r="JG24" i="9"/>
  <c r="JF24" i="9"/>
  <c r="JE24" i="9"/>
  <c r="JM6" i="9"/>
  <c r="JL6" i="9"/>
  <c r="JK6" i="9"/>
  <c r="JJ6" i="9"/>
  <c r="JI6" i="9"/>
  <c r="JH6" i="9"/>
  <c r="JG6" i="9"/>
  <c r="JF6" i="9"/>
  <c r="JE6" i="9"/>
  <c r="JD6" i="9"/>
  <c r="CA7" i="31" s="1"/>
  <c r="GK6" i="9"/>
  <c r="GJ6" i="9"/>
  <c r="GI6" i="9"/>
  <c r="GH6" i="9"/>
  <c r="GG6" i="9"/>
  <c r="GF6" i="9"/>
  <c r="GE6" i="9"/>
  <c r="GD6" i="9"/>
  <c r="GC6" i="9"/>
  <c r="GB6" i="9"/>
  <c r="GA6" i="9"/>
  <c r="FZ6" i="9"/>
  <c r="FY6" i="9"/>
  <c r="FX6" i="9"/>
  <c r="FW6" i="9"/>
  <c r="F54" i="31"/>
  <c r="D54" i="31"/>
  <c r="B54" i="31"/>
  <c r="F40" i="31"/>
  <c r="D40" i="31"/>
  <c r="B40" i="31"/>
  <c r="F25" i="31"/>
  <c r="D25" i="31"/>
  <c r="B25" i="31"/>
  <c r="FV6" i="9"/>
  <c r="FU6" i="9"/>
  <c r="AP7" i="31" s="1"/>
  <c r="FT6" i="9"/>
  <c r="FS6" i="9"/>
  <c r="AL7" i="31" s="1"/>
  <c r="FR6" i="9"/>
  <c r="FQ6" i="9"/>
  <c r="FP6" i="9"/>
  <c r="FO6" i="9"/>
  <c r="FN6" i="9"/>
  <c r="FM6" i="9"/>
  <c r="FL6" i="9"/>
  <c r="FK6" i="9"/>
  <c r="FJ6" i="9"/>
  <c r="FI6" i="9"/>
  <c r="FG6" i="9"/>
  <c r="FF6" i="9"/>
  <c r="FE6" i="9"/>
  <c r="FD6" i="9"/>
  <c r="CL6" i="9"/>
  <c r="CK6" i="9"/>
  <c r="CJ6" i="9"/>
  <c r="CI6" i="9"/>
  <c r="CH6" i="9"/>
  <c r="CG6" i="9"/>
  <c r="CF6" i="9"/>
  <c r="CE6" i="9"/>
  <c r="CD6" i="9"/>
  <c r="CC6" i="9"/>
  <c r="P53" i="9"/>
  <c r="O53" i="9"/>
  <c r="N53" i="9"/>
  <c r="M53" i="9"/>
  <c r="L53" i="9"/>
  <c r="P39" i="9"/>
  <c r="O39" i="9"/>
  <c r="N39" i="9"/>
  <c r="M39" i="9"/>
  <c r="L39" i="9"/>
  <c r="P24" i="9"/>
  <c r="O24" i="9"/>
  <c r="N24" i="9"/>
  <c r="M24" i="9"/>
  <c r="L24" i="9"/>
  <c r="P6" i="9"/>
  <c r="O6" i="9"/>
  <c r="N6" i="9"/>
  <c r="M6" i="9"/>
  <c r="L6" i="9"/>
  <c r="K53" i="9"/>
  <c r="J53" i="9"/>
  <c r="I53" i="9"/>
  <c r="H53" i="9"/>
  <c r="G53" i="9"/>
  <c r="K39" i="9"/>
  <c r="J39" i="9"/>
  <c r="I39" i="9"/>
  <c r="H39" i="9"/>
  <c r="G39" i="9"/>
  <c r="K24" i="9"/>
  <c r="J24" i="9"/>
  <c r="I24" i="9"/>
  <c r="H24" i="9"/>
  <c r="G24" i="9"/>
  <c r="K6" i="9"/>
  <c r="J6" i="9"/>
  <c r="I6" i="9"/>
  <c r="H6" i="9"/>
  <c r="G6" i="9"/>
  <c r="B8" i="9"/>
  <c r="C8" i="9"/>
  <c r="D8" i="9"/>
  <c r="E8" i="9"/>
  <c r="F8" i="9"/>
  <c r="UR8" i="9"/>
  <c r="UU8" i="9"/>
  <c r="UY8" i="9"/>
  <c r="UZ8" i="9"/>
  <c r="VA8" i="9"/>
  <c r="VD8" i="9"/>
  <c r="VG8" i="9"/>
  <c r="VM8" i="9"/>
  <c r="VR8" i="9"/>
  <c r="VU8" i="9"/>
  <c r="WB8" i="9"/>
  <c r="WC8" i="9"/>
  <c r="VZ8" i="9" s="1"/>
  <c r="VL8" i="9" s="1"/>
  <c r="WG8" i="9"/>
  <c r="WJ8" i="9"/>
  <c r="WK8" i="9"/>
  <c r="WP8" i="9"/>
  <c r="WQ8" i="9"/>
  <c r="WT8" i="9"/>
  <c r="WW8" i="9"/>
  <c r="XD8" i="9"/>
  <c r="XA8" i="9" s="1"/>
  <c r="XE8" i="9"/>
  <c r="XB8" i="9" s="1"/>
  <c r="WY8" i="9" s="1"/>
  <c r="WI8" i="9" s="1"/>
  <c r="XM8" i="9"/>
  <c r="XP8" i="9"/>
  <c r="XS8" i="9"/>
  <c r="XV8" i="9"/>
  <c r="XZ8" i="9"/>
  <c r="YA8" i="9"/>
  <c r="B9" i="9"/>
  <c r="C9" i="9"/>
  <c r="D9" i="9"/>
  <c r="E9" i="9"/>
  <c r="F9" i="9"/>
  <c r="UR9" i="9"/>
  <c r="UU9" i="9"/>
  <c r="UY9" i="9"/>
  <c r="UZ9" i="9"/>
  <c r="VA9" i="9"/>
  <c r="VD9" i="9"/>
  <c r="VG9" i="9"/>
  <c r="VM9" i="9"/>
  <c r="VR9" i="9"/>
  <c r="VU9" i="9"/>
  <c r="WB9" i="9"/>
  <c r="WC9" i="9"/>
  <c r="VZ9" i="9" s="1"/>
  <c r="VL9" i="9" s="1"/>
  <c r="WG9" i="9"/>
  <c r="WJ9" i="9"/>
  <c r="WK9" i="9"/>
  <c r="WP9" i="9"/>
  <c r="WQ9" i="9"/>
  <c r="WT9" i="9"/>
  <c r="WW9" i="9"/>
  <c r="XD9" i="9"/>
  <c r="XA9" i="9" s="1"/>
  <c r="XE9" i="9"/>
  <c r="XB9" i="9" s="1"/>
  <c r="WY9" i="9" s="1"/>
  <c r="WI9" i="9" s="1"/>
  <c r="XM9" i="9"/>
  <c r="XP9" i="9"/>
  <c r="XS9" i="9"/>
  <c r="XV9" i="9"/>
  <c r="XZ9" i="9"/>
  <c r="YA9" i="9"/>
  <c r="UR10" i="9"/>
  <c r="UU10" i="9"/>
  <c r="UY10" i="9"/>
  <c r="UZ10" i="9"/>
  <c r="VA10" i="9"/>
  <c r="VD10" i="9"/>
  <c r="VG10" i="9"/>
  <c r="VM10" i="9"/>
  <c r="VR10" i="9"/>
  <c r="VU10" i="9"/>
  <c r="WB10" i="9"/>
  <c r="WC10" i="9"/>
  <c r="VZ10" i="9" s="1"/>
  <c r="VL10" i="9" s="1"/>
  <c r="WG10" i="9"/>
  <c r="WJ10" i="9"/>
  <c r="WK10" i="9"/>
  <c r="WP10" i="9"/>
  <c r="WQ10" i="9"/>
  <c r="WT10" i="9"/>
  <c r="WW10" i="9"/>
  <c r="XD10" i="9"/>
  <c r="XA10" i="9" s="1"/>
  <c r="XE10" i="9"/>
  <c r="XB10" i="9" s="1"/>
  <c r="WY10" i="9" s="1"/>
  <c r="WI10" i="9" s="1"/>
  <c r="XM10" i="9"/>
  <c r="XP10" i="9"/>
  <c r="XS10" i="9"/>
  <c r="XV10" i="9"/>
  <c r="XZ10" i="9"/>
  <c r="YA10" i="9"/>
  <c r="B11" i="9"/>
  <c r="C11" i="9"/>
  <c r="D11" i="9"/>
  <c r="E11" i="9"/>
  <c r="F11" i="9"/>
  <c r="UR11" i="9"/>
  <c r="UU11" i="9"/>
  <c r="UY11" i="9"/>
  <c r="UZ11" i="9"/>
  <c r="VA11" i="9"/>
  <c r="VD11" i="9"/>
  <c r="VG11" i="9"/>
  <c r="VM11" i="9"/>
  <c r="VR11" i="9"/>
  <c r="VU11" i="9"/>
  <c r="WB11" i="9"/>
  <c r="VY11" i="9" s="1"/>
  <c r="WC11" i="9"/>
  <c r="VZ11" i="9" s="1"/>
  <c r="VL11" i="9" s="1"/>
  <c r="WG11" i="9"/>
  <c r="WJ11" i="9"/>
  <c r="WK11" i="9"/>
  <c r="WP11" i="9"/>
  <c r="WQ11" i="9"/>
  <c r="WT11" i="9"/>
  <c r="WW11" i="9"/>
  <c r="XD11" i="9"/>
  <c r="XE11" i="9"/>
  <c r="XB11" i="9" s="1"/>
  <c r="WY11" i="9" s="1"/>
  <c r="WI11" i="9" s="1"/>
  <c r="XM11" i="9"/>
  <c r="XP11" i="9"/>
  <c r="XS11" i="9"/>
  <c r="XV11" i="9"/>
  <c r="XZ11" i="9"/>
  <c r="YA11" i="9"/>
  <c r="B12" i="9"/>
  <c r="C12" i="9"/>
  <c r="D12" i="9"/>
  <c r="E12" i="9"/>
  <c r="F12" i="9"/>
  <c r="UR12" i="9"/>
  <c r="UU12" i="9"/>
  <c r="UY12" i="9"/>
  <c r="UZ12" i="9"/>
  <c r="VA12" i="9"/>
  <c r="VD12" i="9"/>
  <c r="VG12" i="9"/>
  <c r="VM12" i="9"/>
  <c r="VR12" i="9"/>
  <c r="VU12" i="9"/>
  <c r="WB12" i="9"/>
  <c r="VY12" i="9" s="1"/>
  <c r="WC12" i="9"/>
  <c r="VZ12" i="9" s="1"/>
  <c r="VL12" i="9" s="1"/>
  <c r="WG12" i="9"/>
  <c r="WJ12" i="9"/>
  <c r="WK12" i="9"/>
  <c r="WP12" i="9"/>
  <c r="WQ12" i="9"/>
  <c r="WT12" i="9"/>
  <c r="WW12" i="9"/>
  <c r="XD12" i="9"/>
  <c r="XE12" i="9"/>
  <c r="XB12" i="9" s="1"/>
  <c r="WY12" i="9" s="1"/>
  <c r="WI12" i="9" s="1"/>
  <c r="XM12" i="9"/>
  <c r="XP12" i="9"/>
  <c r="XS12" i="9"/>
  <c r="XV12" i="9"/>
  <c r="XZ12" i="9"/>
  <c r="YA12" i="9"/>
  <c r="B13" i="9"/>
  <c r="C13" i="9"/>
  <c r="D13" i="9"/>
  <c r="E13" i="9"/>
  <c r="F13" i="9"/>
  <c r="UR13" i="9"/>
  <c r="UU13" i="9"/>
  <c r="UY13" i="9"/>
  <c r="UZ13" i="9"/>
  <c r="VA13" i="9"/>
  <c r="VD13" i="9"/>
  <c r="VG13" i="9"/>
  <c r="VM13" i="9"/>
  <c r="VR13" i="9"/>
  <c r="VU13" i="9"/>
  <c r="WB13" i="9"/>
  <c r="VY13" i="9" s="1"/>
  <c r="WC13" i="9"/>
  <c r="VZ13" i="9" s="1"/>
  <c r="VL13" i="9" s="1"/>
  <c r="WG13" i="9"/>
  <c r="WJ13" i="9"/>
  <c r="WK13" i="9"/>
  <c r="WP13" i="9"/>
  <c r="WQ13" i="9"/>
  <c r="WT13" i="9"/>
  <c r="WW13" i="9"/>
  <c r="XD13" i="9"/>
  <c r="XE13" i="9"/>
  <c r="XB13" i="9" s="1"/>
  <c r="WY13" i="9" s="1"/>
  <c r="WI13" i="9" s="1"/>
  <c r="XM13" i="9"/>
  <c r="XP13" i="9"/>
  <c r="XS13" i="9"/>
  <c r="XV13" i="9"/>
  <c r="XZ13" i="9"/>
  <c r="YA13" i="9"/>
  <c r="B14" i="9"/>
  <c r="C14" i="9"/>
  <c r="D14" i="9"/>
  <c r="E14" i="9"/>
  <c r="F14" i="9"/>
  <c r="UR14" i="9"/>
  <c r="UU14" i="9"/>
  <c r="UY14" i="9"/>
  <c r="UZ14" i="9"/>
  <c r="VA14" i="9"/>
  <c r="VD14" i="9"/>
  <c r="VG14" i="9"/>
  <c r="VM14" i="9"/>
  <c r="VR14" i="9"/>
  <c r="VU14" i="9"/>
  <c r="WB14" i="9"/>
  <c r="VY14" i="9" s="1"/>
  <c r="VK14" i="9" s="1"/>
  <c r="WC14" i="9"/>
  <c r="WG14" i="9"/>
  <c r="WJ14" i="9"/>
  <c r="WK14" i="9"/>
  <c r="WP14" i="9"/>
  <c r="WQ14" i="9"/>
  <c r="WT14" i="9"/>
  <c r="WW14" i="9"/>
  <c r="XD14" i="9"/>
  <c r="XA14" i="9" s="1"/>
  <c r="XE14" i="9"/>
  <c r="XB14" i="9" s="1"/>
  <c r="WY14" i="9" s="1"/>
  <c r="WI14" i="9" s="1"/>
  <c r="XM14" i="9"/>
  <c r="XP14" i="9"/>
  <c r="XS14" i="9"/>
  <c r="XV14" i="9"/>
  <c r="XZ14" i="9"/>
  <c r="YA14" i="9"/>
  <c r="B15" i="9"/>
  <c r="C15" i="9"/>
  <c r="D15" i="9"/>
  <c r="E15" i="9"/>
  <c r="F15" i="9"/>
  <c r="UR15" i="9"/>
  <c r="UU15" i="9"/>
  <c r="UY15" i="9"/>
  <c r="UZ15" i="9"/>
  <c r="VA15" i="9"/>
  <c r="VD15" i="9"/>
  <c r="VG15" i="9"/>
  <c r="VM15" i="9"/>
  <c r="VR15" i="9"/>
  <c r="VU15" i="9"/>
  <c r="WB15" i="9"/>
  <c r="VY15" i="9" s="1"/>
  <c r="VK15" i="9" s="1"/>
  <c r="WC15" i="9"/>
  <c r="WG15" i="9"/>
  <c r="WJ15" i="9"/>
  <c r="WK15" i="9"/>
  <c r="WP15" i="9"/>
  <c r="WQ15" i="9"/>
  <c r="WT15" i="9"/>
  <c r="WW15" i="9"/>
  <c r="XD15" i="9"/>
  <c r="XA15" i="9" s="1"/>
  <c r="XE15" i="9"/>
  <c r="XB15" i="9" s="1"/>
  <c r="WY15" i="9" s="1"/>
  <c r="WI15" i="9" s="1"/>
  <c r="XM15" i="9"/>
  <c r="XP15" i="9"/>
  <c r="XS15" i="9"/>
  <c r="XV15" i="9"/>
  <c r="XZ15" i="9"/>
  <c r="YA15" i="9"/>
  <c r="B16" i="9"/>
  <c r="C16" i="9"/>
  <c r="D16" i="9"/>
  <c r="E16" i="9"/>
  <c r="F16" i="9"/>
  <c r="UR16" i="9"/>
  <c r="UU16" i="9"/>
  <c r="UY16" i="9"/>
  <c r="UZ16" i="9"/>
  <c r="VA16" i="9"/>
  <c r="VD16" i="9"/>
  <c r="VG16" i="9"/>
  <c r="VM16" i="9"/>
  <c r="VR16" i="9"/>
  <c r="VU16" i="9"/>
  <c r="WB16" i="9"/>
  <c r="VY16" i="9" s="1"/>
  <c r="VK16" i="9" s="1"/>
  <c r="WC16" i="9"/>
  <c r="WG16" i="9"/>
  <c r="WJ16" i="9"/>
  <c r="WK16" i="9"/>
  <c r="WP16" i="9"/>
  <c r="WQ16" i="9"/>
  <c r="WT16" i="9"/>
  <c r="WW16" i="9"/>
  <c r="XD16" i="9"/>
  <c r="XA16" i="9" s="1"/>
  <c r="XE16" i="9"/>
  <c r="XB16" i="9" s="1"/>
  <c r="WY16" i="9" s="1"/>
  <c r="WI16" i="9" s="1"/>
  <c r="XM16" i="9"/>
  <c r="XP16" i="9"/>
  <c r="XS16" i="9"/>
  <c r="XV16" i="9"/>
  <c r="XZ16" i="9"/>
  <c r="YA16" i="9"/>
  <c r="B17" i="9"/>
  <c r="C17" i="9"/>
  <c r="D17" i="9"/>
  <c r="E17" i="9"/>
  <c r="F17" i="9"/>
  <c r="UR17" i="9"/>
  <c r="UU17" i="9"/>
  <c r="UY17" i="9"/>
  <c r="UZ17" i="9"/>
  <c r="VA17" i="9"/>
  <c r="VD17" i="9"/>
  <c r="VG17" i="9"/>
  <c r="VM17" i="9"/>
  <c r="VR17" i="9"/>
  <c r="VU17" i="9"/>
  <c r="WB17" i="9"/>
  <c r="VY17" i="9" s="1"/>
  <c r="VK17" i="9" s="1"/>
  <c r="WC17" i="9"/>
  <c r="WG17" i="9"/>
  <c r="WJ17" i="9"/>
  <c r="WK17" i="9"/>
  <c r="WP17" i="9"/>
  <c r="WQ17" i="9"/>
  <c r="WT17" i="9"/>
  <c r="WW17" i="9"/>
  <c r="XD17" i="9"/>
  <c r="XA17" i="9" s="1"/>
  <c r="XE17" i="9"/>
  <c r="XB17" i="9" s="1"/>
  <c r="WY17" i="9" s="1"/>
  <c r="WI17" i="9" s="1"/>
  <c r="XM17" i="9"/>
  <c r="XP17" i="9"/>
  <c r="XS17" i="9"/>
  <c r="XV17" i="9"/>
  <c r="XZ17" i="9"/>
  <c r="YA17" i="9"/>
  <c r="B18" i="9"/>
  <c r="C18" i="9"/>
  <c r="D18" i="9"/>
  <c r="E18" i="9"/>
  <c r="F18" i="9"/>
  <c r="UR18" i="9"/>
  <c r="UU18" i="9"/>
  <c r="UY18" i="9"/>
  <c r="UZ18" i="9"/>
  <c r="VA18" i="9"/>
  <c r="VD18" i="9"/>
  <c r="VG18" i="9"/>
  <c r="VM18" i="9"/>
  <c r="VR18" i="9"/>
  <c r="VU18" i="9"/>
  <c r="WB18" i="9"/>
  <c r="VY18" i="9" s="1"/>
  <c r="VK18" i="9" s="1"/>
  <c r="WC18" i="9"/>
  <c r="WG18" i="9"/>
  <c r="WJ18" i="9"/>
  <c r="WK18" i="9"/>
  <c r="WP18" i="9"/>
  <c r="WQ18" i="9"/>
  <c r="WT18" i="9"/>
  <c r="WW18" i="9"/>
  <c r="XD18" i="9"/>
  <c r="XA18" i="9" s="1"/>
  <c r="XE18" i="9"/>
  <c r="XB18" i="9" s="1"/>
  <c r="WY18" i="9" s="1"/>
  <c r="WI18" i="9" s="1"/>
  <c r="XM18" i="9"/>
  <c r="XP18" i="9"/>
  <c r="XS18" i="9"/>
  <c r="XV18" i="9"/>
  <c r="XZ18" i="9"/>
  <c r="YA18" i="9"/>
  <c r="B19" i="9"/>
  <c r="C19" i="9"/>
  <c r="D19" i="9"/>
  <c r="E19" i="9"/>
  <c r="F19" i="9"/>
  <c r="UR19" i="9"/>
  <c r="UU19" i="9"/>
  <c r="UY19" i="9"/>
  <c r="UZ19" i="9"/>
  <c r="VA19" i="9"/>
  <c r="VD19" i="9"/>
  <c r="VG19" i="9"/>
  <c r="VM19" i="9"/>
  <c r="VR19" i="9"/>
  <c r="VU19" i="9"/>
  <c r="WB19" i="9"/>
  <c r="VY19" i="9" s="1"/>
  <c r="VK19" i="9" s="1"/>
  <c r="WC19" i="9"/>
  <c r="WG19" i="9"/>
  <c r="WJ19" i="9"/>
  <c r="WK19" i="9"/>
  <c r="WP19" i="9"/>
  <c r="WQ19" i="9"/>
  <c r="WT19" i="9"/>
  <c r="WW19" i="9"/>
  <c r="XD19" i="9"/>
  <c r="XA19" i="9" s="1"/>
  <c r="XE19" i="9"/>
  <c r="XB19" i="9" s="1"/>
  <c r="WY19" i="9" s="1"/>
  <c r="WI19" i="9" s="1"/>
  <c r="XM19" i="9"/>
  <c r="XP19" i="9"/>
  <c r="XS19" i="9"/>
  <c r="XV19" i="9"/>
  <c r="XZ19" i="9"/>
  <c r="YA19" i="9"/>
  <c r="B20" i="9"/>
  <c r="C20" i="9"/>
  <c r="D20" i="9"/>
  <c r="E20" i="9"/>
  <c r="F20" i="9"/>
  <c r="UR20" i="9"/>
  <c r="UU20" i="9"/>
  <c r="UY20" i="9"/>
  <c r="UZ20" i="9"/>
  <c r="VA20" i="9"/>
  <c r="VD20" i="9"/>
  <c r="VG20" i="9"/>
  <c r="VM20" i="9"/>
  <c r="VR20" i="9"/>
  <c r="VU20" i="9"/>
  <c r="WB20" i="9"/>
  <c r="VY20" i="9" s="1"/>
  <c r="VK20" i="9" s="1"/>
  <c r="WC20" i="9"/>
  <c r="WG20" i="9"/>
  <c r="WJ20" i="9"/>
  <c r="WK20" i="9"/>
  <c r="WP20" i="9"/>
  <c r="WQ20" i="9"/>
  <c r="WT20" i="9"/>
  <c r="WW20" i="9"/>
  <c r="XD20" i="9"/>
  <c r="XA20" i="9" s="1"/>
  <c r="XE20" i="9"/>
  <c r="XB20" i="9" s="1"/>
  <c r="WY20" i="9" s="1"/>
  <c r="WI20" i="9" s="1"/>
  <c r="XM20" i="9"/>
  <c r="XP20" i="9"/>
  <c r="XS20" i="9"/>
  <c r="XV20" i="9"/>
  <c r="XZ20" i="9"/>
  <c r="YA20" i="9"/>
  <c r="B21" i="9"/>
  <c r="C21" i="9"/>
  <c r="D21" i="9"/>
  <c r="E21" i="9"/>
  <c r="F21" i="9"/>
  <c r="UR21" i="9"/>
  <c r="UU21" i="9"/>
  <c r="UY21" i="9"/>
  <c r="UZ21" i="9"/>
  <c r="VA21" i="9"/>
  <c r="VD21" i="9"/>
  <c r="VG21" i="9"/>
  <c r="VM21" i="9"/>
  <c r="VR21" i="9"/>
  <c r="VU21" i="9"/>
  <c r="WB21" i="9"/>
  <c r="VY21" i="9" s="1"/>
  <c r="VK21" i="9" s="1"/>
  <c r="WC21" i="9"/>
  <c r="WG21" i="9"/>
  <c r="WJ21" i="9"/>
  <c r="WK21" i="9"/>
  <c r="WP21" i="9"/>
  <c r="WQ21" i="9"/>
  <c r="WT21" i="9"/>
  <c r="WW21" i="9"/>
  <c r="XD21" i="9"/>
  <c r="XA21" i="9" s="1"/>
  <c r="XE21" i="9"/>
  <c r="XB21" i="9" s="1"/>
  <c r="WY21" i="9" s="1"/>
  <c r="WI21" i="9" s="1"/>
  <c r="XM21" i="9"/>
  <c r="XP21" i="9"/>
  <c r="XS21" i="9"/>
  <c r="XV21" i="9"/>
  <c r="XZ21" i="9"/>
  <c r="YA21" i="9"/>
  <c r="B22" i="9"/>
  <c r="C22" i="9"/>
  <c r="D22" i="9"/>
  <c r="E22" i="9"/>
  <c r="F22" i="9"/>
  <c r="UR22" i="9"/>
  <c r="UU22" i="9"/>
  <c r="UY22" i="9"/>
  <c r="UZ22" i="9"/>
  <c r="VA22" i="9"/>
  <c r="VD22" i="9"/>
  <c r="VG22" i="9"/>
  <c r="VM22" i="9"/>
  <c r="VR22" i="9"/>
  <c r="VU22" i="9"/>
  <c r="WB22" i="9"/>
  <c r="VY22" i="9" s="1"/>
  <c r="VK22" i="9" s="1"/>
  <c r="WC22" i="9"/>
  <c r="WG22" i="9"/>
  <c r="WJ22" i="9"/>
  <c r="WK22" i="9"/>
  <c r="WP22" i="9"/>
  <c r="WQ22" i="9"/>
  <c r="WT22" i="9"/>
  <c r="WW22" i="9"/>
  <c r="XD22" i="9"/>
  <c r="XA22" i="9" s="1"/>
  <c r="XE22" i="9"/>
  <c r="XB22" i="9" s="1"/>
  <c r="WY22" i="9" s="1"/>
  <c r="WI22" i="9" s="1"/>
  <c r="XM22" i="9"/>
  <c r="XP22" i="9"/>
  <c r="XS22" i="9"/>
  <c r="XV22" i="9"/>
  <c r="XZ22" i="9"/>
  <c r="YA22" i="9"/>
  <c r="B23" i="9"/>
  <c r="C23" i="9"/>
  <c r="D23" i="9"/>
  <c r="E23" i="9"/>
  <c r="F23" i="9"/>
  <c r="UR23" i="9"/>
  <c r="UU23" i="9"/>
  <c r="UY23" i="9"/>
  <c r="UZ23" i="9"/>
  <c r="VA23" i="9"/>
  <c r="VD23" i="9"/>
  <c r="VG23" i="9"/>
  <c r="VM23" i="9"/>
  <c r="VR23" i="9"/>
  <c r="VU23" i="9"/>
  <c r="WB23" i="9"/>
  <c r="VY23" i="9" s="1"/>
  <c r="VK23" i="9" s="1"/>
  <c r="WC23" i="9"/>
  <c r="WG23" i="9"/>
  <c r="WJ23" i="9"/>
  <c r="WK23" i="9"/>
  <c r="WP23" i="9"/>
  <c r="WQ23" i="9"/>
  <c r="WT23" i="9"/>
  <c r="WW23" i="9"/>
  <c r="XD23" i="9"/>
  <c r="XA23" i="9" s="1"/>
  <c r="XE23" i="9"/>
  <c r="XB23" i="9" s="1"/>
  <c r="WY23" i="9" s="1"/>
  <c r="WI23" i="9" s="1"/>
  <c r="XM23" i="9"/>
  <c r="XP23" i="9"/>
  <c r="XS23" i="9"/>
  <c r="XV23" i="9"/>
  <c r="XZ23" i="9"/>
  <c r="YA23" i="9"/>
  <c r="UR26" i="9"/>
  <c r="UU26" i="9"/>
  <c r="UY26" i="9"/>
  <c r="UZ26" i="9"/>
  <c r="VA26" i="9"/>
  <c r="VD26" i="9"/>
  <c r="VG26" i="9"/>
  <c r="VM26" i="9"/>
  <c r="VR26" i="9"/>
  <c r="VU26" i="9"/>
  <c r="WB26" i="9"/>
  <c r="VY26" i="9" s="1"/>
  <c r="WC26" i="9"/>
  <c r="VZ26" i="9" s="1"/>
  <c r="VL26" i="9" s="1"/>
  <c r="WG26" i="9"/>
  <c r="WJ26" i="9"/>
  <c r="WK26" i="9"/>
  <c r="WP26" i="9"/>
  <c r="WQ26" i="9"/>
  <c r="WT26" i="9"/>
  <c r="WW26" i="9"/>
  <c r="XD26" i="9"/>
  <c r="XA26" i="9" s="1"/>
  <c r="WX26" i="9" s="1"/>
  <c r="WH26" i="9" s="1"/>
  <c r="XE26" i="9"/>
  <c r="XM26" i="9"/>
  <c r="XP26" i="9"/>
  <c r="XS26" i="9"/>
  <c r="XV26" i="9"/>
  <c r="XZ26" i="9"/>
  <c r="YA26" i="9"/>
  <c r="UR27" i="9"/>
  <c r="UU27" i="9"/>
  <c r="UY27" i="9"/>
  <c r="UZ27" i="9"/>
  <c r="VA27" i="9"/>
  <c r="VD27" i="9"/>
  <c r="VG27" i="9"/>
  <c r="VM27" i="9"/>
  <c r="VR27" i="9"/>
  <c r="VU27" i="9"/>
  <c r="WB27" i="9"/>
  <c r="VY27" i="9" s="1"/>
  <c r="WC27" i="9"/>
  <c r="VZ27" i="9" s="1"/>
  <c r="VL27" i="9" s="1"/>
  <c r="WG27" i="9"/>
  <c r="WJ27" i="9"/>
  <c r="WK27" i="9"/>
  <c r="WP27" i="9"/>
  <c r="WQ27" i="9"/>
  <c r="WT27" i="9"/>
  <c r="WW27" i="9"/>
  <c r="XD27" i="9"/>
  <c r="XA27" i="9" s="1"/>
  <c r="WX27" i="9" s="1"/>
  <c r="WH27" i="9" s="1"/>
  <c r="XE27" i="9"/>
  <c r="XM27" i="9"/>
  <c r="XP27" i="9"/>
  <c r="XS27" i="9"/>
  <c r="XV27" i="9"/>
  <c r="XZ27" i="9"/>
  <c r="YA27" i="9"/>
  <c r="UR28" i="9"/>
  <c r="UU28" i="9"/>
  <c r="UY28" i="9"/>
  <c r="UZ28" i="9"/>
  <c r="VA28" i="9"/>
  <c r="VD28" i="9"/>
  <c r="VG28" i="9"/>
  <c r="VM28" i="9"/>
  <c r="VR28" i="9"/>
  <c r="VU28" i="9"/>
  <c r="WB28" i="9"/>
  <c r="VY28" i="9" s="1"/>
  <c r="WC28" i="9"/>
  <c r="VZ28" i="9" s="1"/>
  <c r="VL28" i="9" s="1"/>
  <c r="WG28" i="9"/>
  <c r="WJ28" i="9"/>
  <c r="WK28" i="9"/>
  <c r="WP28" i="9"/>
  <c r="WQ28" i="9"/>
  <c r="WT28" i="9"/>
  <c r="WW28" i="9"/>
  <c r="XD28" i="9"/>
  <c r="XA28" i="9" s="1"/>
  <c r="WX28" i="9" s="1"/>
  <c r="WH28" i="9" s="1"/>
  <c r="XE28" i="9"/>
  <c r="XM28" i="9"/>
  <c r="XP28" i="9"/>
  <c r="XS28" i="9"/>
  <c r="XV28" i="9"/>
  <c r="XZ28" i="9"/>
  <c r="YA28" i="9"/>
  <c r="UR29" i="9"/>
  <c r="UU29" i="9"/>
  <c r="UY29" i="9"/>
  <c r="UZ29" i="9"/>
  <c r="VA29" i="9"/>
  <c r="VD29" i="9"/>
  <c r="VG29" i="9"/>
  <c r="VM29" i="9"/>
  <c r="VR29" i="9"/>
  <c r="VU29" i="9"/>
  <c r="WB29" i="9"/>
  <c r="VY29" i="9" s="1"/>
  <c r="WC29" i="9"/>
  <c r="VZ29" i="9" s="1"/>
  <c r="VL29" i="9" s="1"/>
  <c r="WG29" i="9"/>
  <c r="WJ29" i="9"/>
  <c r="WK29" i="9"/>
  <c r="WP29" i="9"/>
  <c r="WQ29" i="9"/>
  <c r="WT29" i="9"/>
  <c r="WW29" i="9"/>
  <c r="XD29" i="9"/>
  <c r="XA29" i="9" s="1"/>
  <c r="WX29" i="9" s="1"/>
  <c r="WH29" i="9" s="1"/>
  <c r="XE29" i="9"/>
  <c r="XM29" i="9"/>
  <c r="XP29" i="9"/>
  <c r="XS29" i="9"/>
  <c r="XV29" i="9"/>
  <c r="XZ29" i="9"/>
  <c r="YA29" i="9"/>
  <c r="UR55" i="9"/>
  <c r="UU55" i="9"/>
  <c r="UY55" i="9"/>
  <c r="UZ55" i="9"/>
  <c r="VA55" i="9"/>
  <c r="VD55" i="9"/>
  <c r="VG55" i="9"/>
  <c r="VM55" i="9"/>
  <c r="VR55" i="9"/>
  <c r="VU55" i="9"/>
  <c r="WB55" i="9"/>
  <c r="VY55" i="9" s="1"/>
  <c r="WC55" i="9"/>
  <c r="VZ55" i="9" s="1"/>
  <c r="VL55" i="9" s="1"/>
  <c r="WG55" i="9"/>
  <c r="WJ55" i="9"/>
  <c r="WK55" i="9"/>
  <c r="WP55" i="9"/>
  <c r="WQ55" i="9"/>
  <c r="WT55" i="9"/>
  <c r="WW55" i="9"/>
  <c r="XD55" i="9"/>
  <c r="XA55" i="9" s="1"/>
  <c r="WX55" i="9" s="1"/>
  <c r="WH55" i="9" s="1"/>
  <c r="XE55" i="9"/>
  <c r="XM55" i="9"/>
  <c r="XP55" i="9"/>
  <c r="XS55" i="9"/>
  <c r="XV55" i="9"/>
  <c r="XZ55" i="9"/>
  <c r="YA55" i="9"/>
  <c r="UR30" i="9"/>
  <c r="UU30" i="9"/>
  <c r="UY30" i="9"/>
  <c r="UZ30" i="9"/>
  <c r="VA30" i="9"/>
  <c r="VD30" i="9"/>
  <c r="VG30" i="9"/>
  <c r="VM30" i="9"/>
  <c r="VR30" i="9"/>
  <c r="VU30" i="9"/>
  <c r="WB30" i="9"/>
  <c r="VY30" i="9" s="1"/>
  <c r="WC30" i="9"/>
  <c r="VZ30" i="9" s="1"/>
  <c r="VL30" i="9" s="1"/>
  <c r="WG30" i="9"/>
  <c r="WJ30" i="9"/>
  <c r="WK30" i="9"/>
  <c r="WP30" i="9"/>
  <c r="WQ30" i="9"/>
  <c r="WT30" i="9"/>
  <c r="WW30" i="9"/>
  <c r="XD30" i="9"/>
  <c r="XA30" i="9" s="1"/>
  <c r="WX30" i="9" s="1"/>
  <c r="WH30" i="9" s="1"/>
  <c r="XE30" i="9"/>
  <c r="XM30" i="9"/>
  <c r="XP30" i="9"/>
  <c r="XS30" i="9"/>
  <c r="XV30" i="9"/>
  <c r="XZ30" i="9"/>
  <c r="YA30" i="9"/>
  <c r="UR31" i="9"/>
  <c r="UU31" i="9"/>
  <c r="UY31" i="9"/>
  <c r="UZ31" i="9"/>
  <c r="VA31" i="9"/>
  <c r="VD31" i="9"/>
  <c r="VG31" i="9"/>
  <c r="VM31" i="9"/>
  <c r="VR31" i="9"/>
  <c r="VU31" i="9"/>
  <c r="WB31" i="9"/>
  <c r="VY31" i="9" s="1"/>
  <c r="WC31" i="9"/>
  <c r="VZ31" i="9" s="1"/>
  <c r="VL31" i="9" s="1"/>
  <c r="WG31" i="9"/>
  <c r="WJ31" i="9"/>
  <c r="WK31" i="9"/>
  <c r="WP31" i="9"/>
  <c r="WQ31" i="9"/>
  <c r="WT31" i="9"/>
  <c r="WW31" i="9"/>
  <c r="XD31" i="9"/>
  <c r="XA31" i="9" s="1"/>
  <c r="WX31" i="9" s="1"/>
  <c r="WH31" i="9" s="1"/>
  <c r="XE31" i="9"/>
  <c r="XM31" i="9"/>
  <c r="XP31" i="9"/>
  <c r="XS31" i="9"/>
  <c r="XV31" i="9"/>
  <c r="XZ31" i="9"/>
  <c r="YA31" i="9"/>
  <c r="UR41" i="9"/>
  <c r="UU41" i="9"/>
  <c r="UY41" i="9"/>
  <c r="UZ41" i="9"/>
  <c r="VA41" i="9"/>
  <c r="VD41" i="9"/>
  <c r="VG41" i="9"/>
  <c r="VM41" i="9"/>
  <c r="VR41" i="9"/>
  <c r="VU41" i="9"/>
  <c r="WB41" i="9"/>
  <c r="VY41" i="9" s="1"/>
  <c r="WC41" i="9"/>
  <c r="VZ41" i="9" s="1"/>
  <c r="VL41" i="9" s="1"/>
  <c r="WG41" i="9"/>
  <c r="WJ41" i="9"/>
  <c r="WK41" i="9"/>
  <c r="WP41" i="9"/>
  <c r="WQ41" i="9"/>
  <c r="WT41" i="9"/>
  <c r="WW41" i="9"/>
  <c r="XD41" i="9"/>
  <c r="XA41" i="9" s="1"/>
  <c r="WX41" i="9" s="1"/>
  <c r="WH41" i="9" s="1"/>
  <c r="XE41" i="9"/>
  <c r="XM41" i="9"/>
  <c r="XP41" i="9"/>
  <c r="XS41" i="9"/>
  <c r="XV41" i="9"/>
  <c r="XZ41" i="9"/>
  <c r="YA41" i="9"/>
  <c r="UR42" i="9"/>
  <c r="UU42" i="9"/>
  <c r="UY42" i="9"/>
  <c r="UZ42" i="9"/>
  <c r="VA42" i="9"/>
  <c r="VD42" i="9"/>
  <c r="VG42" i="9"/>
  <c r="VM42" i="9"/>
  <c r="VR42" i="9"/>
  <c r="VU42" i="9"/>
  <c r="WB42" i="9"/>
  <c r="VY42" i="9" s="1"/>
  <c r="WC42" i="9"/>
  <c r="VZ42" i="9" s="1"/>
  <c r="VL42" i="9" s="1"/>
  <c r="WG42" i="9"/>
  <c r="WJ42" i="9"/>
  <c r="WK42" i="9"/>
  <c r="WP42" i="9"/>
  <c r="WQ42" i="9"/>
  <c r="WT42" i="9"/>
  <c r="WW42" i="9"/>
  <c r="XD42" i="9"/>
  <c r="XA42" i="9" s="1"/>
  <c r="WX42" i="9" s="1"/>
  <c r="WH42" i="9" s="1"/>
  <c r="XE42" i="9"/>
  <c r="XM42" i="9"/>
  <c r="XP42" i="9"/>
  <c r="XS42" i="9"/>
  <c r="XV42" i="9"/>
  <c r="XZ42" i="9"/>
  <c r="YA42" i="9"/>
  <c r="UR43" i="9"/>
  <c r="UU43" i="9"/>
  <c r="UY43" i="9"/>
  <c r="UZ43" i="9"/>
  <c r="VA43" i="9"/>
  <c r="VD43" i="9"/>
  <c r="VG43" i="9"/>
  <c r="VM43" i="9"/>
  <c r="VR43" i="9"/>
  <c r="VU43" i="9"/>
  <c r="WB43" i="9"/>
  <c r="VY43" i="9" s="1"/>
  <c r="WC43" i="9"/>
  <c r="VZ43" i="9" s="1"/>
  <c r="VL43" i="9" s="1"/>
  <c r="WG43" i="9"/>
  <c r="WJ43" i="9"/>
  <c r="WK43" i="9"/>
  <c r="WP43" i="9"/>
  <c r="WQ43" i="9"/>
  <c r="WT43" i="9"/>
  <c r="WW43" i="9"/>
  <c r="XD43" i="9"/>
  <c r="XA43" i="9" s="1"/>
  <c r="WX43" i="9" s="1"/>
  <c r="WH43" i="9" s="1"/>
  <c r="XE43" i="9"/>
  <c r="XM43" i="9"/>
  <c r="XP43" i="9"/>
  <c r="XS43" i="9"/>
  <c r="XV43" i="9"/>
  <c r="XZ43" i="9"/>
  <c r="YA43" i="9"/>
  <c r="UR44" i="9"/>
  <c r="UU44" i="9"/>
  <c r="UY44" i="9"/>
  <c r="UZ44" i="9"/>
  <c r="VA44" i="9"/>
  <c r="VD44" i="9"/>
  <c r="VG44" i="9"/>
  <c r="VM44" i="9"/>
  <c r="VR44" i="9"/>
  <c r="VU44" i="9"/>
  <c r="WB44" i="9"/>
  <c r="VY44" i="9" s="1"/>
  <c r="WC44" i="9"/>
  <c r="VZ44" i="9" s="1"/>
  <c r="VL44" i="9" s="1"/>
  <c r="WG44" i="9"/>
  <c r="WJ44" i="9"/>
  <c r="WK44" i="9"/>
  <c r="WP44" i="9"/>
  <c r="WQ44" i="9"/>
  <c r="WT44" i="9"/>
  <c r="WW44" i="9"/>
  <c r="XD44" i="9"/>
  <c r="XA44" i="9" s="1"/>
  <c r="WX44" i="9" s="1"/>
  <c r="WH44" i="9" s="1"/>
  <c r="XE44" i="9"/>
  <c r="XM44" i="9"/>
  <c r="XP44" i="9"/>
  <c r="XS44" i="9"/>
  <c r="XV44" i="9"/>
  <c r="XZ44" i="9"/>
  <c r="YA44" i="9"/>
  <c r="UR56" i="9"/>
  <c r="UU56" i="9"/>
  <c r="UY56" i="9"/>
  <c r="UZ56" i="9"/>
  <c r="VA56" i="9"/>
  <c r="VD56" i="9"/>
  <c r="VG56" i="9"/>
  <c r="VM56" i="9"/>
  <c r="VR56" i="9"/>
  <c r="VU56" i="9"/>
  <c r="WB56" i="9"/>
  <c r="VY56" i="9" s="1"/>
  <c r="WC56" i="9"/>
  <c r="VZ56" i="9" s="1"/>
  <c r="VL56" i="9" s="1"/>
  <c r="WG56" i="9"/>
  <c r="WJ56" i="9"/>
  <c r="WK56" i="9"/>
  <c r="WP56" i="9"/>
  <c r="WQ56" i="9"/>
  <c r="WT56" i="9"/>
  <c r="WW56" i="9"/>
  <c r="XD56" i="9"/>
  <c r="XA56" i="9" s="1"/>
  <c r="WX56" i="9" s="1"/>
  <c r="WH56" i="9" s="1"/>
  <c r="XE56" i="9"/>
  <c r="XM56" i="9"/>
  <c r="XP56" i="9"/>
  <c r="XS56" i="9"/>
  <c r="XV56" i="9"/>
  <c r="XZ56" i="9"/>
  <c r="YA56" i="9"/>
  <c r="UR57" i="9"/>
  <c r="UU57" i="9"/>
  <c r="UY57" i="9"/>
  <c r="UZ57" i="9"/>
  <c r="VA57" i="9"/>
  <c r="VD57" i="9"/>
  <c r="VG57" i="9"/>
  <c r="VM57" i="9"/>
  <c r="VR57" i="9"/>
  <c r="VU57" i="9"/>
  <c r="WB57" i="9"/>
  <c r="VY57" i="9" s="1"/>
  <c r="WC57" i="9"/>
  <c r="VZ57" i="9" s="1"/>
  <c r="VL57" i="9" s="1"/>
  <c r="WG57" i="9"/>
  <c r="WJ57" i="9"/>
  <c r="WK57" i="9"/>
  <c r="WP57" i="9"/>
  <c r="WQ57" i="9"/>
  <c r="WT57" i="9"/>
  <c r="WW57" i="9"/>
  <c r="XD57" i="9"/>
  <c r="XA57" i="9" s="1"/>
  <c r="WX57" i="9" s="1"/>
  <c r="WH57" i="9" s="1"/>
  <c r="XE57" i="9"/>
  <c r="XM57" i="9"/>
  <c r="XP57" i="9"/>
  <c r="XS57" i="9"/>
  <c r="XV57" i="9"/>
  <c r="XZ57" i="9"/>
  <c r="YA57" i="9"/>
  <c r="UR45" i="9"/>
  <c r="UU45" i="9"/>
  <c r="UY45" i="9"/>
  <c r="UZ45" i="9"/>
  <c r="VA45" i="9"/>
  <c r="VD45" i="9"/>
  <c r="VG45" i="9"/>
  <c r="VM45" i="9"/>
  <c r="VR45" i="9"/>
  <c r="VU45" i="9"/>
  <c r="WB45" i="9"/>
  <c r="VY45" i="9" s="1"/>
  <c r="WC45" i="9"/>
  <c r="VZ45" i="9" s="1"/>
  <c r="VL45" i="9" s="1"/>
  <c r="WG45" i="9"/>
  <c r="WJ45" i="9"/>
  <c r="WK45" i="9"/>
  <c r="WP45" i="9"/>
  <c r="WQ45" i="9"/>
  <c r="WT45" i="9"/>
  <c r="WW45" i="9"/>
  <c r="XD45" i="9"/>
  <c r="XA45" i="9" s="1"/>
  <c r="WX45" i="9" s="1"/>
  <c r="WH45" i="9" s="1"/>
  <c r="XE45" i="9"/>
  <c r="XM45" i="9"/>
  <c r="XP45" i="9"/>
  <c r="XS45" i="9"/>
  <c r="XV45" i="9"/>
  <c r="XZ45" i="9"/>
  <c r="YA45" i="9"/>
  <c r="UR46" i="9"/>
  <c r="UU46" i="9"/>
  <c r="UY46" i="9"/>
  <c r="UZ46" i="9"/>
  <c r="VA46" i="9"/>
  <c r="VD46" i="9"/>
  <c r="VG46" i="9"/>
  <c r="VM46" i="9"/>
  <c r="VR46" i="9"/>
  <c r="VU46" i="9"/>
  <c r="WB46" i="9"/>
  <c r="VY46" i="9" s="1"/>
  <c r="WC46" i="9"/>
  <c r="VZ46" i="9" s="1"/>
  <c r="VL46" i="9" s="1"/>
  <c r="WG46" i="9"/>
  <c r="WJ46" i="9"/>
  <c r="WK46" i="9"/>
  <c r="WP46" i="9"/>
  <c r="WQ46" i="9"/>
  <c r="WT46" i="9"/>
  <c r="WW46" i="9"/>
  <c r="XD46" i="9"/>
  <c r="XA46" i="9" s="1"/>
  <c r="WX46" i="9" s="1"/>
  <c r="WH46" i="9" s="1"/>
  <c r="XE46" i="9"/>
  <c r="XM46" i="9"/>
  <c r="XP46" i="9"/>
  <c r="XS46" i="9"/>
  <c r="XV46" i="9"/>
  <c r="XZ46" i="9"/>
  <c r="YA46" i="9"/>
  <c r="UR47" i="9"/>
  <c r="UU47" i="9"/>
  <c r="UY47" i="9"/>
  <c r="UZ47" i="9"/>
  <c r="VA47" i="9"/>
  <c r="VD47" i="9"/>
  <c r="VG47" i="9"/>
  <c r="VM47" i="9"/>
  <c r="VR47" i="9"/>
  <c r="VU47" i="9"/>
  <c r="WB47" i="9"/>
  <c r="VY47" i="9" s="1"/>
  <c r="WC47" i="9"/>
  <c r="VZ47" i="9" s="1"/>
  <c r="VL47" i="9" s="1"/>
  <c r="WG47" i="9"/>
  <c r="WJ47" i="9"/>
  <c r="WK47" i="9"/>
  <c r="WP47" i="9"/>
  <c r="WQ47" i="9"/>
  <c r="WT47" i="9"/>
  <c r="WW47" i="9"/>
  <c r="XD47" i="9"/>
  <c r="XA47" i="9" s="1"/>
  <c r="WX47" i="9" s="1"/>
  <c r="WH47" i="9" s="1"/>
  <c r="XE47" i="9"/>
  <c r="XM47" i="9"/>
  <c r="XP47" i="9"/>
  <c r="XS47" i="9"/>
  <c r="XV47" i="9"/>
  <c r="XZ47" i="9"/>
  <c r="YA47" i="9"/>
  <c r="UR32" i="9"/>
  <c r="UU32" i="9"/>
  <c r="UY32" i="9"/>
  <c r="UZ32" i="9"/>
  <c r="VA32" i="9"/>
  <c r="VD32" i="9"/>
  <c r="VG32" i="9"/>
  <c r="VM32" i="9"/>
  <c r="VR32" i="9"/>
  <c r="VU32" i="9"/>
  <c r="WB32" i="9"/>
  <c r="VY32" i="9" s="1"/>
  <c r="WC32" i="9"/>
  <c r="VZ32" i="9" s="1"/>
  <c r="VL32" i="9" s="1"/>
  <c r="WG32" i="9"/>
  <c r="WJ32" i="9"/>
  <c r="WK32" i="9"/>
  <c r="WP32" i="9"/>
  <c r="WQ32" i="9"/>
  <c r="WT32" i="9"/>
  <c r="WW32" i="9"/>
  <c r="XD32" i="9"/>
  <c r="XA32" i="9" s="1"/>
  <c r="WX32" i="9" s="1"/>
  <c r="WH32" i="9" s="1"/>
  <c r="XE32" i="9"/>
  <c r="XM32" i="9"/>
  <c r="XP32" i="9"/>
  <c r="XS32" i="9"/>
  <c r="XV32" i="9"/>
  <c r="XZ32" i="9"/>
  <c r="YA32" i="9"/>
  <c r="UR48" i="9"/>
  <c r="UU48" i="9"/>
  <c r="UY48" i="9"/>
  <c r="UZ48" i="9"/>
  <c r="VA48" i="9"/>
  <c r="VD48" i="9"/>
  <c r="VG48" i="9"/>
  <c r="VM48" i="9"/>
  <c r="VR48" i="9"/>
  <c r="VU48" i="9"/>
  <c r="WB48" i="9"/>
  <c r="VY48" i="9" s="1"/>
  <c r="WC48" i="9"/>
  <c r="VZ48" i="9" s="1"/>
  <c r="VL48" i="9" s="1"/>
  <c r="WG48" i="9"/>
  <c r="WJ48" i="9"/>
  <c r="WK48" i="9"/>
  <c r="WP48" i="9"/>
  <c r="WQ48" i="9"/>
  <c r="WT48" i="9"/>
  <c r="WW48" i="9"/>
  <c r="XD48" i="9"/>
  <c r="XA48" i="9" s="1"/>
  <c r="WX48" i="9" s="1"/>
  <c r="WH48" i="9" s="1"/>
  <c r="XE48" i="9"/>
  <c r="XM48" i="9"/>
  <c r="XP48" i="9"/>
  <c r="XS48" i="9"/>
  <c r="XV48" i="9"/>
  <c r="XZ48" i="9"/>
  <c r="YA48" i="9"/>
  <c r="UR33" i="9"/>
  <c r="UU33" i="9"/>
  <c r="UY33" i="9"/>
  <c r="UZ33" i="9"/>
  <c r="VA33" i="9"/>
  <c r="VD33" i="9"/>
  <c r="VG33" i="9"/>
  <c r="VM33" i="9"/>
  <c r="VR33" i="9"/>
  <c r="VU33" i="9"/>
  <c r="WB33" i="9"/>
  <c r="VY33" i="9" s="1"/>
  <c r="WC33" i="9"/>
  <c r="VZ33" i="9" s="1"/>
  <c r="VL33" i="9" s="1"/>
  <c r="WG33" i="9"/>
  <c r="WJ33" i="9"/>
  <c r="WK33" i="9"/>
  <c r="WP33" i="9"/>
  <c r="WQ33" i="9"/>
  <c r="WT33" i="9"/>
  <c r="WW33" i="9"/>
  <c r="XD33" i="9"/>
  <c r="XA33" i="9" s="1"/>
  <c r="WX33" i="9" s="1"/>
  <c r="WH33" i="9" s="1"/>
  <c r="XE33" i="9"/>
  <c r="XM33" i="9"/>
  <c r="XP33" i="9"/>
  <c r="XS33" i="9"/>
  <c r="XV33" i="9"/>
  <c r="XZ33" i="9"/>
  <c r="YA33" i="9"/>
  <c r="UR58" i="9"/>
  <c r="UU58" i="9"/>
  <c r="UY58" i="9"/>
  <c r="UZ58" i="9"/>
  <c r="VA58" i="9"/>
  <c r="VD58" i="9"/>
  <c r="VG58" i="9"/>
  <c r="VM58" i="9"/>
  <c r="VR58" i="9"/>
  <c r="VU58" i="9"/>
  <c r="WB58" i="9"/>
  <c r="VY58" i="9" s="1"/>
  <c r="WC58" i="9"/>
  <c r="VZ58" i="9" s="1"/>
  <c r="VL58" i="9" s="1"/>
  <c r="WG58" i="9"/>
  <c r="WJ58" i="9"/>
  <c r="WK58" i="9"/>
  <c r="WP58" i="9"/>
  <c r="WQ58" i="9"/>
  <c r="WT58" i="9"/>
  <c r="WW58" i="9"/>
  <c r="XD58" i="9"/>
  <c r="XA58" i="9" s="1"/>
  <c r="WX58" i="9" s="1"/>
  <c r="WH58" i="9" s="1"/>
  <c r="XE58" i="9"/>
  <c r="XM58" i="9"/>
  <c r="XP58" i="9"/>
  <c r="XS58" i="9"/>
  <c r="XV58" i="9"/>
  <c r="XZ58" i="9"/>
  <c r="YA58" i="9"/>
  <c r="UR59" i="9"/>
  <c r="UU59" i="9"/>
  <c r="UY59" i="9"/>
  <c r="UZ59" i="9"/>
  <c r="VA59" i="9"/>
  <c r="VD59" i="9"/>
  <c r="VG59" i="9"/>
  <c r="VM59" i="9"/>
  <c r="VR59" i="9"/>
  <c r="VU59" i="9"/>
  <c r="WB59" i="9"/>
  <c r="VY59" i="9" s="1"/>
  <c r="WC59" i="9"/>
  <c r="VZ59" i="9" s="1"/>
  <c r="VL59" i="9" s="1"/>
  <c r="WG59" i="9"/>
  <c r="WJ59" i="9"/>
  <c r="WK59" i="9"/>
  <c r="WP59" i="9"/>
  <c r="WQ59" i="9"/>
  <c r="WT59" i="9"/>
  <c r="WW59" i="9"/>
  <c r="XD59" i="9"/>
  <c r="XA59" i="9" s="1"/>
  <c r="WX59" i="9" s="1"/>
  <c r="WH59" i="9" s="1"/>
  <c r="XE59" i="9"/>
  <c r="XM59" i="9"/>
  <c r="XP59" i="9"/>
  <c r="XS59" i="9"/>
  <c r="XV59" i="9"/>
  <c r="XZ59" i="9"/>
  <c r="YA59" i="9"/>
  <c r="UR34" i="9"/>
  <c r="UU34" i="9"/>
  <c r="UY34" i="9"/>
  <c r="UZ34" i="9"/>
  <c r="VA34" i="9"/>
  <c r="VD34" i="9"/>
  <c r="VG34" i="9"/>
  <c r="VM34" i="9"/>
  <c r="VR34" i="9"/>
  <c r="VU34" i="9"/>
  <c r="WB34" i="9"/>
  <c r="VY34" i="9" s="1"/>
  <c r="WC34" i="9"/>
  <c r="VZ34" i="9" s="1"/>
  <c r="VL34" i="9" s="1"/>
  <c r="WG34" i="9"/>
  <c r="WJ34" i="9"/>
  <c r="WK34" i="9"/>
  <c r="WP34" i="9"/>
  <c r="WQ34" i="9"/>
  <c r="WT34" i="9"/>
  <c r="WW34" i="9"/>
  <c r="XD34" i="9"/>
  <c r="XA34" i="9" s="1"/>
  <c r="WX34" i="9" s="1"/>
  <c r="WH34" i="9" s="1"/>
  <c r="XE34" i="9"/>
  <c r="XM34" i="9"/>
  <c r="XP34" i="9"/>
  <c r="XS34" i="9"/>
  <c r="XV34" i="9"/>
  <c r="XZ34" i="9"/>
  <c r="YA34" i="9"/>
  <c r="UR60" i="9"/>
  <c r="UU60" i="9"/>
  <c r="UY60" i="9"/>
  <c r="UZ60" i="9"/>
  <c r="VA60" i="9"/>
  <c r="VD60" i="9"/>
  <c r="VG60" i="9"/>
  <c r="VM60" i="9"/>
  <c r="VR60" i="9"/>
  <c r="VU60" i="9"/>
  <c r="WB60" i="9"/>
  <c r="VY60" i="9" s="1"/>
  <c r="WC60" i="9"/>
  <c r="VZ60" i="9" s="1"/>
  <c r="VL60" i="9" s="1"/>
  <c r="WG60" i="9"/>
  <c r="WJ60" i="9"/>
  <c r="WK60" i="9"/>
  <c r="WP60" i="9"/>
  <c r="WQ60" i="9"/>
  <c r="WT60" i="9"/>
  <c r="WW60" i="9"/>
  <c r="XD60" i="9"/>
  <c r="XA60" i="9" s="1"/>
  <c r="WX60" i="9" s="1"/>
  <c r="WH60" i="9" s="1"/>
  <c r="XE60" i="9"/>
  <c r="XM60" i="9"/>
  <c r="XP60" i="9"/>
  <c r="XS60" i="9"/>
  <c r="XV60" i="9"/>
  <c r="XZ60" i="9"/>
  <c r="YA60" i="9"/>
  <c r="UR49" i="9"/>
  <c r="UU49" i="9"/>
  <c r="UY49" i="9"/>
  <c r="UZ49" i="9"/>
  <c r="VA49" i="9"/>
  <c r="VD49" i="9"/>
  <c r="VG49" i="9"/>
  <c r="VM49" i="9"/>
  <c r="VR49" i="9"/>
  <c r="VU49" i="9"/>
  <c r="WB49" i="9"/>
  <c r="VY49" i="9" s="1"/>
  <c r="WC49" i="9"/>
  <c r="VZ49" i="9" s="1"/>
  <c r="VL49" i="9" s="1"/>
  <c r="WG49" i="9"/>
  <c r="WJ49" i="9"/>
  <c r="WK49" i="9"/>
  <c r="WP49" i="9"/>
  <c r="WQ49" i="9"/>
  <c r="WT49" i="9"/>
  <c r="WW49" i="9"/>
  <c r="XD49" i="9"/>
  <c r="XA49" i="9" s="1"/>
  <c r="WX49" i="9" s="1"/>
  <c r="WH49" i="9" s="1"/>
  <c r="XE49" i="9"/>
  <c r="XM49" i="9"/>
  <c r="XP49" i="9"/>
  <c r="XS49" i="9"/>
  <c r="XV49" i="9"/>
  <c r="XZ49" i="9"/>
  <c r="YA49" i="9"/>
  <c r="UR50" i="9"/>
  <c r="UU50" i="9"/>
  <c r="UY50" i="9"/>
  <c r="UZ50" i="9"/>
  <c r="VA50" i="9"/>
  <c r="VD50" i="9"/>
  <c r="VG50" i="9"/>
  <c r="VM50" i="9"/>
  <c r="VR50" i="9"/>
  <c r="VU50" i="9"/>
  <c r="WB50" i="9"/>
  <c r="VY50" i="9" s="1"/>
  <c r="WC50" i="9"/>
  <c r="VZ50" i="9" s="1"/>
  <c r="VL50" i="9" s="1"/>
  <c r="WG50" i="9"/>
  <c r="WJ50" i="9"/>
  <c r="WK50" i="9"/>
  <c r="WP50" i="9"/>
  <c r="WQ50" i="9"/>
  <c r="WT50" i="9"/>
  <c r="WW50" i="9"/>
  <c r="XD50" i="9"/>
  <c r="XA50" i="9" s="1"/>
  <c r="WX50" i="9" s="1"/>
  <c r="WH50" i="9" s="1"/>
  <c r="XE50" i="9"/>
  <c r="XM50" i="9"/>
  <c r="XP50" i="9"/>
  <c r="XS50" i="9"/>
  <c r="XV50" i="9"/>
  <c r="XZ50" i="9"/>
  <c r="YA50" i="9"/>
  <c r="UR35" i="9"/>
  <c r="UU35" i="9"/>
  <c r="UY35" i="9"/>
  <c r="UZ35" i="9"/>
  <c r="VA35" i="9"/>
  <c r="VD35" i="9"/>
  <c r="VG35" i="9"/>
  <c r="VM35" i="9"/>
  <c r="VR35" i="9"/>
  <c r="VU35" i="9"/>
  <c r="WB35" i="9"/>
  <c r="VY35" i="9" s="1"/>
  <c r="WC35" i="9"/>
  <c r="VZ35" i="9" s="1"/>
  <c r="VL35" i="9" s="1"/>
  <c r="WG35" i="9"/>
  <c r="WJ35" i="9"/>
  <c r="WK35" i="9"/>
  <c r="WP35" i="9"/>
  <c r="WQ35" i="9"/>
  <c r="WT35" i="9"/>
  <c r="WW35" i="9"/>
  <c r="XD35" i="9"/>
  <c r="XA35" i="9" s="1"/>
  <c r="WX35" i="9" s="1"/>
  <c r="WH35" i="9" s="1"/>
  <c r="XE35" i="9"/>
  <c r="XM35" i="9"/>
  <c r="XP35" i="9"/>
  <c r="XS35" i="9"/>
  <c r="XV35" i="9"/>
  <c r="XZ35" i="9"/>
  <c r="YA35" i="9"/>
  <c r="UR61" i="9"/>
  <c r="UU61" i="9"/>
  <c r="UY61" i="9"/>
  <c r="UZ61" i="9"/>
  <c r="VA61" i="9"/>
  <c r="VD61" i="9"/>
  <c r="VG61" i="9"/>
  <c r="VM61" i="9"/>
  <c r="VR61" i="9"/>
  <c r="VU61" i="9"/>
  <c r="WB61" i="9"/>
  <c r="VY61" i="9" s="1"/>
  <c r="WC61" i="9"/>
  <c r="VZ61" i="9" s="1"/>
  <c r="VL61" i="9" s="1"/>
  <c r="WG61" i="9"/>
  <c r="WJ61" i="9"/>
  <c r="WK61" i="9"/>
  <c r="WP61" i="9"/>
  <c r="WQ61" i="9"/>
  <c r="WT61" i="9"/>
  <c r="WW61" i="9"/>
  <c r="XD61" i="9"/>
  <c r="XA61" i="9" s="1"/>
  <c r="WX61" i="9" s="1"/>
  <c r="WH61" i="9" s="1"/>
  <c r="XE61" i="9"/>
  <c r="XM61" i="9"/>
  <c r="XP61" i="9"/>
  <c r="XS61" i="9"/>
  <c r="XV61" i="9"/>
  <c r="XZ61" i="9"/>
  <c r="YA61" i="9"/>
  <c r="UR62" i="9"/>
  <c r="UU62" i="9"/>
  <c r="UY62" i="9"/>
  <c r="UZ62" i="9"/>
  <c r="VA62" i="9"/>
  <c r="VD62" i="9"/>
  <c r="VG62" i="9"/>
  <c r="VM62" i="9"/>
  <c r="VR62" i="9"/>
  <c r="VU62" i="9"/>
  <c r="WB62" i="9"/>
  <c r="VY62" i="9" s="1"/>
  <c r="WC62" i="9"/>
  <c r="VZ62" i="9" s="1"/>
  <c r="VL62" i="9" s="1"/>
  <c r="WG62" i="9"/>
  <c r="WJ62" i="9"/>
  <c r="WK62" i="9"/>
  <c r="WP62" i="9"/>
  <c r="WQ62" i="9"/>
  <c r="WT62" i="9"/>
  <c r="WW62" i="9"/>
  <c r="XD62" i="9"/>
  <c r="XA62" i="9" s="1"/>
  <c r="WX62" i="9" s="1"/>
  <c r="WH62" i="9" s="1"/>
  <c r="XE62" i="9"/>
  <c r="XM62" i="9"/>
  <c r="XP62" i="9"/>
  <c r="XS62" i="9"/>
  <c r="XV62" i="9"/>
  <c r="XZ62" i="9"/>
  <c r="YA62" i="9"/>
  <c r="UR51" i="9"/>
  <c r="UU51" i="9"/>
  <c r="UY51" i="9"/>
  <c r="UZ51" i="9"/>
  <c r="VA51" i="9"/>
  <c r="VD51" i="9"/>
  <c r="VG51" i="9"/>
  <c r="VM51" i="9"/>
  <c r="VR51" i="9"/>
  <c r="VU51" i="9"/>
  <c r="WB51" i="9"/>
  <c r="VY51" i="9" s="1"/>
  <c r="WC51" i="9"/>
  <c r="VZ51" i="9" s="1"/>
  <c r="VL51" i="9" s="1"/>
  <c r="WG51" i="9"/>
  <c r="WJ51" i="9"/>
  <c r="WK51" i="9"/>
  <c r="WP51" i="9"/>
  <c r="WQ51" i="9"/>
  <c r="WT51" i="9"/>
  <c r="WW51" i="9"/>
  <c r="XD51" i="9"/>
  <c r="XA51" i="9" s="1"/>
  <c r="WX51" i="9" s="1"/>
  <c r="WH51" i="9" s="1"/>
  <c r="XE51" i="9"/>
  <c r="XM51" i="9"/>
  <c r="XP51" i="9"/>
  <c r="XS51" i="9"/>
  <c r="XV51" i="9"/>
  <c r="XZ51" i="9"/>
  <c r="YA51" i="9"/>
  <c r="UR36" i="9"/>
  <c r="UU36" i="9"/>
  <c r="UY36" i="9"/>
  <c r="UZ36" i="9"/>
  <c r="VA36" i="9"/>
  <c r="VD36" i="9"/>
  <c r="VG36" i="9"/>
  <c r="VM36" i="9"/>
  <c r="VR36" i="9"/>
  <c r="VU36" i="9"/>
  <c r="WB36" i="9"/>
  <c r="VY36" i="9" s="1"/>
  <c r="WC36" i="9"/>
  <c r="VZ36" i="9" s="1"/>
  <c r="VL36" i="9" s="1"/>
  <c r="WG36" i="9"/>
  <c r="WJ36" i="9"/>
  <c r="WK36" i="9"/>
  <c r="WP36" i="9"/>
  <c r="WQ36" i="9"/>
  <c r="WT36" i="9"/>
  <c r="WW36" i="9"/>
  <c r="XD36" i="9"/>
  <c r="XA36" i="9" s="1"/>
  <c r="WX36" i="9" s="1"/>
  <c r="WH36" i="9" s="1"/>
  <c r="XE36" i="9"/>
  <c r="XM36" i="9"/>
  <c r="XP36" i="9"/>
  <c r="XS36" i="9"/>
  <c r="XV36" i="9"/>
  <c r="XZ36" i="9"/>
  <c r="YA36" i="9"/>
  <c r="UR63" i="9"/>
  <c r="UU63" i="9"/>
  <c r="UY63" i="9"/>
  <c r="UZ63" i="9"/>
  <c r="VA63" i="9"/>
  <c r="VD63" i="9"/>
  <c r="VG63" i="9"/>
  <c r="VM63" i="9"/>
  <c r="VR63" i="9"/>
  <c r="VU63" i="9"/>
  <c r="WB63" i="9"/>
  <c r="VY63" i="9" s="1"/>
  <c r="WC63" i="9"/>
  <c r="VZ63" i="9" s="1"/>
  <c r="VL63" i="9" s="1"/>
  <c r="WG63" i="9"/>
  <c r="WJ63" i="9"/>
  <c r="WK63" i="9"/>
  <c r="WP63" i="9"/>
  <c r="WQ63" i="9"/>
  <c r="WT63" i="9"/>
  <c r="WW63" i="9"/>
  <c r="XD63" i="9"/>
  <c r="XA63" i="9" s="1"/>
  <c r="WX63" i="9" s="1"/>
  <c r="WH63" i="9" s="1"/>
  <c r="XE63" i="9"/>
  <c r="XM63" i="9"/>
  <c r="XP63" i="9"/>
  <c r="XS63" i="9"/>
  <c r="XV63" i="9"/>
  <c r="XZ63" i="9"/>
  <c r="YA63" i="9"/>
  <c r="UR37" i="9"/>
  <c r="UU37" i="9"/>
  <c r="UY37" i="9"/>
  <c r="UZ37" i="9"/>
  <c r="VA37" i="9"/>
  <c r="VD37" i="9"/>
  <c r="VG37" i="9"/>
  <c r="VM37" i="9"/>
  <c r="VR37" i="9"/>
  <c r="VU37" i="9"/>
  <c r="WB37" i="9"/>
  <c r="VY37" i="9" s="1"/>
  <c r="WC37" i="9"/>
  <c r="VZ37" i="9" s="1"/>
  <c r="VL37" i="9" s="1"/>
  <c r="WG37" i="9"/>
  <c r="WJ37" i="9"/>
  <c r="WK37" i="9"/>
  <c r="WP37" i="9"/>
  <c r="WQ37" i="9"/>
  <c r="WT37" i="9"/>
  <c r="WW37" i="9"/>
  <c r="XD37" i="9"/>
  <c r="XA37" i="9" s="1"/>
  <c r="WX37" i="9" s="1"/>
  <c r="WH37" i="9" s="1"/>
  <c r="XE37" i="9"/>
  <c r="XM37" i="9"/>
  <c r="XP37" i="9"/>
  <c r="XS37" i="9"/>
  <c r="XV37" i="9"/>
  <c r="XZ37" i="9"/>
  <c r="YA37" i="9"/>
  <c r="UR52" i="9"/>
  <c r="UU52" i="9"/>
  <c r="UY52" i="9"/>
  <c r="UZ52" i="9"/>
  <c r="VA52" i="9"/>
  <c r="VD52" i="9"/>
  <c r="VG52" i="9"/>
  <c r="VM52" i="9"/>
  <c r="VR52" i="9"/>
  <c r="VU52" i="9"/>
  <c r="WB52" i="9"/>
  <c r="VY52" i="9" s="1"/>
  <c r="WC52" i="9"/>
  <c r="VZ52" i="9" s="1"/>
  <c r="VL52" i="9" s="1"/>
  <c r="WG52" i="9"/>
  <c r="WJ52" i="9"/>
  <c r="WK52" i="9"/>
  <c r="WP52" i="9"/>
  <c r="WQ52" i="9"/>
  <c r="WT52" i="9"/>
  <c r="WW52" i="9"/>
  <c r="XD52" i="9"/>
  <c r="XA52" i="9" s="1"/>
  <c r="WX52" i="9" s="1"/>
  <c r="WH52" i="9" s="1"/>
  <c r="XE52" i="9"/>
  <c r="XM52" i="9"/>
  <c r="XP52" i="9"/>
  <c r="XS52" i="9"/>
  <c r="XV52" i="9"/>
  <c r="XZ52" i="9"/>
  <c r="YA52" i="9"/>
  <c r="UR38" i="9"/>
  <c r="UU38" i="9"/>
  <c r="UY38" i="9"/>
  <c r="UZ38" i="9"/>
  <c r="VA38" i="9"/>
  <c r="VD38" i="9"/>
  <c r="VG38" i="9"/>
  <c r="VM38" i="9"/>
  <c r="VR38" i="9"/>
  <c r="VU38" i="9"/>
  <c r="WB38" i="9"/>
  <c r="VY38" i="9" s="1"/>
  <c r="WC38" i="9"/>
  <c r="VZ38" i="9" s="1"/>
  <c r="VL38" i="9" s="1"/>
  <c r="WG38" i="9"/>
  <c r="WJ38" i="9"/>
  <c r="WK38" i="9"/>
  <c r="WP38" i="9"/>
  <c r="WQ38" i="9"/>
  <c r="WT38" i="9"/>
  <c r="WW38" i="9"/>
  <c r="XD38" i="9"/>
  <c r="XA38" i="9" s="1"/>
  <c r="WX38" i="9" s="1"/>
  <c r="WH38" i="9" s="1"/>
  <c r="XE38" i="9"/>
  <c r="XM38" i="9"/>
  <c r="XP38" i="9"/>
  <c r="XS38" i="9"/>
  <c r="XV38" i="9"/>
  <c r="XZ38" i="9"/>
  <c r="YA38" i="9"/>
  <c r="UR64" i="9"/>
  <c r="UU64" i="9"/>
  <c r="UY64" i="9"/>
  <c r="UZ64" i="9"/>
  <c r="VA64" i="9"/>
  <c r="VD64" i="9"/>
  <c r="VG64" i="9"/>
  <c r="VM64" i="9"/>
  <c r="VR64" i="9"/>
  <c r="VU64" i="9"/>
  <c r="WB64" i="9"/>
  <c r="VY64" i="9" s="1"/>
  <c r="VK64" i="9" s="1"/>
  <c r="WC64" i="9"/>
  <c r="WG64" i="9"/>
  <c r="WJ64" i="9"/>
  <c r="WK64" i="9"/>
  <c r="WP64" i="9"/>
  <c r="WQ64" i="9"/>
  <c r="WT64" i="9"/>
  <c r="WW64" i="9"/>
  <c r="XD64" i="9"/>
  <c r="XA64" i="9" s="1"/>
  <c r="XE64" i="9"/>
  <c r="XB64" i="9" s="1"/>
  <c r="WY64" i="9" s="1"/>
  <c r="WI64" i="9" s="1"/>
  <c r="XM64" i="9"/>
  <c r="XP64" i="9"/>
  <c r="XS64" i="9"/>
  <c r="XV64" i="9"/>
  <c r="XZ64" i="9"/>
  <c r="YA64" i="9"/>
  <c r="J7" i="19"/>
  <c r="M7" i="19"/>
  <c r="P7" i="19"/>
  <c r="W7" i="19"/>
  <c r="AH7" i="19"/>
  <c r="AL7" i="19"/>
  <c r="AW7" i="19"/>
  <c r="J8" i="19"/>
  <c r="M8" i="19"/>
  <c r="P8" i="19"/>
  <c r="W8" i="19"/>
  <c r="AH8" i="19"/>
  <c r="AL8" i="19"/>
  <c r="AW8" i="19"/>
  <c r="J9" i="19"/>
  <c r="M9" i="19"/>
  <c r="P9" i="19"/>
  <c r="T9" i="19"/>
  <c r="T5" i="19" s="1"/>
  <c r="W9" i="19"/>
  <c r="Z9" i="19"/>
  <c r="Z5" i="19" s="1"/>
  <c r="AH9" i="19"/>
  <c r="AL9" i="19"/>
  <c r="AW9" i="19"/>
  <c r="J10" i="19"/>
  <c r="M10" i="19"/>
  <c r="P10" i="19"/>
  <c r="W10" i="19"/>
  <c r="AH10" i="19"/>
  <c r="AL10" i="19"/>
  <c r="AW10" i="19"/>
  <c r="J11" i="19"/>
  <c r="M11" i="19"/>
  <c r="P11" i="19"/>
  <c r="W11" i="19"/>
  <c r="AH11" i="19"/>
  <c r="AL11" i="19"/>
  <c r="AW11" i="19"/>
  <c r="J12" i="19"/>
  <c r="M12" i="19"/>
  <c r="P12" i="19"/>
  <c r="W12" i="19"/>
  <c r="AH12" i="19"/>
  <c r="AL12" i="19"/>
  <c r="AW12" i="19"/>
  <c r="J13" i="19"/>
  <c r="M13" i="19"/>
  <c r="P13" i="19"/>
  <c r="W13" i="19"/>
  <c r="AH13" i="19"/>
  <c r="AL13" i="19"/>
  <c r="AW13" i="19"/>
  <c r="J14" i="19"/>
  <c r="M14" i="19"/>
  <c r="P14" i="19"/>
  <c r="W14" i="19"/>
  <c r="AH14" i="19"/>
  <c r="AL14" i="19"/>
  <c r="AW14" i="19"/>
  <c r="J15" i="19"/>
  <c r="M15" i="19"/>
  <c r="P15" i="19"/>
  <c r="W15" i="19"/>
  <c r="AH15" i="19"/>
  <c r="AL15" i="19"/>
  <c r="AW15" i="19"/>
  <c r="J16" i="19"/>
  <c r="M16" i="19"/>
  <c r="P16" i="19"/>
  <c r="W16" i="19"/>
  <c r="AH16" i="19"/>
  <c r="AL16" i="19"/>
  <c r="AW16" i="19"/>
  <c r="J17" i="19"/>
  <c r="M17" i="19"/>
  <c r="P17" i="19"/>
  <c r="W17" i="19"/>
  <c r="AH17" i="19"/>
  <c r="AL17" i="19"/>
  <c r="AW17" i="19"/>
  <c r="J18" i="19"/>
  <c r="M18" i="19"/>
  <c r="P18" i="19"/>
  <c r="W18" i="19"/>
  <c r="AH18" i="19"/>
  <c r="AL18" i="19"/>
  <c r="AW18" i="19"/>
  <c r="J19" i="19"/>
  <c r="M19" i="19"/>
  <c r="P19" i="19"/>
  <c r="W19" i="19"/>
  <c r="AH19" i="19"/>
  <c r="AL19" i="19"/>
  <c r="AW19" i="19"/>
  <c r="J20" i="19"/>
  <c r="M20" i="19"/>
  <c r="P20" i="19"/>
  <c r="W20" i="19"/>
  <c r="AH20" i="19"/>
  <c r="AL20" i="19"/>
  <c r="AW20" i="19"/>
  <c r="J21" i="19"/>
  <c r="M21" i="19"/>
  <c r="P21" i="19"/>
  <c r="W21" i="19"/>
  <c r="AH21" i="19"/>
  <c r="AL21" i="19"/>
  <c r="AW21" i="19"/>
  <c r="J22" i="19"/>
  <c r="M22" i="19"/>
  <c r="P22" i="19"/>
  <c r="W22" i="19"/>
  <c r="AH22" i="19"/>
  <c r="AL22" i="19"/>
  <c r="AW22" i="19"/>
  <c r="J25" i="19"/>
  <c r="M25" i="19"/>
  <c r="P25" i="19"/>
  <c r="T25" i="19"/>
  <c r="W25" i="19"/>
  <c r="Z25" i="19"/>
  <c r="AH25" i="19"/>
  <c r="AL25" i="19"/>
  <c r="AW25" i="19"/>
  <c r="J26" i="19"/>
  <c r="M26" i="19"/>
  <c r="P26" i="19"/>
  <c r="T26" i="19"/>
  <c r="W26" i="19"/>
  <c r="Z26" i="19"/>
  <c r="AH26" i="19"/>
  <c r="AL26" i="19"/>
  <c r="AW26" i="19"/>
  <c r="J27" i="19"/>
  <c r="M27" i="19"/>
  <c r="P27" i="19"/>
  <c r="T27" i="19"/>
  <c r="W27" i="19"/>
  <c r="Z27" i="19"/>
  <c r="AH27" i="19"/>
  <c r="AL27" i="19"/>
  <c r="AW27" i="19"/>
  <c r="J28" i="19"/>
  <c r="M28" i="19"/>
  <c r="P28" i="19"/>
  <c r="T28" i="19"/>
  <c r="W28" i="19"/>
  <c r="Z28" i="19"/>
  <c r="AH28" i="19"/>
  <c r="AL28" i="19"/>
  <c r="AW28" i="19"/>
  <c r="J54" i="19"/>
  <c r="M54" i="19"/>
  <c r="P54" i="19"/>
  <c r="T54" i="19"/>
  <c r="W54" i="19"/>
  <c r="Z54" i="19"/>
  <c r="AH54" i="19"/>
  <c r="AL54" i="19"/>
  <c r="AW54" i="19"/>
  <c r="J29" i="19"/>
  <c r="M29" i="19"/>
  <c r="P29" i="19"/>
  <c r="T29" i="19"/>
  <c r="W29" i="19"/>
  <c r="Z29" i="19"/>
  <c r="AH29" i="19"/>
  <c r="AL29" i="19"/>
  <c r="AW29" i="19"/>
  <c r="J30" i="19"/>
  <c r="M30" i="19"/>
  <c r="P30" i="19"/>
  <c r="T30" i="19"/>
  <c r="W30" i="19"/>
  <c r="Z30" i="19"/>
  <c r="AH30" i="19"/>
  <c r="AL30" i="19"/>
  <c r="AW30" i="19"/>
  <c r="J40" i="19"/>
  <c r="M40" i="19"/>
  <c r="P40" i="19"/>
  <c r="T40" i="19"/>
  <c r="W40" i="19"/>
  <c r="Z40" i="19"/>
  <c r="AH40" i="19"/>
  <c r="AL40" i="19"/>
  <c r="AW40" i="19"/>
  <c r="J41" i="19"/>
  <c r="M41" i="19"/>
  <c r="P41" i="19"/>
  <c r="T41" i="19"/>
  <c r="W41" i="19"/>
  <c r="Z41" i="19"/>
  <c r="AH41" i="19"/>
  <c r="AL41" i="19"/>
  <c r="AW41" i="19"/>
  <c r="J42" i="19"/>
  <c r="M42" i="19"/>
  <c r="P42" i="19"/>
  <c r="T42" i="19"/>
  <c r="W42" i="19"/>
  <c r="Z42" i="19"/>
  <c r="AH42" i="19"/>
  <c r="AL42" i="19"/>
  <c r="AW42" i="19"/>
  <c r="J43" i="19"/>
  <c r="M43" i="19"/>
  <c r="P43" i="19"/>
  <c r="T43" i="19"/>
  <c r="W43" i="19"/>
  <c r="Z43" i="19"/>
  <c r="AH43" i="19"/>
  <c r="AL43" i="19"/>
  <c r="AW43" i="19"/>
  <c r="J55" i="19"/>
  <c r="M55" i="19"/>
  <c r="P55" i="19"/>
  <c r="T55" i="19"/>
  <c r="W55" i="19"/>
  <c r="Z55" i="19"/>
  <c r="AH55" i="19"/>
  <c r="AL55" i="19"/>
  <c r="AW55" i="19"/>
  <c r="J56" i="19"/>
  <c r="M56" i="19"/>
  <c r="P56" i="19"/>
  <c r="T56" i="19"/>
  <c r="W56" i="19"/>
  <c r="Z56" i="19"/>
  <c r="AH56" i="19"/>
  <c r="AL56" i="19"/>
  <c r="AW56" i="19"/>
  <c r="J44" i="19"/>
  <c r="M44" i="19"/>
  <c r="P44" i="19"/>
  <c r="T44" i="19"/>
  <c r="W44" i="19"/>
  <c r="Z44" i="19"/>
  <c r="AH44" i="19"/>
  <c r="AL44" i="19"/>
  <c r="AW44" i="19"/>
  <c r="J45" i="19"/>
  <c r="M45" i="19"/>
  <c r="P45" i="19"/>
  <c r="T45" i="19"/>
  <c r="W45" i="19"/>
  <c r="Z45" i="19"/>
  <c r="AH45" i="19"/>
  <c r="AL45" i="19"/>
  <c r="AW45" i="19"/>
  <c r="J46" i="19"/>
  <c r="M46" i="19"/>
  <c r="P46" i="19"/>
  <c r="T46" i="19"/>
  <c r="W46" i="19"/>
  <c r="Z46" i="19"/>
  <c r="AH46" i="19"/>
  <c r="AL46" i="19"/>
  <c r="AW46" i="19"/>
  <c r="J31" i="19"/>
  <c r="M31" i="19"/>
  <c r="P31" i="19"/>
  <c r="T31" i="19"/>
  <c r="W31" i="19"/>
  <c r="Z31" i="19"/>
  <c r="AH31" i="19"/>
  <c r="AL31" i="19"/>
  <c r="AW31" i="19"/>
  <c r="J47" i="19"/>
  <c r="M47" i="19"/>
  <c r="P47" i="19"/>
  <c r="T47" i="19"/>
  <c r="W47" i="19"/>
  <c r="Z47" i="19"/>
  <c r="AH47" i="19"/>
  <c r="AL47" i="19"/>
  <c r="AW47" i="19"/>
  <c r="J32" i="19"/>
  <c r="M32" i="19"/>
  <c r="P32" i="19"/>
  <c r="T32" i="19"/>
  <c r="W32" i="19"/>
  <c r="Z32" i="19"/>
  <c r="AH32" i="19"/>
  <c r="AL32" i="19"/>
  <c r="AW32" i="19"/>
  <c r="J57" i="19"/>
  <c r="M57" i="19"/>
  <c r="P57" i="19"/>
  <c r="T57" i="19"/>
  <c r="W57" i="19"/>
  <c r="Z57" i="19"/>
  <c r="AH57" i="19"/>
  <c r="AL57" i="19"/>
  <c r="AW57" i="19"/>
  <c r="J58" i="19"/>
  <c r="M58" i="19"/>
  <c r="P58" i="19"/>
  <c r="T58" i="19"/>
  <c r="W58" i="19"/>
  <c r="Z58" i="19"/>
  <c r="AH58" i="19"/>
  <c r="AL58" i="19"/>
  <c r="AW58" i="19"/>
  <c r="J33" i="19"/>
  <c r="M33" i="19"/>
  <c r="P33" i="19"/>
  <c r="T33" i="19"/>
  <c r="W33" i="19"/>
  <c r="Z33" i="19"/>
  <c r="AH33" i="19"/>
  <c r="AL33" i="19"/>
  <c r="AW33" i="19"/>
  <c r="J59" i="19"/>
  <c r="M59" i="19"/>
  <c r="P59" i="19"/>
  <c r="T59" i="19"/>
  <c r="W59" i="19"/>
  <c r="Z59" i="19"/>
  <c r="AH59" i="19"/>
  <c r="AL59" i="19"/>
  <c r="AW59" i="19"/>
  <c r="J48" i="19"/>
  <c r="M48" i="19"/>
  <c r="P48" i="19"/>
  <c r="T48" i="19"/>
  <c r="W48" i="19"/>
  <c r="Z48" i="19"/>
  <c r="AH48" i="19"/>
  <c r="AL48" i="19"/>
  <c r="AW48" i="19"/>
  <c r="J49" i="19"/>
  <c r="M49" i="19"/>
  <c r="P49" i="19"/>
  <c r="T49" i="19"/>
  <c r="W49" i="19"/>
  <c r="Z49" i="19"/>
  <c r="AH49" i="19"/>
  <c r="AL49" i="19"/>
  <c r="AW49" i="19"/>
  <c r="J34" i="19"/>
  <c r="M34" i="19"/>
  <c r="P34" i="19"/>
  <c r="T34" i="19"/>
  <c r="W34" i="19"/>
  <c r="Z34" i="19"/>
  <c r="AH34" i="19"/>
  <c r="AL34" i="19"/>
  <c r="AW34" i="19"/>
  <c r="J60" i="19"/>
  <c r="M60" i="19"/>
  <c r="P60" i="19"/>
  <c r="T60" i="19"/>
  <c r="W60" i="19"/>
  <c r="Z60" i="19"/>
  <c r="AH60" i="19"/>
  <c r="AL60" i="19"/>
  <c r="AW60" i="19"/>
  <c r="J61" i="19"/>
  <c r="M61" i="19"/>
  <c r="P61" i="19"/>
  <c r="T61" i="19"/>
  <c r="W61" i="19"/>
  <c r="Z61" i="19"/>
  <c r="AH61" i="19"/>
  <c r="AL61" i="19"/>
  <c r="AW61" i="19"/>
  <c r="J50" i="19"/>
  <c r="M50" i="19"/>
  <c r="P50" i="19"/>
  <c r="T50" i="19"/>
  <c r="W50" i="19"/>
  <c r="Z50" i="19"/>
  <c r="AH50" i="19"/>
  <c r="AL50" i="19"/>
  <c r="AW50" i="19"/>
  <c r="J35" i="19"/>
  <c r="M35" i="19"/>
  <c r="P35" i="19"/>
  <c r="T35" i="19"/>
  <c r="W35" i="19"/>
  <c r="Z35" i="19"/>
  <c r="AH35" i="19"/>
  <c r="AL35" i="19"/>
  <c r="AW35" i="19"/>
  <c r="J62" i="19"/>
  <c r="M62" i="19"/>
  <c r="P62" i="19"/>
  <c r="T62" i="19"/>
  <c r="W62" i="19"/>
  <c r="Z62" i="19"/>
  <c r="AH62" i="19"/>
  <c r="AL62" i="19"/>
  <c r="AW62" i="19"/>
  <c r="J36" i="19"/>
  <c r="M36" i="19"/>
  <c r="P36" i="19"/>
  <c r="T36" i="19"/>
  <c r="W36" i="19"/>
  <c r="Z36" i="19"/>
  <c r="AH36" i="19"/>
  <c r="AL36" i="19"/>
  <c r="AW36" i="19"/>
  <c r="J51" i="19"/>
  <c r="M51" i="19"/>
  <c r="P51" i="19"/>
  <c r="T51" i="19"/>
  <c r="W51" i="19"/>
  <c r="Z51" i="19"/>
  <c r="AH51" i="19"/>
  <c r="AL51" i="19"/>
  <c r="AW51" i="19"/>
  <c r="J37" i="19"/>
  <c r="M37" i="19"/>
  <c r="P37" i="19"/>
  <c r="T37" i="19"/>
  <c r="W37" i="19"/>
  <c r="Z37" i="19"/>
  <c r="AH37" i="19"/>
  <c r="AL37" i="19"/>
  <c r="AW37" i="19"/>
  <c r="J63" i="19"/>
  <c r="M63" i="19"/>
  <c r="P63" i="19"/>
  <c r="T63" i="19"/>
  <c r="W63" i="19"/>
  <c r="Z63" i="19"/>
  <c r="AH63" i="19"/>
  <c r="AL63" i="19"/>
  <c r="AW63" i="19"/>
  <c r="AH65" i="31" l="1"/>
  <c r="AT65" i="31"/>
  <c r="AH64" i="31"/>
  <c r="AT64" i="31"/>
  <c r="AH62" i="31"/>
  <c r="AT62" i="31"/>
  <c r="AH61" i="31"/>
  <c r="AT61" i="31"/>
  <c r="AF60" i="31"/>
  <c r="AR60" i="31"/>
  <c r="AJ49" i="31"/>
  <c r="AV49" i="31"/>
  <c r="AH47" i="31"/>
  <c r="AT47" i="31"/>
  <c r="AJ44" i="31"/>
  <c r="AV44" i="31"/>
  <c r="AF43" i="31"/>
  <c r="AR43" i="31"/>
  <c r="AH32" i="31"/>
  <c r="AT32" i="31"/>
  <c r="AH29" i="31"/>
  <c r="AT29" i="31"/>
  <c r="AJ13" i="31"/>
  <c r="AV13" i="31"/>
  <c r="AH39" i="31"/>
  <c r="AT39" i="31"/>
  <c r="AJ53" i="31"/>
  <c r="AV53" i="31"/>
  <c r="AF38" i="31"/>
  <c r="AR38" i="31"/>
  <c r="AH37" i="31"/>
  <c r="AT37" i="31"/>
  <c r="AJ52" i="31"/>
  <c r="AV52" i="31"/>
  <c r="AF63" i="31"/>
  <c r="AR63" i="31"/>
  <c r="AH36" i="31"/>
  <c r="AT36" i="31"/>
  <c r="AJ51" i="31"/>
  <c r="AV51" i="31"/>
  <c r="AF50" i="31"/>
  <c r="AR50" i="31"/>
  <c r="AH35" i="31"/>
  <c r="AT35" i="31"/>
  <c r="AJ60" i="31"/>
  <c r="AV60" i="31"/>
  <c r="AF59" i="31"/>
  <c r="AR59" i="31"/>
  <c r="AH49" i="31"/>
  <c r="AT49" i="31"/>
  <c r="AJ33" i="31"/>
  <c r="AV33" i="31"/>
  <c r="AF48" i="31"/>
  <c r="AR48" i="31"/>
  <c r="AH46" i="31"/>
  <c r="AT46" i="31"/>
  <c r="AJ58" i="31"/>
  <c r="AV58" i="31"/>
  <c r="AF57" i="31"/>
  <c r="AR57" i="31"/>
  <c r="AH44" i="31"/>
  <c r="AT44" i="31"/>
  <c r="AJ43" i="31"/>
  <c r="AV43" i="31"/>
  <c r="AF42" i="31"/>
  <c r="AR42" i="31"/>
  <c r="AH31" i="31"/>
  <c r="AT31" i="31"/>
  <c r="AJ56" i="31"/>
  <c r="AV56" i="31"/>
  <c r="AF30" i="31"/>
  <c r="AR30" i="31"/>
  <c r="AH28" i="31"/>
  <c r="AT28" i="31"/>
  <c r="AJ27" i="31"/>
  <c r="AV27" i="31"/>
  <c r="AF24" i="31"/>
  <c r="AR24" i="31"/>
  <c r="AH23" i="31"/>
  <c r="AT23" i="31"/>
  <c r="AF22" i="31"/>
  <c r="AR22" i="31"/>
  <c r="AH21" i="31"/>
  <c r="AT21" i="31"/>
  <c r="AF20" i="31"/>
  <c r="AR20" i="31"/>
  <c r="AH19" i="31"/>
  <c r="AT19" i="31"/>
  <c r="AF18" i="31"/>
  <c r="AR18" i="31"/>
  <c r="AH17" i="31"/>
  <c r="AT17" i="31"/>
  <c r="AF16" i="31"/>
  <c r="AR16" i="31"/>
  <c r="AH15" i="31"/>
  <c r="AT15" i="31"/>
  <c r="AF14" i="31"/>
  <c r="AR14" i="31"/>
  <c r="AH13" i="31"/>
  <c r="AT13" i="31"/>
  <c r="AF12" i="31"/>
  <c r="AR12" i="31"/>
  <c r="AH11" i="31"/>
  <c r="AT11" i="31"/>
  <c r="AJ10" i="31"/>
  <c r="AV10" i="31"/>
  <c r="AJ39" i="31"/>
  <c r="AV39" i="31"/>
  <c r="AF52" i="31"/>
  <c r="AR52" i="31"/>
  <c r="AJ35" i="31"/>
  <c r="AV35" i="31"/>
  <c r="AF33" i="31"/>
  <c r="AR33" i="31"/>
  <c r="AJ46" i="31"/>
  <c r="AV46" i="31"/>
  <c r="AH45" i="31"/>
  <c r="AT45" i="31"/>
  <c r="AJ31" i="31"/>
  <c r="AV31" i="31"/>
  <c r="AJ28" i="31"/>
  <c r="AV28" i="31"/>
  <c r="AJ23" i="31"/>
  <c r="AV23" i="31"/>
  <c r="AJ21" i="31"/>
  <c r="AV21" i="31"/>
  <c r="AJ11" i="31"/>
  <c r="AV11" i="31"/>
  <c r="AH9" i="31"/>
  <c r="AT9" i="31"/>
  <c r="AF65" i="31"/>
  <c r="AR65" i="31"/>
  <c r="AH53" i="31"/>
  <c r="AT53" i="31"/>
  <c r="AJ38" i="31"/>
  <c r="AV38" i="31"/>
  <c r="AF64" i="31"/>
  <c r="AR64" i="31"/>
  <c r="AH52" i="31"/>
  <c r="AT52" i="31"/>
  <c r="AJ63" i="31"/>
  <c r="AV63" i="31"/>
  <c r="AF62" i="31"/>
  <c r="AR62" i="31"/>
  <c r="AH51" i="31"/>
  <c r="AT51" i="31"/>
  <c r="AJ50" i="31"/>
  <c r="AV50" i="31"/>
  <c r="AF61" i="31"/>
  <c r="AR61" i="31"/>
  <c r="AH60" i="31"/>
  <c r="AT60" i="31"/>
  <c r="AJ59" i="31"/>
  <c r="AV59" i="31"/>
  <c r="AF34" i="31"/>
  <c r="AR34" i="31"/>
  <c r="AH33" i="31"/>
  <c r="AT33" i="31"/>
  <c r="AJ48" i="31"/>
  <c r="AV48" i="31"/>
  <c r="AF47" i="31"/>
  <c r="AR47" i="31"/>
  <c r="AH58" i="31"/>
  <c r="AT58" i="31"/>
  <c r="AJ57" i="31"/>
  <c r="AV57" i="31"/>
  <c r="AF45" i="31"/>
  <c r="AR45" i="31"/>
  <c r="AH43" i="31"/>
  <c r="AT43" i="31"/>
  <c r="AJ42" i="31"/>
  <c r="AV42" i="31"/>
  <c r="AF32" i="31"/>
  <c r="AR32" i="31"/>
  <c r="AH56" i="31"/>
  <c r="AT56" i="31"/>
  <c r="AJ30" i="31"/>
  <c r="AV30" i="31"/>
  <c r="AF29" i="31"/>
  <c r="AR29" i="31"/>
  <c r="AH27" i="31"/>
  <c r="AT27" i="31"/>
  <c r="AJ24" i="31"/>
  <c r="AV24" i="31"/>
  <c r="AJ22" i="31"/>
  <c r="AV22" i="31"/>
  <c r="AJ20" i="31"/>
  <c r="AV20" i="31"/>
  <c r="AJ18" i="31"/>
  <c r="AV18" i="31"/>
  <c r="AJ16" i="31"/>
  <c r="AV16" i="31"/>
  <c r="AJ14" i="31"/>
  <c r="AV14" i="31"/>
  <c r="AJ12" i="31"/>
  <c r="AV12" i="31"/>
  <c r="AH10" i="31"/>
  <c r="AT10" i="31"/>
  <c r="AF9" i="31"/>
  <c r="AR9" i="31"/>
  <c r="AF53" i="31"/>
  <c r="AR53" i="31"/>
  <c r="AJ37" i="31"/>
  <c r="AV37" i="31"/>
  <c r="AJ36" i="31"/>
  <c r="AV36" i="31"/>
  <c r="AF51" i="31"/>
  <c r="AR51" i="31"/>
  <c r="AH34" i="31"/>
  <c r="AT34" i="31"/>
  <c r="AF58" i="31"/>
  <c r="AR58" i="31"/>
  <c r="AF56" i="31"/>
  <c r="AR56" i="31"/>
  <c r="AF27" i="31"/>
  <c r="AR27" i="31"/>
  <c r="AJ19" i="31"/>
  <c r="AV19" i="31"/>
  <c r="AJ17" i="31"/>
  <c r="AV17" i="31"/>
  <c r="AJ15" i="31"/>
  <c r="AV15" i="31"/>
  <c r="AF10" i="31"/>
  <c r="AR10" i="31"/>
  <c r="AJ65" i="31"/>
  <c r="AV65" i="31"/>
  <c r="AF39" i="31"/>
  <c r="AR39" i="31"/>
  <c r="AH38" i="31"/>
  <c r="AT38" i="31"/>
  <c r="AJ64" i="31"/>
  <c r="AV64" i="31"/>
  <c r="AF37" i="31"/>
  <c r="AR37" i="31"/>
  <c r="AH63" i="31"/>
  <c r="AT63" i="31"/>
  <c r="AJ62" i="31"/>
  <c r="AV62" i="31"/>
  <c r="AF36" i="31"/>
  <c r="AR36" i="31"/>
  <c r="AH50" i="31"/>
  <c r="AT50" i="31"/>
  <c r="AJ61" i="31"/>
  <c r="AV61" i="31"/>
  <c r="AF35" i="31"/>
  <c r="AR35" i="31"/>
  <c r="AH59" i="31"/>
  <c r="AT59" i="31"/>
  <c r="AJ34" i="31"/>
  <c r="AV34" i="31"/>
  <c r="AF49" i="31"/>
  <c r="AR49" i="31"/>
  <c r="AH48" i="31"/>
  <c r="AT48" i="31"/>
  <c r="AJ47" i="31"/>
  <c r="AV47" i="31"/>
  <c r="AF46" i="31"/>
  <c r="AR46" i="31"/>
  <c r="AH57" i="31"/>
  <c r="AT57" i="31"/>
  <c r="AJ45" i="31"/>
  <c r="AV45" i="31"/>
  <c r="AF44" i="31"/>
  <c r="AR44" i="31"/>
  <c r="AH42" i="31"/>
  <c r="AT42" i="31"/>
  <c r="AJ32" i="31"/>
  <c r="AV32" i="31"/>
  <c r="AF31" i="31"/>
  <c r="AR31" i="31"/>
  <c r="AH30" i="31"/>
  <c r="AT30" i="31"/>
  <c r="AJ29" i="31"/>
  <c r="AV29" i="31"/>
  <c r="AF28" i="31"/>
  <c r="AR28" i="31"/>
  <c r="AH24" i="31"/>
  <c r="AT24" i="31"/>
  <c r="AF23" i="31"/>
  <c r="AR23" i="31"/>
  <c r="AH22" i="31"/>
  <c r="AT22" i="31"/>
  <c r="AF21" i="31"/>
  <c r="AR21" i="31"/>
  <c r="AH20" i="31"/>
  <c r="AT20" i="31"/>
  <c r="AF19" i="31"/>
  <c r="AR19" i="31"/>
  <c r="AH18" i="31"/>
  <c r="AT18" i="31"/>
  <c r="AF17" i="31"/>
  <c r="AR17" i="31"/>
  <c r="AH16" i="31"/>
  <c r="AT16" i="31"/>
  <c r="AF15" i="31"/>
  <c r="AR15" i="31"/>
  <c r="AH14" i="31"/>
  <c r="AT14" i="31"/>
  <c r="AF13" i="31"/>
  <c r="AR13" i="31"/>
  <c r="AH12" i="31"/>
  <c r="AT12" i="31"/>
  <c r="AF11" i="31"/>
  <c r="AR11" i="31"/>
  <c r="AJ9" i="31"/>
  <c r="AV9" i="31"/>
  <c r="B7" i="31"/>
  <c r="Z7" i="31"/>
  <c r="D7" i="31"/>
  <c r="AB7" i="31"/>
  <c r="F7" i="31"/>
  <c r="AD7" i="31"/>
  <c r="R7" i="31"/>
  <c r="J37" i="31"/>
  <c r="V37" i="31"/>
  <c r="J35" i="31"/>
  <c r="V35" i="31"/>
  <c r="H42" i="31"/>
  <c r="T42" i="31"/>
  <c r="L27" i="31"/>
  <c r="X27" i="31"/>
  <c r="J23" i="31"/>
  <c r="V23" i="31"/>
  <c r="H20" i="31"/>
  <c r="T20" i="31"/>
  <c r="H16" i="31"/>
  <c r="T16" i="31"/>
  <c r="J11" i="31"/>
  <c r="V11" i="31"/>
  <c r="J53" i="31"/>
  <c r="V53" i="31"/>
  <c r="L63" i="31"/>
  <c r="X63" i="31"/>
  <c r="L59" i="31"/>
  <c r="X59" i="31"/>
  <c r="L30" i="31"/>
  <c r="X30" i="31"/>
  <c r="L14" i="31"/>
  <c r="X14" i="31"/>
  <c r="L47" i="31"/>
  <c r="X47" i="31"/>
  <c r="H46" i="31"/>
  <c r="T46" i="31"/>
  <c r="J30" i="31"/>
  <c r="V30" i="31"/>
  <c r="J18" i="31"/>
  <c r="V18" i="31"/>
  <c r="H15" i="31"/>
  <c r="T15" i="31"/>
  <c r="J47" i="31"/>
  <c r="V47" i="31"/>
  <c r="L44" i="31"/>
  <c r="X44" i="31"/>
  <c r="H43" i="31"/>
  <c r="T43" i="31"/>
  <c r="J32" i="31"/>
  <c r="V32" i="31"/>
  <c r="L28" i="31"/>
  <c r="X28" i="31"/>
  <c r="H27" i="31"/>
  <c r="T27" i="31"/>
  <c r="L21" i="31"/>
  <c r="X21" i="31"/>
  <c r="L17" i="31"/>
  <c r="X17" i="31"/>
  <c r="L13" i="31"/>
  <c r="X13" i="31"/>
  <c r="J39" i="31"/>
  <c r="V39" i="31"/>
  <c r="L52" i="31"/>
  <c r="X52" i="31"/>
  <c r="H63" i="31"/>
  <c r="T63" i="31"/>
  <c r="J36" i="31"/>
  <c r="V36" i="31"/>
  <c r="L60" i="31"/>
  <c r="X60" i="31"/>
  <c r="H59" i="31"/>
  <c r="T59" i="31"/>
  <c r="J49" i="31"/>
  <c r="V49" i="31"/>
  <c r="L58" i="31"/>
  <c r="X58" i="31"/>
  <c r="H57" i="31"/>
  <c r="T57" i="31"/>
  <c r="J44" i="31"/>
  <c r="V44" i="31"/>
  <c r="L56" i="31"/>
  <c r="X56" i="31"/>
  <c r="H30" i="31"/>
  <c r="T30" i="31"/>
  <c r="J28" i="31"/>
  <c r="V28" i="31"/>
  <c r="H22" i="31"/>
  <c r="T22" i="31"/>
  <c r="J21" i="31"/>
  <c r="V21" i="31"/>
  <c r="H18" i="31"/>
  <c r="T18" i="31"/>
  <c r="J17" i="31"/>
  <c r="V17" i="31"/>
  <c r="H14" i="31"/>
  <c r="T14" i="31"/>
  <c r="J13" i="31"/>
  <c r="V13" i="31"/>
  <c r="L10" i="31"/>
  <c r="X10" i="31"/>
  <c r="N7" i="31"/>
  <c r="H38" i="31"/>
  <c r="T38" i="31"/>
  <c r="L51" i="31"/>
  <c r="X51" i="31"/>
  <c r="H50" i="31"/>
  <c r="T50" i="31"/>
  <c r="J46" i="31"/>
  <c r="V46" i="31"/>
  <c r="J31" i="31"/>
  <c r="V31" i="31"/>
  <c r="J15" i="31"/>
  <c r="V15" i="31"/>
  <c r="H65" i="31"/>
  <c r="T65" i="31"/>
  <c r="L57" i="31"/>
  <c r="X57" i="31"/>
  <c r="H29" i="31"/>
  <c r="T29" i="31"/>
  <c r="J27" i="31"/>
  <c r="V27" i="31"/>
  <c r="H37" i="31"/>
  <c r="T37" i="31"/>
  <c r="J63" i="31"/>
  <c r="V63" i="31"/>
  <c r="H35" i="31"/>
  <c r="T35" i="31"/>
  <c r="J22" i="31"/>
  <c r="V22" i="31"/>
  <c r="H11" i="31"/>
  <c r="T11" i="31"/>
  <c r="L39" i="31"/>
  <c r="X39" i="31"/>
  <c r="J64" i="31"/>
  <c r="V64" i="31"/>
  <c r="J61" i="31"/>
  <c r="V61" i="31"/>
  <c r="L49" i="31"/>
  <c r="X49" i="31"/>
  <c r="H33" i="31"/>
  <c r="T33" i="31"/>
  <c r="J52" i="31"/>
  <c r="V52" i="31"/>
  <c r="J58" i="31"/>
  <c r="V58" i="31"/>
  <c r="J56" i="31"/>
  <c r="V56" i="31"/>
  <c r="L12" i="31"/>
  <c r="X12" i="31"/>
  <c r="J10" i="31"/>
  <c r="V10" i="31"/>
  <c r="L65" i="31"/>
  <c r="X65" i="31"/>
  <c r="H39" i="31"/>
  <c r="T39" i="31"/>
  <c r="J38" i="31"/>
  <c r="V38" i="31"/>
  <c r="L62" i="31"/>
  <c r="X62" i="31"/>
  <c r="H36" i="31"/>
  <c r="T36" i="31"/>
  <c r="J50" i="31"/>
  <c r="V50" i="31"/>
  <c r="L34" i="31"/>
  <c r="X34" i="31"/>
  <c r="H49" i="31"/>
  <c r="T49" i="31"/>
  <c r="J48" i="31"/>
  <c r="V48" i="31"/>
  <c r="L45" i="31"/>
  <c r="X45" i="31"/>
  <c r="H44" i="31"/>
  <c r="T44" i="31"/>
  <c r="J42" i="31"/>
  <c r="V42" i="31"/>
  <c r="L29" i="31"/>
  <c r="X29" i="31"/>
  <c r="H28" i="31"/>
  <c r="T28" i="31"/>
  <c r="J24" i="31"/>
  <c r="V24" i="31"/>
  <c r="H21" i="31"/>
  <c r="T21" i="31"/>
  <c r="J20" i="31"/>
  <c r="V20" i="31"/>
  <c r="H17" i="31"/>
  <c r="T17" i="31"/>
  <c r="J16" i="31"/>
  <c r="V16" i="31"/>
  <c r="H13" i="31"/>
  <c r="T13" i="31"/>
  <c r="J12" i="31"/>
  <c r="V12" i="31"/>
  <c r="L9" i="31"/>
  <c r="X9" i="31"/>
  <c r="L53" i="31"/>
  <c r="X53" i="31"/>
  <c r="L33" i="31"/>
  <c r="X33" i="31"/>
  <c r="H48" i="31"/>
  <c r="T48" i="31"/>
  <c r="L43" i="31"/>
  <c r="X43" i="31"/>
  <c r="H24" i="31"/>
  <c r="T24" i="31"/>
  <c r="J19" i="31"/>
  <c r="V19" i="31"/>
  <c r="H12" i="31"/>
  <c r="T12" i="31"/>
  <c r="H62" i="31"/>
  <c r="T62" i="31"/>
  <c r="J51" i="31"/>
  <c r="V51" i="31"/>
  <c r="H34" i="31"/>
  <c r="T34" i="31"/>
  <c r="J33" i="31"/>
  <c r="V33" i="31"/>
  <c r="H45" i="31"/>
  <c r="T45" i="31"/>
  <c r="J43" i="31"/>
  <c r="V43" i="31"/>
  <c r="L22" i="31"/>
  <c r="X22" i="31"/>
  <c r="L18" i="31"/>
  <c r="X18" i="31"/>
  <c r="H9" i="31"/>
  <c r="T9" i="31"/>
  <c r="L64" i="31"/>
  <c r="X64" i="31"/>
  <c r="L61" i="31"/>
  <c r="X61" i="31"/>
  <c r="J59" i="31"/>
  <c r="V59" i="31"/>
  <c r="J57" i="31"/>
  <c r="V57" i="31"/>
  <c r="L32" i="31"/>
  <c r="X32" i="31"/>
  <c r="H31" i="31"/>
  <c r="T31" i="31"/>
  <c r="H23" i="31"/>
  <c r="T23" i="31"/>
  <c r="H19" i="31"/>
  <c r="T19" i="31"/>
  <c r="J14" i="31"/>
  <c r="V14" i="31"/>
  <c r="H53" i="31"/>
  <c r="T53" i="31"/>
  <c r="L36" i="31"/>
  <c r="X36" i="31"/>
  <c r="H51" i="31"/>
  <c r="T51" i="31"/>
  <c r="L38" i="31"/>
  <c r="X38" i="31"/>
  <c r="H64" i="31"/>
  <c r="T64" i="31"/>
  <c r="L50" i="31"/>
  <c r="X50" i="31"/>
  <c r="H61" i="31"/>
  <c r="T61" i="31"/>
  <c r="J60" i="31"/>
  <c r="V60" i="31"/>
  <c r="L48" i="31"/>
  <c r="X48" i="31"/>
  <c r="H47" i="31"/>
  <c r="T47" i="31"/>
  <c r="L42" i="31"/>
  <c r="X42" i="31"/>
  <c r="H32" i="31"/>
  <c r="T32" i="31"/>
  <c r="L24" i="31"/>
  <c r="X24" i="31"/>
  <c r="L20" i="31"/>
  <c r="X20" i="31"/>
  <c r="L16" i="31"/>
  <c r="X16" i="31"/>
  <c r="J65" i="31"/>
  <c r="V65" i="31"/>
  <c r="L37" i="31"/>
  <c r="X37" i="31"/>
  <c r="H52" i="31"/>
  <c r="T52" i="31"/>
  <c r="J62" i="31"/>
  <c r="V62" i="31"/>
  <c r="L35" i="31"/>
  <c r="X35" i="31"/>
  <c r="H60" i="31"/>
  <c r="T60" i="31"/>
  <c r="J34" i="31"/>
  <c r="V34" i="31"/>
  <c r="L46" i="31"/>
  <c r="X46" i="31"/>
  <c r="H58" i="31"/>
  <c r="T58" i="31"/>
  <c r="J45" i="31"/>
  <c r="V45" i="31"/>
  <c r="L31" i="31"/>
  <c r="X31" i="31"/>
  <c r="H56" i="31"/>
  <c r="T56" i="31"/>
  <c r="J29" i="31"/>
  <c r="V29" i="31"/>
  <c r="L23" i="31"/>
  <c r="X23" i="31"/>
  <c r="L19" i="31"/>
  <c r="X19" i="31"/>
  <c r="L15" i="31"/>
  <c r="X15" i="31"/>
  <c r="L11" i="31"/>
  <c r="X11" i="31"/>
  <c r="H10" i="31"/>
  <c r="T10" i="31"/>
  <c r="J9" i="31"/>
  <c r="V9" i="31"/>
  <c r="P7" i="31"/>
  <c r="E41" i="23"/>
  <c r="E26" i="23"/>
  <c r="E55" i="23"/>
  <c r="GB5" i="9"/>
  <c r="WF5" i="9"/>
  <c r="YH5" i="9"/>
  <c r="JK5" i="9"/>
  <c r="VO5" i="9"/>
  <c r="VT5" i="9"/>
  <c r="WL5" i="9"/>
  <c r="XF5" i="9"/>
  <c r="XO5" i="9"/>
  <c r="MC5" i="9"/>
  <c r="YK5" i="9"/>
  <c r="JI5" i="9"/>
  <c r="XY58" i="9"/>
  <c r="UT5" i="9"/>
  <c r="XY29" i="9"/>
  <c r="FW5" i="9"/>
  <c r="XY26" i="9"/>
  <c r="XY11" i="9"/>
  <c r="XK5" i="9"/>
  <c r="XY36" i="9"/>
  <c r="US5" i="9"/>
  <c r="VJ5" i="9"/>
  <c r="VP5" i="9"/>
  <c r="JL5" i="9"/>
  <c r="VV5" i="9"/>
  <c r="WS5" i="9"/>
  <c r="XW5" i="9"/>
  <c r="VW5" i="9"/>
  <c r="VH5" i="9"/>
  <c r="WE5" i="9"/>
  <c r="YC5" i="9"/>
  <c r="MG5" i="9"/>
  <c r="XY32" i="9"/>
  <c r="FR5" i="9"/>
  <c r="MH5" i="9"/>
  <c r="AR43" i="19"/>
  <c r="AR58" i="19"/>
  <c r="AR59" i="19"/>
  <c r="GA5" i="9"/>
  <c r="YP5" i="9"/>
  <c r="WV5" i="9"/>
  <c r="XN5" i="9"/>
  <c r="YB5" i="9"/>
  <c r="L5" i="9"/>
  <c r="FQ5" i="9"/>
  <c r="ABD5" i="9"/>
  <c r="CG6" i="31" s="1"/>
  <c r="WU5" i="9"/>
  <c r="XL5" i="9"/>
  <c r="XX5" i="9"/>
  <c r="YI5" i="9"/>
  <c r="XY22" i="9"/>
  <c r="XY20" i="9"/>
  <c r="XY18" i="9"/>
  <c r="XY16" i="9"/>
  <c r="XY12" i="9"/>
  <c r="N5" i="9"/>
  <c r="MD5" i="9"/>
  <c r="CC6" i="31"/>
  <c r="XY38" i="9"/>
  <c r="XY50" i="9"/>
  <c r="XY56" i="9"/>
  <c r="XY42" i="9"/>
  <c r="RU5" i="9"/>
  <c r="VS5" i="9"/>
  <c r="XY23" i="9"/>
  <c r="XY19" i="9"/>
  <c r="XY14" i="9"/>
  <c r="RW5" i="9"/>
  <c r="FV5" i="9"/>
  <c r="FM5" i="9"/>
  <c r="JF5" i="9"/>
  <c r="SB5" i="9"/>
  <c r="ABH5" i="9"/>
  <c r="WN5" i="9"/>
  <c r="XH5" i="9"/>
  <c r="XR5" i="9"/>
  <c r="YE5" i="9"/>
  <c r="WR5" i="9"/>
  <c r="XU5" i="9"/>
  <c r="YO5" i="9"/>
  <c r="XY47" i="9"/>
  <c r="XY57" i="9"/>
  <c r="XY21" i="9"/>
  <c r="XY17" i="9"/>
  <c r="XY15" i="9"/>
  <c r="XY13" i="9"/>
  <c r="SD5" i="9"/>
  <c r="XY49" i="9"/>
  <c r="XY59" i="9"/>
  <c r="XY41" i="9"/>
  <c r="XY55" i="9"/>
  <c r="ABG5" i="9"/>
  <c r="VC5" i="9"/>
  <c r="WM5" i="9"/>
  <c r="XG5" i="9"/>
  <c r="XQ5" i="9"/>
  <c r="YD5" i="9"/>
  <c r="WO5" i="9"/>
  <c r="XI5" i="9"/>
  <c r="XT5" i="9"/>
  <c r="YF5" i="9"/>
  <c r="GJ5" i="9"/>
  <c r="JD5" i="9"/>
  <c r="CA6" i="31" s="1"/>
  <c r="MF5" i="9"/>
  <c r="UX5" i="9"/>
  <c r="YJ5" i="9"/>
  <c r="XY52" i="9"/>
  <c r="XY51" i="9"/>
  <c r="XY10" i="9"/>
  <c r="FP5" i="9"/>
  <c r="JJ5" i="9"/>
  <c r="SC5" i="9"/>
  <c r="ABF5" i="9"/>
  <c r="UW5" i="9"/>
  <c r="GG5" i="9"/>
  <c r="XY62" i="9"/>
  <c r="SA5" i="9"/>
  <c r="YG5" i="9"/>
  <c r="XY61" i="9"/>
  <c r="XY60" i="9"/>
  <c r="XY33" i="9"/>
  <c r="XY46" i="9"/>
  <c r="XY44" i="9"/>
  <c r="XY31" i="9"/>
  <c r="XY28" i="9"/>
  <c r="J5" i="9"/>
  <c r="FZ5" i="9"/>
  <c r="GK5" i="9"/>
  <c r="FY5" i="9"/>
  <c r="JH5" i="9"/>
  <c r="MJ5" i="9"/>
  <c r="RZ5" i="9"/>
  <c r="VF5" i="9"/>
  <c r="YN5" i="9"/>
  <c r="GH5" i="9"/>
  <c r="XY9" i="9"/>
  <c r="XY8" i="9"/>
  <c r="FN5" i="9"/>
  <c r="VQ5" i="9"/>
  <c r="XJ5" i="9"/>
  <c r="XY64" i="9"/>
  <c r="XY63" i="9"/>
  <c r="FO5" i="9"/>
  <c r="GF5" i="9"/>
  <c r="MB5" i="9"/>
  <c r="MI5" i="9"/>
  <c r="YM5" i="9"/>
  <c r="ME5" i="9"/>
  <c r="XY37" i="9"/>
  <c r="XC62" i="9"/>
  <c r="XY35" i="9"/>
  <c r="XY34" i="9"/>
  <c r="XY48" i="9"/>
  <c r="XY45" i="9"/>
  <c r="XY43" i="9"/>
  <c r="XY30" i="9"/>
  <c r="XY27" i="9"/>
  <c r="H5" i="9"/>
  <c r="P5" i="9"/>
  <c r="FT5" i="9"/>
  <c r="FX5" i="9"/>
  <c r="JM5" i="9"/>
  <c r="MA5" i="9"/>
  <c r="RY5" i="9"/>
  <c r="CE6" i="31"/>
  <c r="VE5" i="9"/>
  <c r="VN5" i="9"/>
  <c r="WD5" i="9"/>
  <c r="YL5" i="9"/>
  <c r="AL52" i="19"/>
  <c r="Z52" i="19"/>
  <c r="T52" i="19"/>
  <c r="M52" i="19"/>
  <c r="AL38" i="19"/>
  <c r="Z38" i="19"/>
  <c r="T38" i="19"/>
  <c r="M38" i="19"/>
  <c r="AW23" i="19"/>
  <c r="AH23" i="19"/>
  <c r="W23" i="19"/>
  <c r="P23" i="19"/>
  <c r="J23" i="19"/>
  <c r="AW5" i="19"/>
  <c r="AH5" i="19"/>
  <c r="P5" i="19"/>
  <c r="J5" i="19"/>
  <c r="AW38" i="19"/>
  <c r="AR25" i="19"/>
  <c r="AL23" i="19"/>
  <c r="AW52" i="19"/>
  <c r="AH52" i="19"/>
  <c r="W52" i="19"/>
  <c r="P52" i="19"/>
  <c r="J52" i="19"/>
  <c r="AH38" i="19"/>
  <c r="W38" i="19"/>
  <c r="P38" i="19"/>
  <c r="J38" i="19"/>
  <c r="Z23" i="19"/>
  <c r="T23" i="19"/>
  <c r="M23" i="19"/>
  <c r="AL5" i="19"/>
  <c r="W5" i="19"/>
  <c r="M5" i="19"/>
  <c r="AR36" i="19"/>
  <c r="AR33" i="19"/>
  <c r="AR57" i="19"/>
  <c r="AR42" i="19"/>
  <c r="AR40" i="19"/>
  <c r="AR29" i="19"/>
  <c r="AR28" i="19"/>
  <c r="XZ39" i="9"/>
  <c r="XV39" i="9"/>
  <c r="XP39" i="9"/>
  <c r="XE39" i="9"/>
  <c r="WW39" i="9"/>
  <c r="WQ39" i="9"/>
  <c r="WK39" i="9"/>
  <c r="VY39" i="9"/>
  <c r="VR39" i="9"/>
  <c r="VG39" i="9"/>
  <c r="VA39" i="9"/>
  <c r="UY39" i="9"/>
  <c r="UR39" i="9"/>
  <c r="XZ53" i="9"/>
  <c r="XV53" i="9"/>
  <c r="XP53" i="9"/>
  <c r="XE53" i="9"/>
  <c r="WW53" i="9"/>
  <c r="WQ53" i="9"/>
  <c r="WK53" i="9"/>
  <c r="VY53" i="9"/>
  <c r="VR53" i="9"/>
  <c r="VG53" i="9"/>
  <c r="VA53" i="9"/>
  <c r="UY53" i="9"/>
  <c r="UR53" i="9"/>
  <c r="XZ24" i="9"/>
  <c r="XV24" i="9"/>
  <c r="XP24" i="9"/>
  <c r="XE24" i="9"/>
  <c r="WW24" i="9"/>
  <c r="WQ24" i="9"/>
  <c r="WK24" i="9"/>
  <c r="VY24" i="9"/>
  <c r="VR24" i="9"/>
  <c r="VG24" i="9"/>
  <c r="VA24" i="9"/>
  <c r="UY24" i="9"/>
  <c r="UR24" i="9"/>
  <c r="YA6" i="9"/>
  <c r="XS6" i="9"/>
  <c r="XM6" i="9"/>
  <c r="VD6" i="9"/>
  <c r="UZ6" i="9"/>
  <c r="UU6" i="9"/>
  <c r="JC6" i="9"/>
  <c r="BY7" i="31" s="1"/>
  <c r="JA6" i="9"/>
  <c r="IY6" i="9"/>
  <c r="E6" i="9"/>
  <c r="C6" i="9"/>
  <c r="CC5" i="9"/>
  <c r="CE5" i="9"/>
  <c r="CG5" i="9"/>
  <c r="YA39" i="9"/>
  <c r="XS39" i="9"/>
  <c r="XM39" i="9"/>
  <c r="WH39" i="9"/>
  <c r="VL39" i="9"/>
  <c r="VU39" i="9"/>
  <c r="VM39" i="9"/>
  <c r="VD39" i="9"/>
  <c r="UZ39" i="9"/>
  <c r="UU39" i="9"/>
  <c r="YA53" i="9"/>
  <c r="XS53" i="9"/>
  <c r="XM53" i="9"/>
  <c r="VL53" i="9"/>
  <c r="VU53" i="9"/>
  <c r="VM53" i="9"/>
  <c r="VD53" i="9"/>
  <c r="UZ53" i="9"/>
  <c r="UU53" i="9"/>
  <c r="YA24" i="9"/>
  <c r="XS24" i="9"/>
  <c r="XM24" i="9"/>
  <c r="WH24" i="9"/>
  <c r="WT24" i="9"/>
  <c r="WP24" i="9"/>
  <c r="WJ24" i="9"/>
  <c r="VL24" i="9"/>
  <c r="VU24" i="9"/>
  <c r="VM24" i="9"/>
  <c r="VD24" i="9"/>
  <c r="UZ24" i="9"/>
  <c r="UU24" i="9"/>
  <c r="XZ6" i="9"/>
  <c r="XV6" i="9"/>
  <c r="XP6" i="9"/>
  <c r="WI6" i="9"/>
  <c r="WW6" i="9"/>
  <c r="WQ6" i="9"/>
  <c r="WK6" i="9"/>
  <c r="WG6" i="9"/>
  <c r="WB6" i="9"/>
  <c r="VR6" i="9"/>
  <c r="VG6" i="9"/>
  <c r="VA6" i="9"/>
  <c r="UY6" i="9"/>
  <c r="UR6" i="9"/>
  <c r="JB6" i="9"/>
  <c r="BW7" i="31" s="1"/>
  <c r="IZ6" i="9"/>
  <c r="F6" i="9"/>
  <c r="D6" i="9"/>
  <c r="G5" i="9"/>
  <c r="I5" i="9"/>
  <c r="K5" i="9"/>
  <c r="M5" i="9"/>
  <c r="O5" i="9"/>
  <c r="CD5" i="9"/>
  <c r="CF5" i="9"/>
  <c r="CJ5" i="9"/>
  <c r="CH5" i="9"/>
  <c r="CL5" i="9"/>
  <c r="GC5" i="9"/>
  <c r="GE5" i="9"/>
  <c r="GD5" i="9"/>
  <c r="GI5" i="9"/>
  <c r="JE5" i="9"/>
  <c r="JG5" i="9"/>
  <c r="RV5" i="9"/>
  <c r="RX5" i="9"/>
  <c r="UV5" i="9"/>
  <c r="VB5" i="9"/>
  <c r="VI5" i="9"/>
  <c r="WH53" i="9"/>
  <c r="FS5" i="9"/>
  <c r="AL6" i="31" s="1"/>
  <c r="FU5" i="9"/>
  <c r="AP6" i="31" s="1"/>
  <c r="VM6" i="9"/>
  <c r="VU6" i="9"/>
  <c r="WC6" i="9"/>
  <c r="VZ24" i="9"/>
  <c r="WB24" i="9"/>
  <c r="WC39" i="9"/>
  <c r="VZ53" i="9"/>
  <c r="WB53" i="9"/>
  <c r="WJ6" i="9"/>
  <c r="WP6" i="9"/>
  <c r="WT6" i="9"/>
  <c r="XB6" i="9"/>
  <c r="XD6" i="9"/>
  <c r="WX24" i="9"/>
  <c r="XD24" i="9"/>
  <c r="WJ39" i="9"/>
  <c r="WP39" i="9"/>
  <c r="WT39" i="9"/>
  <c r="WX39" i="9"/>
  <c r="XD39" i="9"/>
  <c r="WJ53" i="9"/>
  <c r="WP53" i="9"/>
  <c r="WT53" i="9"/>
  <c r="WX53" i="9"/>
  <c r="XD53" i="9"/>
  <c r="XC56" i="9"/>
  <c r="B6" i="9"/>
  <c r="CI5" i="9"/>
  <c r="CK5" i="9"/>
  <c r="FH6" i="9"/>
  <c r="ABE5" i="9"/>
  <c r="WC24" i="9"/>
  <c r="VZ39" i="9"/>
  <c r="WB39" i="9"/>
  <c r="WC53" i="9"/>
  <c r="WY6" i="9"/>
  <c r="XE6" i="9"/>
  <c r="WG24" i="9"/>
  <c r="XA24" i="9"/>
  <c r="WG39" i="9"/>
  <c r="XA39" i="9"/>
  <c r="WG53" i="9"/>
  <c r="XA53" i="9"/>
  <c r="XC58" i="9"/>
  <c r="XC29" i="9"/>
  <c r="XC37" i="9"/>
  <c r="XC49" i="9"/>
  <c r="XC47" i="9"/>
  <c r="XC41" i="9"/>
  <c r="XC38" i="9"/>
  <c r="XC36" i="9"/>
  <c r="XC35" i="9"/>
  <c r="XC34" i="9"/>
  <c r="XC48" i="9"/>
  <c r="XC45" i="9"/>
  <c r="XC43" i="9"/>
  <c r="XC30" i="9"/>
  <c r="XC27" i="9"/>
  <c r="XC52" i="9"/>
  <c r="XC63" i="9"/>
  <c r="XC51" i="9"/>
  <c r="XC61" i="9"/>
  <c r="XC50" i="9"/>
  <c r="XC60" i="9"/>
  <c r="XC59" i="9"/>
  <c r="XC33" i="9"/>
  <c r="XC32" i="9"/>
  <c r="XC46" i="9"/>
  <c r="XC57" i="9"/>
  <c r="XC44" i="9"/>
  <c r="XC42" i="9"/>
  <c r="XC31" i="9"/>
  <c r="XC55" i="9"/>
  <c r="XC28" i="9"/>
  <c r="XC26" i="9"/>
  <c r="VX13" i="9"/>
  <c r="VX11" i="9"/>
  <c r="WA64" i="9"/>
  <c r="WA23" i="9"/>
  <c r="WA22" i="9"/>
  <c r="WA21" i="9"/>
  <c r="WA20" i="9"/>
  <c r="WA19" i="9"/>
  <c r="WA18" i="9"/>
  <c r="WA17" i="9"/>
  <c r="WA16" i="9"/>
  <c r="WA15" i="9"/>
  <c r="WA14" i="9"/>
  <c r="VX38" i="9"/>
  <c r="VK38" i="9"/>
  <c r="VX52" i="9"/>
  <c r="VK52" i="9"/>
  <c r="VX37" i="9"/>
  <c r="VK37" i="9"/>
  <c r="VX63" i="9"/>
  <c r="VK63" i="9"/>
  <c r="VX36" i="9"/>
  <c r="VK36" i="9"/>
  <c r="VX51" i="9"/>
  <c r="VK51" i="9"/>
  <c r="VX62" i="9"/>
  <c r="VK62" i="9"/>
  <c r="VX61" i="9"/>
  <c r="VK61" i="9"/>
  <c r="VX35" i="9"/>
  <c r="VK35" i="9"/>
  <c r="VX50" i="9"/>
  <c r="VK50" i="9"/>
  <c r="VX49" i="9"/>
  <c r="VK49" i="9"/>
  <c r="VX60" i="9"/>
  <c r="VK60" i="9"/>
  <c r="VX34" i="9"/>
  <c r="VK34" i="9"/>
  <c r="VX59" i="9"/>
  <c r="VK59" i="9"/>
  <c r="VX58" i="9"/>
  <c r="VK58" i="9"/>
  <c r="VX33" i="9"/>
  <c r="VK33" i="9"/>
  <c r="VX48" i="9"/>
  <c r="VK48" i="9"/>
  <c r="VX32" i="9"/>
  <c r="VK32" i="9"/>
  <c r="VX47" i="9"/>
  <c r="VK47" i="9"/>
  <c r="VX46" i="9"/>
  <c r="VK46" i="9"/>
  <c r="VX45" i="9"/>
  <c r="VK45" i="9"/>
  <c r="VX57" i="9"/>
  <c r="VK57" i="9"/>
  <c r="VX56" i="9"/>
  <c r="VK56" i="9"/>
  <c r="VX44" i="9"/>
  <c r="VK44" i="9"/>
  <c r="VX43" i="9"/>
  <c r="VK43" i="9"/>
  <c r="VX42" i="9"/>
  <c r="VK42" i="9"/>
  <c r="VX41" i="9"/>
  <c r="VK41" i="9"/>
  <c r="VX31" i="9"/>
  <c r="VK31" i="9"/>
  <c r="VX30" i="9"/>
  <c r="VK30" i="9"/>
  <c r="VX55" i="9"/>
  <c r="VK55" i="9"/>
  <c r="VX29" i="9"/>
  <c r="VK29" i="9"/>
  <c r="VX28" i="9"/>
  <c r="VK28" i="9"/>
  <c r="VX27" i="9"/>
  <c r="VK27" i="9"/>
  <c r="VX26" i="9"/>
  <c r="VK26" i="9"/>
  <c r="WX64" i="9"/>
  <c r="WH64" i="9" s="1"/>
  <c r="WZ64" i="9"/>
  <c r="WX23" i="9"/>
  <c r="WH23" i="9" s="1"/>
  <c r="WZ23" i="9"/>
  <c r="WX22" i="9"/>
  <c r="WH22" i="9" s="1"/>
  <c r="WZ22" i="9"/>
  <c r="WX21" i="9"/>
  <c r="WH21" i="9" s="1"/>
  <c r="WZ21" i="9"/>
  <c r="WX20" i="9"/>
  <c r="WH20" i="9" s="1"/>
  <c r="WZ20" i="9"/>
  <c r="WX19" i="9"/>
  <c r="WH19" i="9" s="1"/>
  <c r="WZ19" i="9"/>
  <c r="WX18" i="9"/>
  <c r="WH18" i="9" s="1"/>
  <c r="WZ18" i="9"/>
  <c r="WX17" i="9"/>
  <c r="WH17" i="9" s="1"/>
  <c r="WZ17" i="9"/>
  <c r="WX16" i="9"/>
  <c r="WH16" i="9" s="1"/>
  <c r="WZ16" i="9"/>
  <c r="WX15" i="9"/>
  <c r="WH15" i="9" s="1"/>
  <c r="WZ15" i="9"/>
  <c r="WX14" i="9"/>
  <c r="WH14" i="9" s="1"/>
  <c r="WZ14" i="9"/>
  <c r="XA13" i="9"/>
  <c r="XC13" i="9"/>
  <c r="XA11" i="9"/>
  <c r="XC11" i="9"/>
  <c r="WX10" i="9"/>
  <c r="WH10" i="9" s="1"/>
  <c r="WZ10" i="9"/>
  <c r="VY9" i="9"/>
  <c r="WA9" i="9"/>
  <c r="WX8" i="9"/>
  <c r="WZ8" i="9"/>
  <c r="XC64" i="9"/>
  <c r="VZ64" i="9"/>
  <c r="VL64" i="9" s="1"/>
  <c r="XB38" i="9"/>
  <c r="WY38" i="9" s="1"/>
  <c r="WI38" i="9" s="1"/>
  <c r="WA38" i="9"/>
  <c r="XB52" i="9"/>
  <c r="WY52" i="9" s="1"/>
  <c r="WI52" i="9" s="1"/>
  <c r="WA52" i="9"/>
  <c r="XB37" i="9"/>
  <c r="WY37" i="9" s="1"/>
  <c r="WI37" i="9" s="1"/>
  <c r="WA37" i="9"/>
  <c r="XB63" i="9"/>
  <c r="WY63" i="9" s="1"/>
  <c r="WI63" i="9" s="1"/>
  <c r="WA63" i="9"/>
  <c r="XB36" i="9"/>
  <c r="WY36" i="9" s="1"/>
  <c r="WI36" i="9" s="1"/>
  <c r="WA36" i="9"/>
  <c r="XB51" i="9"/>
  <c r="WY51" i="9" s="1"/>
  <c r="WI51" i="9" s="1"/>
  <c r="WA51" i="9"/>
  <c r="XB62" i="9"/>
  <c r="WY62" i="9" s="1"/>
  <c r="WI62" i="9" s="1"/>
  <c r="WA62" i="9"/>
  <c r="XB61" i="9"/>
  <c r="WY61" i="9" s="1"/>
  <c r="WI61" i="9" s="1"/>
  <c r="WA61" i="9"/>
  <c r="XB35" i="9"/>
  <c r="WY35" i="9" s="1"/>
  <c r="WI35" i="9" s="1"/>
  <c r="WA35" i="9"/>
  <c r="XB50" i="9"/>
  <c r="WY50" i="9" s="1"/>
  <c r="WI50" i="9" s="1"/>
  <c r="WA50" i="9"/>
  <c r="XB49" i="9"/>
  <c r="WY49" i="9" s="1"/>
  <c r="WI49" i="9" s="1"/>
  <c r="WA49" i="9"/>
  <c r="XB60" i="9"/>
  <c r="WY60" i="9" s="1"/>
  <c r="WI60" i="9" s="1"/>
  <c r="WA60" i="9"/>
  <c r="XB34" i="9"/>
  <c r="WY34" i="9" s="1"/>
  <c r="WI34" i="9" s="1"/>
  <c r="WA34" i="9"/>
  <c r="XB59" i="9"/>
  <c r="WY59" i="9" s="1"/>
  <c r="WI59" i="9" s="1"/>
  <c r="WA59" i="9"/>
  <c r="XB58" i="9"/>
  <c r="WY58" i="9" s="1"/>
  <c r="WI58" i="9" s="1"/>
  <c r="WA58" i="9"/>
  <c r="XB33" i="9"/>
  <c r="WY33" i="9" s="1"/>
  <c r="WI33" i="9" s="1"/>
  <c r="WA33" i="9"/>
  <c r="XB48" i="9"/>
  <c r="WY48" i="9" s="1"/>
  <c r="WI48" i="9" s="1"/>
  <c r="WA48" i="9"/>
  <c r="XB32" i="9"/>
  <c r="WY32" i="9" s="1"/>
  <c r="WI32" i="9" s="1"/>
  <c r="WA32" i="9"/>
  <c r="XB47" i="9"/>
  <c r="WY47" i="9" s="1"/>
  <c r="WI47" i="9" s="1"/>
  <c r="WA47" i="9"/>
  <c r="XB46" i="9"/>
  <c r="WY46" i="9" s="1"/>
  <c r="WI46" i="9" s="1"/>
  <c r="WA46" i="9"/>
  <c r="XB45" i="9"/>
  <c r="WY45" i="9" s="1"/>
  <c r="WI45" i="9" s="1"/>
  <c r="WA45" i="9"/>
  <c r="XB57" i="9"/>
  <c r="WY57" i="9" s="1"/>
  <c r="WI57" i="9" s="1"/>
  <c r="WA57" i="9"/>
  <c r="XB56" i="9"/>
  <c r="WY56" i="9" s="1"/>
  <c r="WI56" i="9" s="1"/>
  <c r="WA56" i="9"/>
  <c r="XB44" i="9"/>
  <c r="WY44" i="9" s="1"/>
  <c r="WI44" i="9" s="1"/>
  <c r="WA44" i="9"/>
  <c r="XB43" i="9"/>
  <c r="WY43" i="9" s="1"/>
  <c r="WI43" i="9" s="1"/>
  <c r="WA43" i="9"/>
  <c r="XB42" i="9"/>
  <c r="WY42" i="9" s="1"/>
  <c r="WI42" i="9" s="1"/>
  <c r="WA42" i="9"/>
  <c r="XB41" i="9"/>
  <c r="WA41" i="9"/>
  <c r="XB31" i="9"/>
  <c r="WY31" i="9" s="1"/>
  <c r="WI31" i="9" s="1"/>
  <c r="WA31" i="9"/>
  <c r="XB30" i="9"/>
  <c r="WY30" i="9" s="1"/>
  <c r="WI30" i="9" s="1"/>
  <c r="WA30" i="9"/>
  <c r="XB55" i="9"/>
  <c r="WA55" i="9"/>
  <c r="XB29" i="9"/>
  <c r="WY29" i="9" s="1"/>
  <c r="WI29" i="9" s="1"/>
  <c r="WA29" i="9"/>
  <c r="XB28" i="9"/>
  <c r="WY28" i="9" s="1"/>
  <c r="WI28" i="9" s="1"/>
  <c r="WA28" i="9"/>
  <c r="XB27" i="9"/>
  <c r="WY27" i="9" s="1"/>
  <c r="WI27" i="9" s="1"/>
  <c r="WA27" i="9"/>
  <c r="XB26" i="9"/>
  <c r="WA26" i="9"/>
  <c r="XC23" i="9"/>
  <c r="VZ23" i="9"/>
  <c r="VL23" i="9" s="1"/>
  <c r="XC22" i="9"/>
  <c r="VZ22" i="9"/>
  <c r="VL22" i="9" s="1"/>
  <c r="XC21" i="9"/>
  <c r="VZ21" i="9"/>
  <c r="VL21" i="9" s="1"/>
  <c r="XC20" i="9"/>
  <c r="VZ20" i="9"/>
  <c r="VL20" i="9" s="1"/>
  <c r="XC19" i="9"/>
  <c r="VZ19" i="9"/>
  <c r="VL19" i="9" s="1"/>
  <c r="XC18" i="9"/>
  <c r="VZ18" i="9"/>
  <c r="VL18" i="9" s="1"/>
  <c r="XC17" i="9"/>
  <c r="VZ17" i="9"/>
  <c r="VL17" i="9" s="1"/>
  <c r="XC16" i="9"/>
  <c r="VZ16" i="9"/>
  <c r="VL16" i="9" s="1"/>
  <c r="XC15" i="9"/>
  <c r="VZ15" i="9"/>
  <c r="VL15" i="9" s="1"/>
  <c r="XC14" i="9"/>
  <c r="VZ14" i="9"/>
  <c r="VL14" i="9" s="1"/>
  <c r="WA13" i="9"/>
  <c r="VX12" i="9"/>
  <c r="VK12" i="9"/>
  <c r="WA11" i="9"/>
  <c r="XC9" i="9"/>
  <c r="XA12" i="9"/>
  <c r="XC12" i="9"/>
  <c r="VY10" i="9"/>
  <c r="WA10" i="9"/>
  <c r="WX9" i="9"/>
  <c r="WH9" i="9" s="1"/>
  <c r="WZ9" i="9"/>
  <c r="VY8" i="9"/>
  <c r="WA8" i="9"/>
  <c r="VK13" i="9"/>
  <c r="WA12" i="9"/>
  <c r="VK11" i="9"/>
  <c r="XC10" i="9"/>
  <c r="XC8" i="9"/>
  <c r="AR63" i="19"/>
  <c r="AR37" i="19"/>
  <c r="AR51" i="19"/>
  <c r="AR62" i="19"/>
  <c r="AR35" i="19"/>
  <c r="AR50" i="19"/>
  <c r="AR61" i="19"/>
  <c r="AR60" i="19"/>
  <c r="AR34" i="19"/>
  <c r="AR49" i="19"/>
  <c r="AR48" i="19"/>
  <c r="AR32" i="19"/>
  <c r="AR47" i="19"/>
  <c r="AR31" i="19"/>
  <c r="AR46" i="19"/>
  <c r="AR45" i="19"/>
  <c r="AR44" i="19"/>
  <c r="AR56" i="19"/>
  <c r="AR55" i="19"/>
  <c r="AR41" i="19"/>
  <c r="AR30" i="19"/>
  <c r="AR54" i="19"/>
  <c r="AR27" i="19"/>
  <c r="AR26" i="19"/>
  <c r="AR22" i="19"/>
  <c r="AR21" i="19"/>
  <c r="AR20" i="19"/>
  <c r="AR19" i="19"/>
  <c r="AR18" i="19"/>
  <c r="AR17" i="19"/>
  <c r="AR16" i="19"/>
  <c r="AR15" i="19"/>
  <c r="AR14" i="19"/>
  <c r="AR13" i="19"/>
  <c r="AR12" i="19"/>
  <c r="AR11" i="19"/>
  <c r="AR10" i="19"/>
  <c r="AR9" i="19"/>
  <c r="AR8" i="19"/>
  <c r="AR7" i="19"/>
  <c r="AF25" i="31" l="1"/>
  <c r="AR25" i="31"/>
  <c r="AF7" i="31"/>
  <c r="AR7" i="31"/>
  <c r="AH25" i="31"/>
  <c r="AT25" i="31"/>
  <c r="AF40" i="31"/>
  <c r="AR40" i="31"/>
  <c r="AH7" i="31"/>
  <c r="AT7" i="31"/>
  <c r="AJ54" i="31"/>
  <c r="AV54" i="31"/>
  <c r="D41" i="23"/>
  <c r="H26" i="23"/>
  <c r="AF54" i="31"/>
  <c r="AR54" i="31"/>
  <c r="AH40" i="31"/>
  <c r="AT40" i="31"/>
  <c r="AJ7" i="31"/>
  <c r="AV7" i="31"/>
  <c r="AH54" i="31"/>
  <c r="AT54" i="31"/>
  <c r="AJ25" i="31"/>
  <c r="AV25" i="31"/>
  <c r="AJ40" i="31"/>
  <c r="AV40" i="31"/>
  <c r="F6" i="31"/>
  <c r="AD6" i="31"/>
  <c r="D6" i="31"/>
  <c r="AB6" i="31"/>
  <c r="B6" i="31"/>
  <c r="Z6" i="31"/>
  <c r="N6" i="31"/>
  <c r="R6" i="31"/>
  <c r="L7" i="31"/>
  <c r="X7" i="31"/>
  <c r="J54" i="31"/>
  <c r="V54" i="31"/>
  <c r="H7" i="31"/>
  <c r="T7" i="31"/>
  <c r="P6" i="31"/>
  <c r="J7" i="31"/>
  <c r="V7" i="31"/>
  <c r="J40" i="31"/>
  <c r="V40" i="31"/>
  <c r="L40" i="31"/>
  <c r="X40" i="31"/>
  <c r="H25" i="31"/>
  <c r="T25" i="31"/>
  <c r="J25" i="31"/>
  <c r="V25" i="31"/>
  <c r="L54" i="31"/>
  <c r="X54" i="31"/>
  <c r="L25" i="31"/>
  <c r="X25" i="31"/>
  <c r="H40" i="31"/>
  <c r="T40" i="31"/>
  <c r="H54" i="31"/>
  <c r="T54" i="31"/>
  <c r="D55" i="23"/>
  <c r="H55" i="23"/>
  <c r="H8" i="23"/>
  <c r="H41" i="23"/>
  <c r="I41" i="23"/>
  <c r="I55" i="23"/>
  <c r="I26" i="23"/>
  <c r="D8" i="23"/>
  <c r="D26" i="23"/>
  <c r="I8" i="23"/>
  <c r="UZ5" i="9"/>
  <c r="XY53" i="9"/>
  <c r="E42" i="10"/>
  <c r="E56" i="10"/>
  <c r="E27" i="10"/>
  <c r="E9" i="10"/>
  <c r="UR5" i="9"/>
  <c r="VA5" i="9"/>
  <c r="XM5" i="9"/>
  <c r="XY39" i="9"/>
  <c r="WA53" i="9"/>
  <c r="WA24" i="9"/>
  <c r="M4" i="19"/>
  <c r="Z4" i="19"/>
  <c r="M9" i="10"/>
  <c r="D27" i="10"/>
  <c r="AR52" i="19"/>
  <c r="AL4" i="19"/>
  <c r="T4" i="19"/>
  <c r="L9" i="10"/>
  <c r="C56" i="10"/>
  <c r="XY6" i="9"/>
  <c r="VK53" i="9"/>
  <c r="VU5" i="9"/>
  <c r="XZ5" i="9"/>
  <c r="UU5" i="9"/>
  <c r="YA5" i="9"/>
  <c r="VD5" i="9"/>
  <c r="WQ5" i="9"/>
  <c r="VK24" i="9"/>
  <c r="VR5" i="9"/>
  <c r="VY6" i="9"/>
  <c r="VY5" i="9" s="1"/>
  <c r="XP5" i="9"/>
  <c r="VX39" i="9"/>
  <c r="WK5" i="9"/>
  <c r="WA39" i="9"/>
  <c r="VK39" i="9"/>
  <c r="XE5" i="9"/>
  <c r="VM5" i="9"/>
  <c r="XS5" i="9"/>
  <c r="VG5" i="9"/>
  <c r="VL6" i="9"/>
  <c r="VL5" i="9" s="1"/>
  <c r="XY24" i="9"/>
  <c r="XV5" i="9"/>
  <c r="VX24" i="9"/>
  <c r="VX53" i="9"/>
  <c r="UY5" i="9"/>
  <c r="WW5" i="9"/>
  <c r="AR5" i="19"/>
  <c r="AR38" i="19"/>
  <c r="W4" i="19"/>
  <c r="J4" i="19"/>
  <c r="AH4" i="19"/>
  <c r="AR23" i="19"/>
  <c r="P4" i="19"/>
  <c r="AW4" i="19"/>
  <c r="XA6" i="9"/>
  <c r="XA5" i="9" s="1"/>
  <c r="WB5" i="9"/>
  <c r="XC6" i="9"/>
  <c r="WA6" i="9"/>
  <c r="XC24" i="9"/>
  <c r="XC53" i="9"/>
  <c r="XC39" i="9"/>
  <c r="WP5" i="9"/>
  <c r="WG5" i="9"/>
  <c r="WY26" i="9"/>
  <c r="XB24" i="9"/>
  <c r="WY55" i="9"/>
  <c r="XB53" i="9"/>
  <c r="WY41" i="9"/>
  <c r="XB39" i="9"/>
  <c r="WH8" i="9"/>
  <c r="VZ6" i="9"/>
  <c r="VZ5" i="9" s="1"/>
  <c r="XD5" i="9"/>
  <c r="WT5" i="9"/>
  <c r="WJ5" i="9"/>
  <c r="WC5" i="9"/>
  <c r="VX16" i="9"/>
  <c r="VX20" i="9"/>
  <c r="WZ29" i="9"/>
  <c r="WZ56" i="9"/>
  <c r="WZ58" i="9"/>
  <c r="WZ62" i="9"/>
  <c r="WZ41" i="9"/>
  <c r="WZ47" i="9"/>
  <c r="WZ49" i="9"/>
  <c r="WZ37" i="9"/>
  <c r="VX14" i="9"/>
  <c r="VX18" i="9"/>
  <c r="VX22" i="9"/>
  <c r="WZ27" i="9"/>
  <c r="WZ30" i="9"/>
  <c r="WZ43" i="9"/>
  <c r="WZ45" i="9"/>
  <c r="WZ48" i="9"/>
  <c r="WZ34" i="9"/>
  <c r="WZ35" i="9"/>
  <c r="WZ36" i="9"/>
  <c r="WZ38" i="9"/>
  <c r="VX64" i="9"/>
  <c r="WX13" i="9"/>
  <c r="WH13" i="9" s="1"/>
  <c r="WZ13" i="9"/>
  <c r="VX15" i="9"/>
  <c r="VX17" i="9"/>
  <c r="VX19" i="9"/>
  <c r="VX21" i="9"/>
  <c r="VX23" i="9"/>
  <c r="WZ26" i="9"/>
  <c r="WZ28" i="9"/>
  <c r="WZ55" i="9"/>
  <c r="WZ31" i="9"/>
  <c r="WZ42" i="9"/>
  <c r="WZ44" i="9"/>
  <c r="WZ57" i="9"/>
  <c r="WZ46" i="9"/>
  <c r="WZ32" i="9"/>
  <c r="WZ33" i="9"/>
  <c r="WZ59" i="9"/>
  <c r="WZ60" i="9"/>
  <c r="WZ50" i="9"/>
  <c r="WZ61" i="9"/>
  <c r="WZ51" i="9"/>
  <c r="WZ63" i="9"/>
  <c r="WZ52" i="9"/>
  <c r="VK8" i="9"/>
  <c r="VX8" i="9"/>
  <c r="VK10" i="9"/>
  <c r="VX10" i="9"/>
  <c r="WZ12" i="9"/>
  <c r="WX12" i="9"/>
  <c r="WH12" i="9" s="1"/>
  <c r="VK9" i="9"/>
  <c r="VX9" i="9"/>
  <c r="WX11" i="9"/>
  <c r="WH11" i="9" s="1"/>
  <c r="WZ11" i="9"/>
  <c r="G26" i="23" l="1"/>
  <c r="AJ6" i="31"/>
  <c r="AV6" i="31"/>
  <c r="AH6" i="31"/>
  <c r="AT6" i="31"/>
  <c r="C26" i="23"/>
  <c r="C41" i="23"/>
  <c r="C55" i="23"/>
  <c r="C8" i="23"/>
  <c r="AF6" i="31"/>
  <c r="AR6" i="31"/>
  <c r="J6" i="31"/>
  <c r="V6" i="31"/>
  <c r="H6" i="31"/>
  <c r="T6" i="31"/>
  <c r="L6" i="31"/>
  <c r="X6" i="31"/>
  <c r="G41" i="23"/>
  <c r="G55" i="23"/>
  <c r="G8" i="23"/>
  <c r="D56" i="10"/>
  <c r="XY5" i="9"/>
  <c r="L42" i="10"/>
  <c r="K27" i="10"/>
  <c r="WA5" i="9"/>
  <c r="K9" i="10"/>
  <c r="K42" i="10"/>
  <c r="D9" i="10"/>
  <c r="C42" i="10"/>
  <c r="L27" i="10"/>
  <c r="C27" i="10"/>
  <c r="D42" i="10"/>
  <c r="C9" i="10"/>
  <c r="WZ6" i="9"/>
  <c r="AR4" i="19"/>
  <c r="XB5" i="9"/>
  <c r="VX6" i="9"/>
  <c r="VX5" i="9" s="1"/>
  <c r="WX6" i="9"/>
  <c r="WX5" i="9" s="1"/>
  <c r="XC5" i="9"/>
  <c r="WI41" i="9"/>
  <c r="WI39" i="9" s="1"/>
  <c r="WY39" i="9"/>
  <c r="WI55" i="9"/>
  <c r="WI53" i="9" s="1"/>
  <c r="WY53" i="9"/>
  <c r="WI26" i="9"/>
  <c r="WI24" i="9" s="1"/>
  <c r="WY24" i="9"/>
  <c r="VK6" i="9"/>
  <c r="VK5" i="9" s="1"/>
  <c r="WZ53" i="9"/>
  <c r="WZ24" i="9"/>
  <c r="WZ39" i="9"/>
  <c r="WH6" i="9"/>
  <c r="WH5" i="9" s="1"/>
  <c r="WI5" i="9" l="1"/>
  <c r="WY5" i="9"/>
  <c r="WZ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Christiana Datubo-Brown</author>
  </authors>
  <commentList>
    <comment ref="AC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 (Asian/Pac,Am/Natv)</t>
        </r>
      </text>
    </comment>
    <comment ref="DA3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updated in 2018
</t>
        </r>
      </text>
    </comment>
    <comment ref="B4" authorId="0" shapeId="0" xr:uid="{00000000-0006-0000-0200-00000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 not erase or replace with a formula since the non SREB states are not present.</t>
        </r>
      </text>
    </comment>
    <comment ref="C4" authorId="0" shapeId="0" xr:uid="{00000000-0006-0000-0200-00000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 not erase or replace with a formula since the non SREB states are not present.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Christiana Datubo-Brown</author>
    <author>jmarks</author>
  </authors>
  <commentList>
    <comment ref="Q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updated data 2018
</t>
        </r>
      </text>
    </comment>
    <comment ref="CM2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updated 2018</t>
        </r>
      </text>
    </comment>
    <comment ref="FW2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updataed in 2018
</t>
        </r>
      </text>
    </comment>
    <comment ref="MK2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updated 2018
</t>
        </r>
      </text>
    </comment>
    <comment ref="PM2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updated 2018
</t>
        </r>
      </text>
    </comment>
    <comment ref="SE2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updated 2018
</t>
        </r>
      </text>
    </comment>
    <comment ref="ST2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added 2018</t>
        </r>
      </text>
    </comment>
    <comment ref="YB2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updated 2018
</t>
        </r>
      </text>
    </comment>
    <comment ref="ABI2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updated 2018
</t>
        </r>
      </text>
    </comment>
    <comment ref="AB4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updated in 2018
</t>
        </r>
      </text>
    </comment>
    <comment ref="CX4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updated in 2018
</t>
        </r>
      </text>
    </comment>
    <comment ref="FS4" authorId="1" shapeId="0" xr:uid="{00000000-0006-0000-0300-00000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non-Hisp or incl. Hisp?</t>
        </r>
      </text>
    </comment>
    <comment ref="GW4" authorId="0" shapeId="0" xr:uid="{00000000-0006-0000-0300-00000D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updated in 2018
</t>
        </r>
      </text>
    </comment>
    <comment ref="KD4" authorId="0" shapeId="0" xr:uid="{00000000-0006-0000-0300-00000E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updated in 2018
</t>
        </r>
      </text>
    </comment>
    <comment ref="NA4" authorId="0" shapeId="0" xr:uid="{00000000-0006-0000-0300-00000F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updated in 2018
</t>
        </r>
      </text>
    </comment>
    <comment ref="PX4" authorId="0" shapeId="0" xr:uid="{00000000-0006-0000-0300-000010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updated in 2018
</t>
        </r>
      </text>
    </comment>
    <comment ref="VP4" authorId="1" shapeId="0" xr:uid="{00000000-0006-0000-0300-00001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Includes "others" not shown
</t>
        </r>
      </text>
    </comment>
    <comment ref="VQ4" authorId="1" shapeId="0" xr:uid="{00000000-0006-0000-0300-00001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Includes "others" not shown
</t>
        </r>
      </text>
    </comment>
    <comment ref="WN4" authorId="1" shapeId="0" xr:uid="{00000000-0006-0000-0300-00001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Includes "others" not shown</t>
        </r>
      </text>
    </comment>
    <comment ref="WO4" authorId="1" shapeId="0" xr:uid="{00000000-0006-0000-0300-00001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Includes "others" not shown</t>
        </r>
      </text>
    </comment>
    <comment ref="ZB4" authorId="0" shapeId="0" xr:uid="{00000000-0006-0000-0300-000015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updated in 2018
</t>
        </r>
      </text>
    </comment>
    <comment ref="ABY4" authorId="0" shapeId="0" xr:uid="{00000000-0006-0000-0300-000016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updated in 2018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Hannah Bartlebaugh</author>
  </authors>
  <commentList>
    <comment ref="CJ5" authorId="0" shapeId="0" xr:uid="{6C8371FA-8222-4E38-89A6-20044A4A60C4}">
      <text>
        <r>
          <rPr>
            <b/>
            <sz val="9"/>
            <color indexed="81"/>
            <rFont val="Tahoma"/>
            <family val="2"/>
          </rPr>
          <t>Hannah Bartlebaugh:</t>
        </r>
        <r>
          <rPr>
            <sz val="9"/>
            <color indexed="81"/>
            <rFont val="Tahoma"/>
            <family val="2"/>
          </rPr>
          <t xml:space="preserve">
There's no 2014 pop data?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A6" authorId="0" shapeId="0" xr:uid="{00000000-0006-0000-05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Includes D.C. in this source.</t>
        </r>
      </text>
    </comment>
  </commentList>
</comments>
</file>

<file path=xl/sharedStrings.xml><?xml version="1.0" encoding="utf-8"?>
<sst xmlns="http://schemas.openxmlformats.org/spreadsheetml/2006/main" count="2840" uniqueCount="276">
  <si>
    <t>Table 2</t>
  </si>
  <si>
    <r>
      <t>Education Attainment of the Adult Population</t>
    </r>
    <r>
      <rPr>
        <vertAlign val="superscript"/>
        <sz val="10"/>
        <rFont val="Arial"/>
        <family val="2"/>
      </rPr>
      <t>1</t>
    </r>
  </si>
  <si>
    <t>Percent With High School Diplomas or GED Credentials</t>
  </si>
  <si>
    <t>Percent With Bachelor's Degrees or Higher</t>
  </si>
  <si>
    <t xml:space="preserve"> </t>
  </si>
  <si>
    <t>50 states and D.C.</t>
  </si>
  <si>
    <t>SREB states</t>
  </si>
  <si>
    <r>
      <t xml:space="preserve">    as a percent of U.S.</t>
    </r>
    <r>
      <rPr>
        <vertAlign val="superscript"/>
        <sz val="10"/>
        <rFont val="Arial"/>
        <family val="2"/>
      </rPr>
      <t>3</t>
    </r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</si>
  <si>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</si>
  <si>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</si>
  <si>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</si>
  <si>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</si>
  <si>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</si>
  <si>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</si>
  <si>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</si>
  <si>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</si>
  <si>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</si>
  <si>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</si>
  <si>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</si>
  <si>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</si>
  <si>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</si>
  <si>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</si>
  <si>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</si>
  <si>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</si>
  <si>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</si>
  <si>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</si>
  <si>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</si>
  <si>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</si>
  <si>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</si>
  <si>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</si>
  <si>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</si>
  <si>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</si>
  <si>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</si>
  <si>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</si>
  <si>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</si>
  <si>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</si>
  <si>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</si>
  <si>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</si>
  <si>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</si>
  <si>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</si>
  <si>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</si>
  <si>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</si>
  <si>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</si>
  <si>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</si>
  <si>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</si>
  <si>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</si>
  <si>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</si>
  <si>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</si>
  <si>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</si>
  <si>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</si>
  <si>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</si>
  <si>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</si>
  <si>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</si>
  <si>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</si>
  <si>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</si>
  <si>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</si>
  <si>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</si>
  <si>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</si>
  <si>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</si>
  <si>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</si>
  <si>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</si>
  <si>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</si>
  <si>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Population ages 25 and older.</t>
    </r>
  </si>
  <si>
    <r>
      <rPr>
        <vertAlign val="superscript"/>
        <sz val="10"/>
        <color rgb="FF000000"/>
        <rFont val="Arial"/>
      </rPr>
      <t>2</t>
    </r>
    <r>
      <rPr>
        <sz val="10"/>
        <color rgb="FF000000"/>
        <rFont val="ARIAL"/>
      </rPr>
      <t xml:space="preserve"> The 2011 figures are based on 2010-2011  three- year estimates. All other years are based off one-year estimates</t>
    </r>
  </si>
  <si>
    <r>
      <t xml:space="preserve">3 </t>
    </r>
    <r>
      <rPr>
        <sz val="10"/>
        <rFont val="ARIAL"/>
        <family val="2"/>
      </rPr>
      <t>Percentages of nation may not calculate from the figures shown, due to rounding.</t>
    </r>
  </si>
  <si>
    <t>Sources:</t>
  </si>
  <si>
    <t>U.S. Census Bureau: "American Community Survey 3-Year Estimates: Sex by Educational Attainment for the Population 25 Years and Over, 2009" (2009) and " American Community Survey 1-Year Estimates: Sex by Educational Attainment for the Population 25 Years and Over, 2014 and 2019" (2020) — www.census.gov.</t>
  </si>
  <si>
    <t>Table 7</t>
  </si>
  <si>
    <r>
      <rPr>
        <sz val="10"/>
        <color rgb="FF000000"/>
        <rFont val="ARIAL"/>
      </rPr>
      <t>Education Attainment of the Adult Population by Race/Ethnicity</t>
    </r>
    <r>
      <rPr>
        <vertAlign val="superscript"/>
        <sz val="12"/>
        <color rgb="FF000000"/>
        <rFont val="Arial"/>
      </rPr>
      <t>1</t>
    </r>
  </si>
  <si>
    <t xml:space="preserve">2021 Percent With High School Diplomas/GED </t>
  </si>
  <si>
    <t>2021 Percent With Bachelor's or Higher</t>
  </si>
  <si>
    <r>
      <t>2021</t>
    </r>
    <r>
      <rPr>
        <vertAlign val="superscript"/>
        <sz val="9"/>
        <rFont val="Arial"/>
        <family val="2"/>
      </rPr>
      <t>2</t>
    </r>
  </si>
  <si>
    <r>
      <t>Change (in percentage points), 2016 to 2021</t>
    </r>
    <r>
      <rPr>
        <vertAlign val="superscript"/>
        <sz val="10"/>
        <rFont val="Arial"/>
        <family val="2"/>
      </rPr>
      <t>2</t>
    </r>
  </si>
  <si>
    <t>White</t>
  </si>
  <si>
    <t>Black</t>
  </si>
  <si>
    <t>Hispanic</t>
  </si>
  <si>
    <t xml:space="preserve">Asian </t>
  </si>
  <si>
    <t>NHPI</t>
  </si>
  <si>
    <t>AIAN</t>
  </si>
  <si>
    <t>Two or more Races</t>
  </si>
  <si>
    <t>Other</t>
  </si>
  <si>
    <r>
      <t xml:space="preserve">    as a percent of U.S.</t>
    </r>
    <r>
      <rPr>
        <vertAlign val="superscript"/>
        <sz val="12"/>
        <rFont val="Arial"/>
        <family val="2"/>
      </rPr>
      <t>3</t>
    </r>
  </si>
  <si>
    <r>
      <t>"</t>
    </r>
    <r>
      <rPr>
        <sz val="10"/>
        <rFont val="Calibri"/>
        <family val="2"/>
      </rPr>
      <t>—"</t>
    </r>
    <r>
      <rPr>
        <sz val="10"/>
        <rFont val="ARIAL"/>
        <family val="2"/>
      </rPr>
      <t xml:space="preserve"> indicates data not available.</t>
    </r>
  </si>
  <si>
    <r>
      <t xml:space="preserve">1 </t>
    </r>
    <r>
      <rPr>
        <sz val="10"/>
        <rFont val="ARIAL"/>
        <family val="2"/>
      </rPr>
      <t>Population ages 25 and older.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</si>
  <si>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The 2021 figures are based on one-year estimates.</t>
    </r>
  </si>
  <si>
    <r>
      <t xml:space="preserve">4 </t>
    </r>
    <r>
      <rPr>
        <sz val="10"/>
        <rFont val="ARIAL"/>
        <family val="2"/>
      </rPr>
      <t>Native Hawaiian or Pacific Islander</t>
    </r>
  </si>
  <si>
    <r>
      <t xml:space="preserve">5 </t>
    </r>
    <r>
      <rPr>
        <sz val="10"/>
        <rFont val="ARIAL"/>
        <family val="2"/>
      </rPr>
      <t>American Indian and Alaska Native</t>
    </r>
  </si>
  <si>
    <t>U.S. Census Bureau: Educational Attainment for the Population 25 Years and Over, 2016 and 2021 (2023) and 2021 American Community Survey 1-Year Estimates: Sex by Educational Attainment for the Population 25 Years and Over (2023) — www.census.gov.</t>
  </si>
  <si>
    <t>Population 25 and Older</t>
  </si>
  <si>
    <t>ACS-Based</t>
  </si>
  <si>
    <t>1960</t>
  </si>
  <si>
    <t>1970</t>
  </si>
  <si>
    <t>1990</t>
  </si>
  <si>
    <t>2000</t>
  </si>
  <si>
    <t>2010</t>
  </si>
  <si>
    <t>2005-2007</t>
  </si>
  <si>
    <t>2006-2008</t>
  </si>
  <si>
    <t>2007-2009</t>
  </si>
  <si>
    <t>2008-2010</t>
  </si>
  <si>
    <t>2009-2011</t>
  </si>
  <si>
    <t>2010-12 ACS</t>
  </si>
  <si>
    <t>2011-13 ACS</t>
  </si>
  <si>
    <t>2014 ACS</t>
  </si>
  <si>
    <t>2015 ACS</t>
  </si>
  <si>
    <t>2016 ACS</t>
  </si>
  <si>
    <t>2017 ACS</t>
  </si>
  <si>
    <t>2018 ACS</t>
  </si>
  <si>
    <t>2019 ACS</t>
  </si>
  <si>
    <t>2021 ACS</t>
  </si>
  <si>
    <t>Total</t>
  </si>
  <si>
    <t>Whilte Men</t>
  </si>
  <si>
    <t>White Women</t>
  </si>
  <si>
    <t>Non-White Men</t>
  </si>
  <si>
    <t>Non-White Women</t>
  </si>
  <si>
    <t>White Men</t>
  </si>
  <si>
    <t>Black Men</t>
  </si>
  <si>
    <t>Black Women</t>
  </si>
  <si>
    <t>Hispanic Men</t>
  </si>
  <si>
    <t>Hispanic Women</t>
  </si>
  <si>
    <t>Other Total</t>
  </si>
  <si>
    <t>Other Men</t>
  </si>
  <si>
    <t>Other Women</t>
  </si>
  <si>
    <t>White non-Hispanic</t>
  </si>
  <si>
    <t>White non-Hispanic Men</t>
  </si>
  <si>
    <t>White non-Hispanic Women</t>
  </si>
  <si>
    <t>Black non-Hispanic</t>
  </si>
  <si>
    <t>Black non-Hispanic Men</t>
  </si>
  <si>
    <t>Black non-Hispanic Women</t>
  </si>
  <si>
    <t>White (incl Hisp)</t>
  </si>
  <si>
    <t>White Non-Hispanic Total</t>
  </si>
  <si>
    <t>White Non-Hispanic Men</t>
  </si>
  <si>
    <t>White Non-Hispanic Women</t>
  </si>
  <si>
    <t>Black (incl Hisp)</t>
  </si>
  <si>
    <t>Other Tot (incl Hisp)</t>
  </si>
  <si>
    <t>Other Wom</t>
  </si>
  <si>
    <t>Grand Total</t>
  </si>
  <si>
    <t>Total Men</t>
  </si>
  <si>
    <t>Total Women</t>
  </si>
  <si>
    <t>White Alone NOT incl Hisp</t>
  </si>
  <si>
    <t>Black Alone incl Hisp</t>
  </si>
  <si>
    <t>Other Race NOT incl Hisp</t>
  </si>
  <si>
    <t>White Alone incl Hisp</t>
  </si>
  <si>
    <t>Other Race incl Hisp</t>
  </si>
  <si>
    <t>Black Alone incl Hisp?</t>
  </si>
  <si>
    <t>All Other Races + 2 More (not incl Hisp)</t>
  </si>
  <si>
    <t>Black Alone</t>
  </si>
  <si>
    <t>Asian</t>
  </si>
  <si>
    <t xml:space="preserve">Native Hawian or Pacific Islander </t>
  </si>
  <si>
    <t xml:space="preserve"> American Indian and Alaska Native</t>
  </si>
  <si>
    <t>Two or More Races</t>
  </si>
  <si>
    <t xml:space="preserve">   as a percent of U.S.</t>
  </si>
  <si>
    <t>Source: US Census of the population, General Social and Economic Characteristics, various years Table 47 (1940-1960); 1970-1980 US Census of the population, General, Social &amp; Economic Characteristics Table 61; March 1990-1998 US Census Bureau, Educational attainment P-20 series internet</t>
  </si>
  <si>
    <t>&amp;</t>
  </si>
  <si>
    <r>
      <t xml:space="preserve">Source: Price, D. V. and Wohlford, J.K. background data for  "Educational Attainment Equity: Race, Ethnic and Gender Inequality among the Fifty States," </t>
    </r>
    <r>
      <rPr>
        <i/>
        <sz val="10"/>
        <rFont val="Arial"/>
        <family val="2"/>
      </rPr>
      <t>Higher Education and the Color Line: College Access, Racial Equity, and Social Change</t>
    </r>
    <r>
      <rPr>
        <sz val="10"/>
        <rFont val="ARIAL"/>
        <family val="2"/>
      </rPr>
      <t>, Patricia Marin and Gary Orfield, editors. Harvard University: The Civil Rights Project (forthcoming 2005).</t>
    </r>
  </si>
  <si>
    <t>Source: U.S. Bureau of the Census, 1980 Census of Population, General Social and Economic Characteristics, Table 61. "Selected Social and Economic Characteristics by Race: 1980 and 1970," Washington D.C.:  U.S. Government Printing Office, July 1993</t>
  </si>
  <si>
    <t>and</t>
  </si>
  <si>
    <t>SOURCE: U.S.Bureauof theCensus, 1980 Census of Population: General Social and Economic Characteristics (1982)</t>
  </si>
  <si>
    <t>SOURCE: U.S. Bureau of the Census, "Educational Attainment of Persons 25 Years and Over," Summary File 3, Tables P57, P58,  P59 (2002)</t>
  </si>
  <si>
    <t>U.S. Bureau of the Census, "Sex by Educational Attainment for the Population 25 Years and Over," Census 2000 Summry File 3, Tables P37, P148A,D,E,F,G,H</t>
  </si>
  <si>
    <t xml:space="preserve">NCHEMS analysis of U.S. Bureau of the Census, 2008-2010 American Community Survey 3-Year Estimates, Tables B 15001 and C15001. </t>
  </si>
  <si>
    <t>U.S. Bureau of the Census, 2005-2007 American Community Survey 3-Year Estimates, Tables C15002. SEX BY EDUCATIONAL ATTAINMENT FOR THE POPULATION 25 YEARS AND OVER - Universe: POPULATION 25 YEARS AND OVER.</t>
  </si>
  <si>
    <t>U.S. Bureau of the Census, 2006-2008American Community Survey 3-Year Estimates, Tables C15002. SEX BY EDUCATIONAL ATTAINMENT FOR THE POPULATION 25 YEARS AND OVER - Universe: POPULATION 25 YEARS AND OVER.</t>
  </si>
  <si>
    <t>U.S. Bureau of the Census, 2007-2008 American Community Survey 3-Year Estimates, Tables C15002. SEX BY EDUCATIONAL ATTAINMENT FOR THE POPULATION 25 YEARS AND OVER - Universe: POPULATION 25 YEARS AND OVER.</t>
  </si>
  <si>
    <t>U.S. Bureau of the Census, 2008-2010 American Community Survey 3-Year Estimates, Tables B15002A. SEX BY EDUCATIONAL ATTAINMENT FOR THE POPULATION 25 YEARS AND OVER - Universe: POPULATION 25 YEARS AND OVER.</t>
  </si>
  <si>
    <t>U.S. Bureau of the Census, 2008-2010 American Community Survey 3-Year Estimates, Tables B15002B. SEX BY EDUCATIONAL ATTAINMENT FOR THE POPULATION 25 YEARS AND OVER - Universe: POPULATION 25 YEARS AND OVER.</t>
  </si>
  <si>
    <t>SC-EST2012-alldata6: Annual State Resident Population Estimates for 6 Race Groups 
(5 Race Alone Groups and Two or More Races) by Age, Sex, and Hispanic Origin: April 1, 2010 
to July 1, 2012
File: 7/1/2012 State Characteristics Population Estimates 
Source: U.S. Census Bureau, Population Division (June 2013)</t>
  </si>
  <si>
    <t>U.S. Bureau of the Census, 2011-2013 American Community Survey 3-Year Estimates, Tables B15002. SEX BY EDUCATIONAL ATTAINMENT FOR THE POPULATION 25 YEARS AND OVER - Universe: POPULATION 25 YEARS AND OVER. (2015)</t>
  </si>
  <si>
    <t>Source: U.S. Census Bureau, 2015 American Community Survey 1-Year Estimates</t>
  </si>
  <si>
    <t>Source: U.S. Census Bureau, 2016 American Community Survey 1-Year Estimates</t>
  </si>
  <si>
    <t>Source: U.S. Census Bureau, 2017 American Community Survey 1-Year Estimates</t>
  </si>
  <si>
    <t>Source: U.S. Census Bureau, 2018 American Community Survey 1-Year Estimates, B15002</t>
  </si>
  <si>
    <t>Source: U.S. Census Bureau, 2021 American Community Survey 1-Year Estimates, B15002</t>
  </si>
  <si>
    <t>Less than 9th Grade</t>
  </si>
  <si>
    <t>9th-12th Grade, No Diploma</t>
  </si>
  <si>
    <t>(Less than HS)</t>
  </si>
  <si>
    <t>HS graduate or equivalent or More</t>
  </si>
  <si>
    <t>1 to 3 years of college (includes asso. degree holders)</t>
  </si>
  <si>
    <t>Associate Degree</t>
  </si>
  <si>
    <t>Associate's or Higher</t>
  </si>
  <si>
    <t>Bachelor's Only?</t>
  </si>
  <si>
    <t>Bachelor's Degree or Higher</t>
  </si>
  <si>
    <t>Doctorate or Professional Degree</t>
  </si>
  <si>
    <t>2005-2007 ACS</t>
  </si>
  <si>
    <t>2008-2010 ACS</t>
  </si>
  <si>
    <t>2012 ACS</t>
  </si>
  <si>
    <t>2013 ACS</t>
  </si>
  <si>
    <t>2009-2011 ACS</t>
  </si>
  <si>
    <t>2011-13</t>
  </si>
  <si>
    <t>Unaccounted for Other</t>
  </si>
  <si>
    <t>White incl Hisp</t>
  </si>
  <si>
    <t>Black incl Hisp</t>
  </si>
  <si>
    <t>Other*</t>
  </si>
  <si>
    <t>White incl Hispanic</t>
  </si>
  <si>
    <t>Black incl Hispanic</t>
  </si>
  <si>
    <t>AMAN</t>
  </si>
  <si>
    <t>Other Races incl Hisp</t>
  </si>
  <si>
    <t>SREB Other</t>
  </si>
  <si>
    <t>White Total</t>
  </si>
  <si>
    <t>Non-White Total</t>
  </si>
  <si>
    <t>Black Total</t>
  </si>
  <si>
    <t>Hispanic Total</t>
  </si>
  <si>
    <t>Nonwhite Men</t>
  </si>
  <si>
    <t>Nonwhite Women</t>
  </si>
  <si>
    <t>Grand Total  Other  Total</t>
  </si>
  <si>
    <t>Grand Total  Other  Men</t>
  </si>
  <si>
    <t>Grand Total  Other  Women</t>
  </si>
  <si>
    <t>Non white -Black-Hisp-Oth Total</t>
  </si>
  <si>
    <t>Non white -Black-Hisp-Oth Men</t>
  </si>
  <si>
    <t>Non white -Black-Hisp-Oth Women</t>
  </si>
  <si>
    <t>Black Non-Hispanic Men</t>
  </si>
  <si>
    <t>Black Non-Hispanic Women</t>
  </si>
  <si>
    <t>Native Men</t>
  </si>
  <si>
    <t>Native Women</t>
  </si>
  <si>
    <t>Asian Men</t>
  </si>
  <si>
    <t>Asian Women</t>
  </si>
  <si>
    <t>Men</t>
  </si>
  <si>
    <t>Women</t>
  </si>
  <si>
    <t>Other (incl Hisp)</t>
  </si>
  <si>
    <t>White alone, including Hispanic</t>
  </si>
  <si>
    <t>Black alone, including Hispanic</t>
  </si>
  <si>
    <t>Other Races incl Hisp.</t>
  </si>
  <si>
    <t>—</t>
  </si>
  <si>
    <t>* Other = Am Ind/Alaskan Native + Asian +Haw/Pacif Isl+2orMore</t>
  </si>
  <si>
    <t>Source: U.S. Bureau of the Census, 1980 Census General Social and Economic Characteristics (1982)</t>
  </si>
  <si>
    <t>Source: U.S. Bureau of the Census, "Educational Attainment of Persons 25 Years and Over," Summary File 3, Table P57 (2002)</t>
  </si>
  <si>
    <t>Source: U.S. Bureau of the Census, "Educational Attainment of Persons 25 Years and Over," Summary File 3, Table P58 (2002)</t>
  </si>
  <si>
    <t>Source: U.S. Bureau of the Census, "Educational Attainment of Persons 25 Years and Over," Summary File 3, Table P59 (2002)</t>
  </si>
  <si>
    <t>U.S. Bureau of the Census, "Sex by Educational Attainment for the Population 25 Years and Over," Census 2000 Summry File 3, Table P37 see below</t>
  </si>
  <si>
    <t>U.S. Bureau of the Census, "Sex by Educational Attainment for the Population 25 Years and Over," Census 2000 Summry File 3, Table P148A</t>
  </si>
  <si>
    <t xml:space="preserve">U.S. Bureau of the Census, "Sex by Educational Attainment for the Population 25 Years and Over," Census 2000 Summry File 3, Table P148B </t>
  </si>
  <si>
    <t xml:space="preserve">U.S. Bureau of the Census, "Sex by Educational Attainment for the Population 25 Years and Over," Census 2000 Summry File 3, Table P148D,E,F,G </t>
  </si>
  <si>
    <t xml:space="preserve">U.S. Bureau of the Census, "Sex by Educational Attainment for the Population 25 Years and Over," Census 2000 Summry File 3, Table P148H </t>
  </si>
  <si>
    <t>U.S. Bureau of the Census, 2005-2007 American Community Survey 3-Year Estimates, Tables B15002. SEX BY EDUCATIONAL ATTAINMENT FOR THE POPULATION 25 YEARS AND OVER - Universe: POPULATION 25 YEARS AND OVER.</t>
  </si>
  <si>
    <t>U.S. Bureau of the Census, 2005-2007 American Community Survey 3-Year Estimates, Table B15002H. SEX BY EDUCATIONAL ATTAINMENT FOR THE POPULATION 25 YEARS AND OVER - Universe: POPULATION 25 YEARS AND OVER.</t>
  </si>
  <si>
    <t>U.S. Bureau of the Census, 2005-2007 American Community Survey 3-Year Estimates, Tables B15002B. SEX BY EDUCATIONAL ATTAINMENT FOR THE POPULATION 25 YEARS AND OVER - Universe: POPULATION 25 YEARS AND OVER.</t>
  </si>
  <si>
    <t>U.S. Bureau of the Census, 2005-2007 American Community Survey 3-Year Estimates, Tables B15002I. SEX BY EDUCATIONAL ATTAINMENT FOR THE POPULATION 25 YEARS AND OVER - Universe: POPULATION 25 YEARS AND OVER.</t>
  </si>
  <si>
    <t>U.S. Bureau of the Census, 2005-2007 American Community Survey 3-Year Estimates, Tables B15002 C to G. SEX BY EDUCATIONAL ATTAINMENT FOR THE POPULATION 25 YEARS AND OVER - Universe: POPULATION 25 YEARS AND OVER.</t>
  </si>
  <si>
    <t>U.S. Bureau of the Census, ACS 2008-2010 summary sample 15002s</t>
  </si>
  <si>
    <t>U.S. Bureau of the Census, 2010-2012 American Community Survey 3-Year Estimates, Tables B15002. SEX BY EDUCATIONAL ATTAINMENT FOR THE POPULATION 25 YEARS AND OVER - Universe: POPULATION 25 YEARS AND OVER.</t>
  </si>
  <si>
    <t>Source: U.S. Census Bureau, 2017 American Community Survey 1-Year Estimates. Table B15002</t>
  </si>
  <si>
    <t>Source: U.S. Census Bureau, 2018 American Community Survey 1-Year Estimates. (Table B15002, sum of male + female)</t>
  </si>
  <si>
    <t xml:space="preserve">U.S. Bureau of the Census, "Sex by Educational Attainment for the Population 25 Years and Over," Census 2000 Summry File 3, Table P37 </t>
  </si>
  <si>
    <t xml:space="preserve">U.S. Bureau of the Census, "Sex by Educational Attainment for the Population 25 Years and Over," Census 2000 Summry File 3, Table P148A </t>
  </si>
  <si>
    <t>U.S. Bureau of the Census, "Sex by Educational Attainment for the Population 25 Years and Over," Census 2000 Summry File 3, Table P148D,E,F,G</t>
  </si>
  <si>
    <t>Source: U.S. Census Bureau, 2021 American Community Survey 1-Year Estimates. (Table B15002, sum of male + female)</t>
  </si>
  <si>
    <t>U.S. Bureau of the Census, 2007-2009 American Community Survey 3-Year Estimates, Tables C15002. SEX BY EDUCATIONAL ATTAINMENT FOR THE POPULATION 25 YEARS AND OVER - Universe: POPULATION 25 YEARS AND OVER.</t>
  </si>
  <si>
    <t>U.S. Bureau of the Census, "Sex by Educational Attainment for the Population 25 Years and Over," Census 2000 Summry File 3, Table P148B</t>
  </si>
  <si>
    <t>U.S. Bureau of the Census, "Sex by Educational Attainment for the Population 25 Years and Over," Census 2000 Summry File 3, Table P37</t>
  </si>
  <si>
    <t>U.S. Bureau of the Census, "Sex by Educational Attainment for the Population 25 Years and Over," Census 2000 Summry File 3, Table P148H</t>
  </si>
  <si>
    <t>Source: U.S. Bureau of the Census, 1980 Census General Social and Economic Characteristics (1982) (stated as "4 or more years of college completed")</t>
  </si>
  <si>
    <t>Note: Other includes, American Indian and Alaska Native, Asian, Native Hawaiian and Other Pacific Islander, Some Other Race, and Two or More Races.</t>
  </si>
  <si>
    <t xml:space="preserve"> Population 25 Years and Over, both sexes</t>
  </si>
  <si>
    <t>All Races</t>
  </si>
  <si>
    <t>Percent with High School Diploma or Higher</t>
  </si>
  <si>
    <t>Percent with Bachelor's Degree or Higher</t>
  </si>
  <si>
    <t>*</t>
  </si>
  <si>
    <t>--</t>
  </si>
  <si>
    <t>Source:  U.S. Census Bureau</t>
  </si>
  <si>
    <t xml:space="preserve">  A Half-Century of Learning:  Historical Statistics on Educational Attainment in the United States, 1940 to 2000 (Census 2000 PHC-T-41)</t>
  </si>
  <si>
    <t xml:space="preserve">Table 5a.  </t>
  </si>
  <si>
    <t xml:space="preserve">Table 6a. </t>
  </si>
  <si>
    <t xml:space="preserve">Table 7a. </t>
  </si>
  <si>
    <t xml:space="preserve">Table 8a.  </t>
  </si>
  <si>
    <t xml:space="preserve">Table 11a. </t>
  </si>
  <si>
    <t xml:space="preserve">Table 12a.  </t>
  </si>
  <si>
    <t>Internet Release April 6, 2006</t>
  </si>
  <si>
    <t>State/Region</t>
  </si>
  <si>
    <t>-</t>
  </si>
  <si>
    <t>Sum of White</t>
  </si>
  <si>
    <t>Sum of Black</t>
  </si>
  <si>
    <t>Sum of Hispanic</t>
  </si>
  <si>
    <t xml:space="preserve">Sum of Asian </t>
  </si>
  <si>
    <t>Sum of NHPI</t>
  </si>
  <si>
    <t>Sum of AIAN</t>
  </si>
  <si>
    <t>Sum of Two or more Races</t>
  </si>
  <si>
    <t>Sum of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</si>
</sst>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#,##0.0"/>
    <numFmt numFmtId="166" formatCode="_(* #,##0_);_(* \(#,##0\);_(* &quot;-&quot;??_);_(@_)"/>
    <numFmt numFmtId="167" formatCode="0.00_)"/>
    <numFmt numFmtId="168" formatCode="#,##0.0_);\(#,##0.0\)"/>
    <numFmt numFmtId="169" formatCode="mmm\ yyyy"/>
  </numFmts>
  <fonts count="41">
    <font>
      <sz val="12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color rgb="FFC00000"/>
      <name val="Arial"/>
      <family val="2"/>
    </font>
    <font>
      <sz val="10"/>
      <color rgb="FF0000FF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sz val="11"/>
      <color rgb="FF9C0006"/>
      <name val="Calibri"/>
      <family val="2"/>
      <scheme val="minor"/>
    </font>
    <font>
      <sz val="11"/>
      <color theme="4" tint="-0.249977111117893"/>
      <name val="Arial"/>
      <family val="2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sz val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SansSerif"/>
    </font>
    <font>
      <b/>
      <sz val="28"/>
      <color rgb="FFFF0000"/>
      <name val="Arial"/>
      <family val="2"/>
    </font>
    <font>
      <vertAlign val="superscript"/>
      <sz val="9"/>
      <name val="Arial"/>
      <family val="2"/>
    </font>
    <font>
      <sz val="12"/>
      <name val="Arial"/>
      <family val="2"/>
    </font>
    <font>
      <vertAlign val="superscript"/>
      <sz val="10"/>
      <color rgb="FF000000"/>
      <name val="Arial"/>
    </font>
    <font>
      <sz val="10"/>
      <color rgb="FF000000"/>
      <name val="ARIAL"/>
    </font>
    <font>
      <vertAlign val="superscript"/>
      <sz val="12"/>
      <color rgb="FF00000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thin">
        <color indexed="8"/>
      </left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indexed="64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ck">
        <color indexed="64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/>
      <right style="thin">
        <color rgb="FFB2B2B2"/>
      </right>
      <top/>
      <bottom style="thin">
        <color indexed="64"/>
      </bottom>
      <diagonal/>
    </border>
    <border>
      <left style="thick">
        <color indexed="64"/>
      </left>
      <right style="thin">
        <color rgb="FFB2B2B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8">
    <xf numFmtId="0" fontId="0" fillId="0" borderId="0"/>
    <xf numFmtId="43" fontId="9" fillId="0" borderId="0" applyFont="0" applyFill="0" applyBorder="0" applyAlignment="0" applyProtection="0"/>
    <xf numFmtId="0" fontId="23" fillId="7" borderId="33" applyNumberFormat="0" applyFont="0" applyAlignment="0" applyProtection="0"/>
    <xf numFmtId="0" fontId="24" fillId="8" borderId="0" applyNumberFormat="0" applyBorder="0" applyAlignment="0" applyProtection="0"/>
    <xf numFmtId="0" fontId="5" fillId="0" borderId="0"/>
    <xf numFmtId="9" fontId="3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07">
    <xf numFmtId="0" fontId="0" fillId="0" borderId="0" xfId="0"/>
    <xf numFmtId="0" fontId="5" fillId="0" borderId="0" xfId="0" applyFont="1"/>
    <xf numFmtId="0" fontId="5" fillId="0" borderId="2" xfId="0" applyFont="1" applyBorder="1"/>
    <xf numFmtId="166" fontId="5" fillId="0" borderId="0" xfId="1" applyNumberFormat="1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66" fontId="5" fillId="0" borderId="0" xfId="1" applyNumberFormat="1" applyFont="1" applyFill="1" applyBorder="1" applyAlignment="1">
      <alignment horizontal="left" vertical="top" wrapText="1"/>
    </xf>
    <xf numFmtId="3" fontId="5" fillId="0" borderId="6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166" fontId="5" fillId="0" borderId="7" xfId="1" applyNumberFormat="1" applyFont="1" applyBorder="1" applyAlignment="1">
      <alignment horizontal="left" vertical="top" wrapText="1"/>
    </xf>
    <xf numFmtId="166" fontId="5" fillId="2" borderId="7" xfId="1" applyNumberFormat="1" applyFont="1" applyFill="1" applyBorder="1" applyAlignment="1">
      <alignment horizontal="left" vertical="top" wrapText="1"/>
    </xf>
    <xf numFmtId="166" fontId="5" fillId="0" borderId="5" xfId="1" applyNumberFormat="1" applyFont="1" applyBorder="1" applyAlignment="1">
      <alignment horizontal="left" vertical="top" wrapText="1"/>
    </xf>
    <xf numFmtId="166" fontId="5" fillId="2" borderId="0" xfId="1" applyNumberFormat="1" applyFont="1" applyFill="1" applyBorder="1" applyAlignment="1">
      <alignment horizontal="left" vertical="top" wrapText="1"/>
    </xf>
    <xf numFmtId="166" fontId="5" fillId="2" borderId="5" xfId="1" applyNumberFormat="1" applyFont="1" applyFill="1" applyBorder="1" applyAlignment="1">
      <alignment horizontal="left" vertical="top" wrapText="1"/>
    </xf>
    <xf numFmtId="165" fontId="5" fillId="0" borderId="0" xfId="0" applyNumberFormat="1" applyFont="1" applyAlignment="1">
      <alignment horizontal="right"/>
    </xf>
    <xf numFmtId="0" fontId="5" fillId="0" borderId="14" xfId="0" applyFont="1" applyBorder="1" applyAlignment="1">
      <alignment horizontal="centerContinuous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66" fontId="5" fillId="0" borderId="6" xfId="1" applyNumberFormat="1" applyFont="1" applyBorder="1" applyAlignment="1">
      <alignment horizontal="left" vertical="top" wrapText="1"/>
    </xf>
    <xf numFmtId="3" fontId="5" fillId="0" borderId="0" xfId="0" applyNumberFormat="1" applyFont="1" applyAlignment="1">
      <alignment horizontal="left"/>
    </xf>
    <xf numFmtId="3" fontId="9" fillId="0" borderId="0" xfId="0" applyNumberFormat="1" applyFont="1"/>
    <xf numFmtId="3" fontId="5" fillId="0" borderId="14" xfId="0" quotePrefix="1" applyNumberFormat="1" applyFont="1" applyBorder="1" applyAlignment="1">
      <alignment horizontal="right"/>
    </xf>
    <xf numFmtId="0" fontId="5" fillId="0" borderId="2" xfId="0" applyFont="1" applyBorder="1" applyAlignment="1">
      <alignment horizontal="centerContinuous" wrapText="1"/>
    </xf>
    <xf numFmtId="0" fontId="5" fillId="0" borderId="2" xfId="0" applyFont="1" applyBorder="1" applyAlignment="1">
      <alignment horizontal="centerContinuous"/>
    </xf>
    <xf numFmtId="0" fontId="5" fillId="0" borderId="14" xfId="0" applyFont="1" applyBorder="1" applyAlignment="1">
      <alignment horizontal="left"/>
    </xf>
    <xf numFmtId="0" fontId="5" fillId="0" borderId="19" xfId="0" applyFont="1" applyBorder="1"/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centerContinuous" wrapText="1"/>
    </xf>
    <xf numFmtId="0" fontId="5" fillId="0" borderId="22" xfId="0" applyFont="1" applyBorder="1" applyAlignment="1">
      <alignment horizontal="right" wrapText="1"/>
    </xf>
    <xf numFmtId="3" fontId="5" fillId="0" borderId="0" xfId="0" applyNumberFormat="1" applyFont="1" applyAlignment="1">
      <alignment horizontal="right"/>
    </xf>
    <xf numFmtId="0" fontId="5" fillId="0" borderId="20" xfId="0" applyFont="1" applyBorder="1" applyAlignment="1">
      <alignment horizontal="right" wrapText="1"/>
    </xf>
    <xf numFmtId="0" fontId="5" fillId="0" borderId="2" xfId="0" applyFont="1" applyBorder="1" applyAlignment="1">
      <alignment horizontal="right" wrapText="1"/>
    </xf>
    <xf numFmtId="0" fontId="5" fillId="0" borderId="23" xfId="0" applyFont="1" applyBorder="1" applyAlignment="1">
      <alignment horizontal="right" wrapText="1"/>
    </xf>
    <xf numFmtId="0" fontId="5" fillId="0" borderId="19" xfId="0" applyFont="1" applyBorder="1" applyAlignment="1">
      <alignment horizontal="right" wrapText="1"/>
    </xf>
    <xf numFmtId="0" fontId="5" fillId="0" borderId="21" xfId="0" applyFont="1" applyBorder="1" applyAlignment="1">
      <alignment horizontal="right" wrapText="1"/>
    </xf>
    <xf numFmtId="0" fontId="5" fillId="0" borderId="6" xfId="0" applyFont="1" applyBorder="1" applyAlignment="1">
      <alignment horizontal="right" wrapText="1"/>
    </xf>
    <xf numFmtId="3" fontId="5" fillId="0" borderId="14" xfId="0" applyNumberFormat="1" applyFont="1" applyBorder="1" applyAlignment="1">
      <alignment horizontal="right" wrapText="1"/>
    </xf>
    <xf numFmtId="0" fontId="5" fillId="0" borderId="14" xfId="0" applyFont="1" applyBorder="1" applyAlignment="1">
      <alignment horizontal="right" wrapText="1"/>
    </xf>
    <xf numFmtId="3" fontId="5" fillId="0" borderId="0" xfId="0" applyNumberFormat="1" applyFont="1"/>
    <xf numFmtId="37" fontId="5" fillId="0" borderId="0" xfId="0" applyNumberFormat="1" applyFont="1"/>
    <xf numFmtId="166" fontId="5" fillId="0" borderId="0" xfId="1" applyNumberFormat="1" applyFont="1" applyBorder="1" applyProtection="1"/>
    <xf numFmtId="166" fontId="5" fillId="0" borderId="0" xfId="1" applyNumberFormat="1" applyFont="1" applyBorder="1"/>
    <xf numFmtId="166" fontId="5" fillId="0" borderId="0" xfId="1" applyNumberFormat="1" applyFont="1"/>
    <xf numFmtId="166" fontId="5" fillId="0" borderId="5" xfId="1" applyNumberFormat="1" applyFont="1" applyBorder="1"/>
    <xf numFmtId="0" fontId="5" fillId="0" borderId="0" xfId="0" applyFont="1" applyAlignment="1">
      <alignment vertical="top" wrapText="1"/>
    </xf>
    <xf numFmtId="0" fontId="11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3" borderId="0" xfId="0" applyFont="1" applyFill="1" applyAlignment="1">
      <alignment horizontal="right"/>
    </xf>
    <xf numFmtId="0" fontId="5" fillId="0" borderId="5" xfId="0" applyFont="1" applyBorder="1" applyAlignment="1">
      <alignment horizontal="right"/>
    </xf>
    <xf numFmtId="0" fontId="5" fillId="3" borderId="0" xfId="0" applyFont="1" applyFill="1" applyAlignment="1">
      <alignment horizontal="left"/>
    </xf>
    <xf numFmtId="0" fontId="5" fillId="0" borderId="7" xfId="0" applyFont="1" applyBorder="1"/>
    <xf numFmtId="0" fontId="5" fillId="0" borderId="5" xfId="0" applyFont="1" applyBorder="1"/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center" vertical="top" wrapText="1"/>
    </xf>
    <xf numFmtId="37" fontId="12" fillId="0" borderId="0" xfId="0" applyNumberFormat="1" applyFont="1"/>
    <xf numFmtId="0" fontId="5" fillId="0" borderId="0" xfId="0" applyFont="1" applyAlignment="1">
      <alignment horizontal="right" wrapText="1"/>
    </xf>
    <xf numFmtId="166" fontId="12" fillId="0" borderId="0" xfId="1" applyNumberFormat="1" applyFont="1" applyAlignment="1">
      <alignment horizontal="left" vertical="top" wrapText="1"/>
    </xf>
    <xf numFmtId="0" fontId="12" fillId="0" borderId="2" xfId="0" applyFont="1" applyBorder="1" applyAlignment="1">
      <alignment horizontal="centerContinuous"/>
    </xf>
    <xf numFmtId="166" fontId="12" fillId="0" borderId="23" xfId="0" applyNumberFormat="1" applyFont="1" applyBorder="1" applyAlignment="1">
      <alignment horizontal="right" wrapText="1"/>
    </xf>
    <xf numFmtId="0" fontId="12" fillId="0" borderId="21" xfId="0" applyFont="1" applyBorder="1" applyAlignment="1">
      <alignment horizontal="right" wrapText="1"/>
    </xf>
    <xf numFmtId="37" fontId="12" fillId="0" borderId="7" xfId="0" applyNumberFormat="1" applyFont="1" applyBorder="1"/>
    <xf numFmtId="0" fontId="12" fillId="0" borderId="0" xfId="0" applyFont="1" applyAlignment="1">
      <alignment vertical="top" wrapText="1"/>
    </xf>
    <xf numFmtId="0" fontId="12" fillId="0" borderId="7" xfId="0" applyFont="1" applyBorder="1" applyAlignment="1">
      <alignment horizontal="right"/>
    </xf>
    <xf numFmtId="0" fontId="12" fillId="0" borderId="7" xfId="0" applyFont="1" applyBorder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3" fontId="5" fillId="0" borderId="2" xfId="0" applyNumberFormat="1" applyFont="1" applyBorder="1" applyAlignment="1">
      <alignment horizontal="right"/>
    </xf>
    <xf numFmtId="3" fontId="5" fillId="0" borderId="20" xfId="0" quotePrefix="1" applyNumberFormat="1" applyFont="1" applyBorder="1" applyAlignment="1">
      <alignment horizontal="right"/>
    </xf>
    <xf numFmtId="3" fontId="5" fillId="0" borderId="20" xfId="0" applyNumberFormat="1" applyFont="1" applyBorder="1" applyAlignment="1">
      <alignment horizontal="right" wrapText="1"/>
    </xf>
    <xf numFmtId="3" fontId="5" fillId="0" borderId="5" xfId="0" applyNumberFormat="1" applyFont="1" applyBorder="1"/>
    <xf numFmtId="3" fontId="14" fillId="0" borderId="14" xfId="0" applyNumberFormat="1" applyFont="1" applyBorder="1" applyAlignment="1">
      <alignment horizontal="left"/>
    </xf>
    <xf numFmtId="3" fontId="14" fillId="0" borderId="2" xfId="0" applyNumberFormat="1" applyFont="1" applyBorder="1" applyAlignment="1">
      <alignment horizontal="left" wrapText="1"/>
    </xf>
    <xf numFmtId="3" fontId="14" fillId="0" borderId="2" xfId="0" applyNumberFormat="1" applyFont="1" applyBorder="1" applyAlignment="1">
      <alignment horizontal="left"/>
    </xf>
    <xf numFmtId="3" fontId="13" fillId="0" borderId="14" xfId="0" applyNumberFormat="1" applyFont="1" applyBorder="1" applyAlignment="1">
      <alignment horizontal="left"/>
    </xf>
    <xf numFmtId="3" fontId="13" fillId="0" borderId="2" xfId="0" applyNumberFormat="1" applyFont="1" applyBorder="1" applyAlignment="1">
      <alignment horizontal="left"/>
    </xf>
    <xf numFmtId="3" fontId="13" fillId="0" borderId="2" xfId="0" applyNumberFormat="1" applyFont="1" applyBorder="1" applyAlignment="1">
      <alignment horizontal="left" wrapText="1"/>
    </xf>
    <xf numFmtId="3" fontId="13" fillId="0" borderId="0" xfId="0" applyNumberFormat="1" applyFont="1"/>
    <xf numFmtId="3" fontId="13" fillId="2" borderId="14" xfId="0" applyNumberFormat="1" applyFont="1" applyFill="1" applyBorder="1" applyAlignment="1">
      <alignment horizontal="right"/>
    </xf>
    <xf numFmtId="3" fontId="13" fillId="2" borderId="0" xfId="0" applyNumberFormat="1" applyFont="1" applyFill="1" applyAlignment="1">
      <alignment horizontal="left"/>
    </xf>
    <xf numFmtId="3" fontId="13" fillId="2" borderId="0" xfId="0" applyNumberFormat="1" applyFont="1" applyFill="1" applyAlignment="1">
      <alignment horizontal="right"/>
    </xf>
    <xf numFmtId="3" fontId="13" fillId="2" borderId="14" xfId="0" applyNumberFormat="1" applyFont="1" applyFill="1" applyBorder="1" applyAlignment="1">
      <alignment horizontal="right" wrapText="1"/>
    </xf>
    <xf numFmtId="3" fontId="14" fillId="2" borderId="14" xfId="0" applyNumberFormat="1" applyFont="1" applyFill="1" applyBorder="1" applyAlignment="1">
      <alignment horizontal="left" wrapText="1"/>
    </xf>
    <xf numFmtId="166" fontId="5" fillId="0" borderId="0" xfId="1" applyNumberFormat="1" applyFont="1" applyFill="1" applyBorder="1"/>
    <xf numFmtId="0" fontId="12" fillId="0" borderId="0" xfId="0" applyFont="1" applyAlignment="1">
      <alignment horizontal="right" wrapText="1"/>
    </xf>
    <xf numFmtId="3" fontId="12" fillId="0" borderId="14" xfId="0" applyNumberFormat="1" applyFont="1" applyBorder="1" applyAlignment="1">
      <alignment horizontal="right" wrapText="1"/>
    </xf>
    <xf numFmtId="166" fontId="12" fillId="0" borderId="0" xfId="1" applyNumberFormat="1" applyFont="1" applyFill="1" applyBorder="1" applyAlignment="1">
      <alignment horizontal="left" vertical="top" wrapText="1"/>
    </xf>
    <xf numFmtId="166" fontId="12" fillId="0" borderId="0" xfId="1" applyNumberFormat="1" applyFont="1" applyFill="1" applyBorder="1"/>
    <xf numFmtId="0" fontId="12" fillId="0" borderId="0" xfId="0" applyFont="1"/>
    <xf numFmtId="0" fontId="12" fillId="0" borderId="14" xfId="0" applyFont="1" applyBorder="1" applyAlignment="1">
      <alignment horizontal="right" wrapText="1"/>
    </xf>
    <xf numFmtId="0" fontId="5" fillId="0" borderId="14" xfId="0" applyFont="1" applyBorder="1"/>
    <xf numFmtId="0" fontId="5" fillId="0" borderId="9" xfId="0" applyFont="1" applyBorder="1"/>
    <xf numFmtId="166" fontId="12" fillId="0" borderId="0" xfId="1" applyNumberFormat="1" applyFont="1" applyBorder="1" applyAlignment="1">
      <alignment horizontal="left" vertical="top" wrapText="1"/>
    </xf>
    <xf numFmtId="3" fontId="5" fillId="0" borderId="0" xfId="0" quotePrefix="1" applyNumberFormat="1" applyFont="1" applyAlignment="1">
      <alignment horizontal="right"/>
    </xf>
    <xf numFmtId="3" fontId="12" fillId="0" borderId="0" xfId="0" applyNumberFormat="1" applyFont="1"/>
    <xf numFmtId="0" fontId="3" fillId="0" borderId="14" xfId="0" applyFont="1" applyBorder="1" applyAlignment="1" applyProtection="1">
      <alignment horizontal="centerContinuous"/>
      <protection locked="0"/>
    </xf>
    <xf numFmtId="0" fontId="3" fillId="0" borderId="20" xfId="0" applyFont="1" applyBorder="1" applyAlignment="1" applyProtection="1">
      <alignment horizontal="centerContinuous"/>
      <protection locked="0"/>
    </xf>
    <xf numFmtId="0" fontId="0" fillId="0" borderId="14" xfId="0" applyBorder="1" applyAlignment="1" applyProtection="1">
      <alignment horizontal="centerContinuous"/>
      <protection locked="0"/>
    </xf>
    <xf numFmtId="0" fontId="5" fillId="0" borderId="0" xfId="0" applyFont="1" applyProtection="1">
      <protection locked="0"/>
    </xf>
    <xf numFmtId="0" fontId="3" fillId="0" borderId="2" xfId="0" applyFont="1" applyBorder="1" applyAlignment="1" applyProtection="1">
      <alignment horizontal="centerContinuous"/>
      <protection locked="0"/>
    </xf>
    <xf numFmtId="0" fontId="3" fillId="0" borderId="19" xfId="0" applyFont="1" applyBorder="1" applyAlignment="1" applyProtection="1">
      <alignment horizontal="centerContinuous"/>
      <protection locked="0"/>
    </xf>
    <xf numFmtId="164" fontId="5" fillId="0" borderId="0" xfId="0" applyNumberFormat="1" applyFont="1" applyAlignment="1" applyProtection="1">
      <alignment horizontal="right"/>
      <protection locked="0"/>
    </xf>
    <xf numFmtId="164" fontId="5" fillId="0" borderId="0" xfId="0" applyNumberFormat="1" applyFont="1" applyProtection="1">
      <protection locked="0"/>
    </xf>
    <xf numFmtId="164" fontId="5" fillId="0" borderId="5" xfId="0" applyNumberFormat="1" applyFont="1" applyBorder="1" applyAlignment="1" applyProtection="1">
      <alignment horizontal="right"/>
      <protection locked="0"/>
    </xf>
    <xf numFmtId="0" fontId="5" fillId="0" borderId="5" xfId="0" applyFont="1" applyBorder="1" applyProtection="1">
      <protection locked="0"/>
    </xf>
    <xf numFmtId="164" fontId="5" fillId="0" borderId="0" xfId="0" quotePrefix="1" applyNumberFormat="1" applyFont="1" applyAlignment="1" applyProtection="1">
      <alignment horizontal="right"/>
      <protection locked="0"/>
    </xf>
    <xf numFmtId="164" fontId="5" fillId="0" borderId="5" xfId="0" quotePrefix="1" applyNumberFormat="1" applyFont="1" applyBorder="1" applyAlignment="1" applyProtection="1">
      <alignment horizontal="right"/>
      <protection locked="0"/>
    </xf>
    <xf numFmtId="164" fontId="5" fillId="0" borderId="2" xfId="0" applyNumberFormat="1" applyFont="1" applyBorder="1" applyAlignment="1" applyProtection="1">
      <alignment horizontal="right"/>
      <protection locked="0"/>
    </xf>
    <xf numFmtId="164" fontId="5" fillId="0" borderId="2" xfId="0" applyNumberFormat="1" applyFont="1" applyBorder="1" applyProtection="1">
      <protection locked="0"/>
    </xf>
    <xf numFmtId="164" fontId="5" fillId="0" borderId="19" xfId="0" applyNumberFormat="1" applyFont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vertical="center"/>
      <protection locked="0"/>
    </xf>
    <xf numFmtId="164" fontId="5" fillId="0" borderId="0" xfId="0" applyNumberFormat="1" applyFont="1" applyAlignment="1" applyProtection="1">
      <alignment vertical="center"/>
      <protection locked="0"/>
    </xf>
    <xf numFmtId="164" fontId="5" fillId="0" borderId="0" xfId="0" applyNumberFormat="1" applyFont="1" applyAlignment="1" applyProtection="1">
      <alignment horizontal="right" vertical="center"/>
      <protection locked="0"/>
    </xf>
    <xf numFmtId="165" fontId="5" fillId="0" borderId="5" xfId="0" applyNumberFormat="1" applyFont="1" applyBorder="1" applyAlignment="1">
      <alignment horizontal="right"/>
    </xf>
    <xf numFmtId="0" fontId="15" fillId="0" borderId="2" xfId="0" applyFont="1" applyBorder="1" applyAlignment="1">
      <alignment horizontal="right" wrapText="1"/>
    </xf>
    <xf numFmtId="3" fontId="5" fillId="0" borderId="14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 wrapText="1"/>
    </xf>
    <xf numFmtId="0" fontId="5" fillId="0" borderId="20" xfId="0" applyFont="1" applyBorder="1"/>
    <xf numFmtId="3" fontId="5" fillId="0" borderId="0" xfId="0" applyNumberFormat="1" applyFont="1" applyAlignment="1">
      <alignment vertical="top" wrapText="1"/>
    </xf>
    <xf numFmtId="166" fontId="5" fillId="0" borderId="5" xfId="1" applyNumberFormat="1" applyFont="1" applyBorder="1" applyProtection="1"/>
    <xf numFmtId="0" fontId="5" fillId="0" borderId="20" xfId="1" applyNumberFormat="1" applyFont="1" applyBorder="1" applyAlignment="1">
      <alignment horizontal="right"/>
    </xf>
    <xf numFmtId="0" fontId="6" fillId="0" borderId="0" xfId="0" applyFont="1" applyAlignment="1">
      <alignment vertical="center"/>
    </xf>
    <xf numFmtId="0" fontId="18" fillId="0" borderId="0" xfId="0" applyFont="1"/>
    <xf numFmtId="0" fontId="18" fillId="0" borderId="5" xfId="0" applyFont="1" applyBorder="1" applyAlignment="1">
      <alignment vertical="top" wrapText="1"/>
    </xf>
    <xf numFmtId="0" fontId="18" fillId="0" borderId="0" xfId="0" applyFont="1" applyAlignment="1">
      <alignment vertical="top"/>
    </xf>
    <xf numFmtId="3" fontId="5" fillId="0" borderId="25" xfId="0" applyNumberFormat="1" applyFont="1" applyBorder="1" applyAlignment="1">
      <alignment horizontal="right" wrapText="1"/>
    </xf>
    <xf numFmtId="3" fontId="5" fillId="0" borderId="26" xfId="0" applyNumberFormat="1" applyFont="1" applyBorder="1"/>
    <xf numFmtId="0" fontId="5" fillId="0" borderId="25" xfId="0" applyFont="1" applyBorder="1"/>
    <xf numFmtId="166" fontId="5" fillId="0" borderId="26" xfId="1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/>
    </xf>
    <xf numFmtId="166" fontId="5" fillId="0" borderId="2" xfId="0" applyNumberFormat="1" applyFont="1" applyBorder="1" applyAlignment="1">
      <alignment horizontal="right" wrapText="1"/>
    </xf>
    <xf numFmtId="166" fontId="18" fillId="0" borderId="0" xfId="1" applyNumberFormat="1" applyFont="1" applyBorder="1"/>
    <xf numFmtId="3" fontId="5" fillId="0" borderId="2" xfId="0" applyNumberFormat="1" applyFont="1" applyBorder="1" applyAlignment="1">
      <alignment horizontal="centerContinuous"/>
    </xf>
    <xf numFmtId="166" fontId="5" fillId="0" borderId="14" xfId="0" applyNumberFormat="1" applyFont="1" applyBorder="1"/>
    <xf numFmtId="3" fontId="5" fillId="0" borderId="20" xfId="0" applyNumberFormat="1" applyFont="1" applyBorder="1"/>
    <xf numFmtId="0" fontId="5" fillId="0" borderId="1" xfId="0" applyFont="1" applyBorder="1" applyAlignment="1">
      <alignment vertical="top"/>
    </xf>
    <xf numFmtId="3" fontId="5" fillId="0" borderId="2" xfId="0" applyNumberFormat="1" applyFont="1" applyBorder="1" applyAlignment="1">
      <alignment horizontal="left"/>
    </xf>
    <xf numFmtId="0" fontId="5" fillId="0" borderId="8" xfId="0" applyFont="1" applyBorder="1"/>
    <xf numFmtId="0" fontId="5" fillId="0" borderId="23" xfId="0" applyFont="1" applyBorder="1"/>
    <xf numFmtId="37" fontId="5" fillId="0" borderId="28" xfId="0" applyNumberFormat="1" applyFont="1" applyBorder="1"/>
    <xf numFmtId="37" fontId="5" fillId="0" borderId="18" xfId="0" applyNumberFormat="1" applyFont="1" applyBorder="1"/>
    <xf numFmtId="37" fontId="5" fillId="0" borderId="2" xfId="0" applyNumberFormat="1" applyFont="1" applyBorder="1"/>
    <xf numFmtId="37" fontId="5" fillId="0" borderId="0" xfId="0" applyNumberFormat="1" applyFont="1" applyAlignment="1">
      <alignment horizontal="left"/>
    </xf>
    <xf numFmtId="37" fontId="5" fillId="0" borderId="28" xfId="0" applyNumberFormat="1" applyFont="1" applyBorder="1" applyAlignment="1">
      <alignment horizontal="left"/>
    </xf>
    <xf numFmtId="166" fontId="5" fillId="0" borderId="5" xfId="1" applyNumberFormat="1" applyFont="1" applyBorder="1" applyAlignment="1">
      <alignment vertical="top" wrapText="1"/>
    </xf>
    <xf numFmtId="0" fontId="18" fillId="0" borderId="0" xfId="0" applyFont="1" applyAlignment="1">
      <alignment vertical="top" wrapText="1"/>
    </xf>
    <xf numFmtId="166" fontId="5" fillId="0" borderId="0" xfId="1" applyNumberFormat="1" applyFont="1" applyBorder="1" applyAlignment="1">
      <alignment vertical="top" wrapText="1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3" fontId="13" fillId="2" borderId="0" xfId="0" applyNumberFormat="1" applyFont="1" applyFill="1"/>
    <xf numFmtId="3" fontId="9" fillId="2" borderId="0" xfId="0" applyNumberFormat="1" applyFont="1" applyFill="1"/>
    <xf numFmtId="166" fontId="5" fillId="0" borderId="14" xfId="1" applyNumberFormat="1" applyFont="1" applyBorder="1" applyAlignment="1">
      <alignment horizontal="left" vertical="top" wrapText="1"/>
    </xf>
    <xf numFmtId="166" fontId="5" fillId="0" borderId="14" xfId="1" applyNumberFormat="1" applyFont="1" applyBorder="1"/>
    <xf numFmtId="166" fontId="5" fillId="0" borderId="20" xfId="1" applyNumberFormat="1" applyFont="1" applyBorder="1" applyAlignment="1">
      <alignment horizontal="left" vertical="top" wrapText="1"/>
    </xf>
    <xf numFmtId="166" fontId="5" fillId="2" borderId="14" xfId="1" applyNumberFormat="1" applyFont="1" applyFill="1" applyBorder="1" applyAlignment="1">
      <alignment horizontal="left" vertical="top" wrapText="1"/>
    </xf>
    <xf numFmtId="166" fontId="12" fillId="0" borderId="14" xfId="1" applyNumberFormat="1" applyFont="1" applyBorder="1" applyAlignment="1">
      <alignment horizontal="left" vertical="top" wrapText="1"/>
    </xf>
    <xf numFmtId="166" fontId="5" fillId="0" borderId="14" xfId="1" applyNumberFormat="1" applyFont="1" applyFill="1" applyBorder="1" applyAlignment="1">
      <alignment horizontal="left" vertical="top" wrapText="1"/>
    </xf>
    <xf numFmtId="166" fontId="12" fillId="0" borderId="14" xfId="1" applyNumberFormat="1" applyFont="1" applyFill="1" applyBorder="1" applyAlignment="1">
      <alignment horizontal="left" vertical="top" wrapText="1"/>
    </xf>
    <xf numFmtId="166" fontId="5" fillId="0" borderId="19" xfId="1" applyNumberFormat="1" applyFont="1" applyBorder="1" applyAlignment="1">
      <alignment horizontal="left" vertical="top" wrapText="1"/>
    </xf>
    <xf numFmtId="166" fontId="5" fillId="0" borderId="2" xfId="1" applyNumberFormat="1" applyFont="1" applyBorder="1" applyAlignment="1">
      <alignment horizontal="left" vertical="top" wrapText="1"/>
    </xf>
    <xf numFmtId="166" fontId="5" fillId="0" borderId="23" xfId="1" applyNumberFormat="1" applyFont="1" applyBorder="1" applyAlignment="1">
      <alignment horizontal="left" vertical="top" wrapText="1"/>
    </xf>
    <xf numFmtId="166" fontId="5" fillId="0" borderId="27" xfId="1" applyNumberFormat="1" applyFont="1" applyBorder="1" applyAlignment="1">
      <alignment horizontal="left" vertical="top" wrapText="1"/>
    </xf>
    <xf numFmtId="166" fontId="5" fillId="0" borderId="19" xfId="1" applyNumberFormat="1" applyFont="1" applyBorder="1"/>
    <xf numFmtId="166" fontId="5" fillId="0" borderId="2" xfId="1" applyNumberFormat="1" applyFont="1" applyBorder="1"/>
    <xf numFmtId="166" fontId="5" fillId="2" borderId="19" xfId="1" applyNumberFormat="1" applyFont="1" applyFill="1" applyBorder="1" applyAlignment="1">
      <alignment horizontal="left" vertical="top" wrapText="1"/>
    </xf>
    <xf numFmtId="166" fontId="5" fillId="2" borderId="2" xfId="1" applyNumberFormat="1" applyFont="1" applyFill="1" applyBorder="1" applyAlignment="1">
      <alignment horizontal="left" vertical="top" wrapText="1"/>
    </xf>
    <xf numFmtId="166" fontId="12" fillId="0" borderId="2" xfId="1" applyNumberFormat="1" applyFont="1" applyBorder="1" applyAlignment="1">
      <alignment horizontal="left" vertical="top" wrapText="1"/>
    </xf>
    <xf numFmtId="166" fontId="5" fillId="2" borderId="23" xfId="1" applyNumberFormat="1" applyFont="1" applyFill="1" applyBorder="1" applyAlignment="1">
      <alignment horizontal="left" vertical="top" wrapText="1"/>
    </xf>
    <xf numFmtId="166" fontId="5" fillId="0" borderId="2" xfId="1" applyNumberFormat="1" applyFont="1" applyFill="1" applyBorder="1" applyAlignment="1">
      <alignment horizontal="left" vertical="top" wrapText="1"/>
    </xf>
    <xf numFmtId="166" fontId="12" fillId="0" borderId="2" xfId="1" applyNumberFormat="1" applyFont="1" applyFill="1" applyBorder="1" applyAlignment="1">
      <alignment horizontal="left" vertical="top" wrapText="1"/>
    </xf>
    <xf numFmtId="37" fontId="5" fillId="0" borderId="29" xfId="0" applyNumberFormat="1" applyFont="1" applyBorder="1"/>
    <xf numFmtId="166" fontId="5" fillId="0" borderId="25" xfId="1" applyNumberFormat="1" applyFont="1" applyBorder="1" applyAlignment="1">
      <alignment horizontal="left" vertical="top" wrapText="1"/>
    </xf>
    <xf numFmtId="166" fontId="5" fillId="2" borderId="20" xfId="1" applyNumberFormat="1" applyFont="1" applyFill="1" applyBorder="1" applyAlignment="1">
      <alignment horizontal="left" vertical="top" wrapText="1"/>
    </xf>
    <xf numFmtId="166" fontId="19" fillId="0" borderId="16" xfId="1" applyNumberFormat="1" applyFont="1" applyBorder="1"/>
    <xf numFmtId="166" fontId="19" fillId="0" borderId="0" xfId="1" applyNumberFormat="1" applyFont="1" applyBorder="1"/>
    <xf numFmtId="166" fontId="5" fillId="0" borderId="5" xfId="1" applyNumberFormat="1" applyFont="1" applyBorder="1" applyAlignment="1">
      <alignment horizontal="right" vertical="top" wrapText="1"/>
    </xf>
    <xf numFmtId="166" fontId="5" fillId="0" borderId="0" xfId="1" applyNumberFormat="1" applyFont="1" applyBorder="1" applyAlignment="1">
      <alignment horizontal="right" vertical="top" wrapText="1"/>
    </xf>
    <xf numFmtId="166" fontId="5" fillId="0" borderId="7" xfId="1" applyNumberFormat="1" applyFont="1" applyBorder="1" applyAlignment="1">
      <alignment horizontal="right" vertical="top" wrapText="1"/>
    </xf>
    <xf numFmtId="166" fontId="5" fillId="0" borderId="19" xfId="1" applyNumberFormat="1" applyFont="1" applyBorder="1" applyAlignment="1">
      <alignment horizontal="right" vertical="top" wrapText="1"/>
    </xf>
    <xf numFmtId="166" fontId="5" fillId="0" borderId="2" xfId="1" applyNumberFormat="1" applyFont="1" applyBorder="1" applyAlignment="1">
      <alignment horizontal="right" vertical="top" wrapText="1"/>
    </xf>
    <xf numFmtId="166" fontId="5" fillId="0" borderId="23" xfId="1" applyNumberFormat="1" applyFont="1" applyBorder="1" applyAlignment="1">
      <alignment horizontal="right" vertical="top" wrapText="1"/>
    </xf>
    <xf numFmtId="166" fontId="5" fillId="0" borderId="14" xfId="1" applyNumberFormat="1" applyFont="1" applyBorder="1" applyAlignment="1">
      <alignment horizontal="right" vertical="top" wrapText="1"/>
    </xf>
    <xf numFmtId="166" fontId="19" fillId="0" borderId="0" xfId="1" applyNumberFormat="1" applyFont="1" applyBorder="1" applyAlignment="1">
      <alignment vertical="top" wrapText="1"/>
    </xf>
    <xf numFmtId="166" fontId="19" fillId="0" borderId="7" xfId="1" applyNumberFormat="1" applyFont="1" applyBorder="1" applyAlignment="1">
      <alignment vertical="top" wrapText="1"/>
    </xf>
    <xf numFmtId="3" fontId="13" fillId="0" borderId="0" xfId="0" applyNumberFormat="1" applyFont="1" applyAlignment="1">
      <alignment vertical="top"/>
    </xf>
    <xf numFmtId="3" fontId="13" fillId="2" borderId="0" xfId="0" applyNumberFormat="1" applyFont="1" applyFill="1" applyAlignment="1">
      <alignment vertical="top"/>
    </xf>
    <xf numFmtId="166" fontId="19" fillId="0" borderId="14" xfId="1" applyNumberFormat="1" applyFont="1" applyBorder="1" applyAlignment="1">
      <alignment horizontal="left" vertical="top" wrapText="1"/>
    </xf>
    <xf numFmtId="166" fontId="19" fillId="0" borderId="14" xfId="1" applyNumberFormat="1" applyFont="1" applyBorder="1" applyAlignment="1">
      <alignment horizontal="right" vertical="top" wrapText="1"/>
    </xf>
    <xf numFmtId="166" fontId="19" fillId="0" borderId="21" xfId="1" applyNumberFormat="1" applyFont="1" applyBorder="1" applyAlignment="1">
      <alignment horizontal="right" vertical="top" wrapText="1"/>
    </xf>
    <xf numFmtId="166" fontId="5" fillId="0" borderId="0" xfId="1" applyNumberFormat="1" applyFont="1" applyFill="1" applyBorder="1" applyAlignment="1">
      <alignment horizontal="right" vertical="top" wrapText="1"/>
    </xf>
    <xf numFmtId="166" fontId="5" fillId="0" borderId="20" xfId="1" applyNumberFormat="1" applyFont="1" applyBorder="1" applyAlignment="1">
      <alignment horizontal="right" vertical="top" wrapText="1"/>
    </xf>
    <xf numFmtId="166" fontId="19" fillId="2" borderId="20" xfId="1" applyNumberFormat="1" applyFont="1" applyFill="1" applyBorder="1" applyAlignment="1">
      <alignment horizontal="left" vertical="top" wrapText="1"/>
    </xf>
    <xf numFmtId="166" fontId="19" fillId="2" borderId="14" xfId="1" applyNumberFormat="1" applyFont="1" applyFill="1" applyBorder="1" applyAlignment="1">
      <alignment horizontal="left" vertical="top" wrapText="1"/>
    </xf>
    <xf numFmtId="166" fontId="19" fillId="2" borderId="21" xfId="1" applyNumberFormat="1" applyFont="1" applyFill="1" applyBorder="1" applyAlignment="1">
      <alignment horizontal="left" vertical="top" wrapText="1"/>
    </xf>
    <xf numFmtId="166" fontId="19" fillId="0" borderId="14" xfId="1" applyNumberFormat="1" applyFont="1" applyFill="1" applyBorder="1" applyAlignment="1">
      <alignment horizontal="left" vertical="top" wrapText="1"/>
    </xf>
    <xf numFmtId="166" fontId="19" fillId="0" borderId="20" xfId="1" applyNumberFormat="1" applyFont="1" applyBorder="1" applyAlignment="1">
      <alignment horizontal="left" vertical="top" wrapText="1"/>
    </xf>
    <xf numFmtId="166" fontId="19" fillId="0" borderId="5" xfId="1" applyNumberFormat="1" applyFont="1" applyBorder="1"/>
    <xf numFmtId="166" fontId="19" fillId="0" borderId="0" xfId="1" applyNumberFormat="1" applyFont="1" applyAlignment="1">
      <alignment horizontal="left" vertical="top" wrapText="1"/>
    </xf>
    <xf numFmtId="166" fontId="19" fillId="2" borderId="0" xfId="1" applyNumberFormat="1" applyFont="1" applyFill="1" applyBorder="1" applyAlignment="1">
      <alignment horizontal="left" vertical="top" wrapText="1"/>
    </xf>
    <xf numFmtId="166" fontId="19" fillId="0" borderId="7" xfId="1" applyNumberFormat="1" applyFont="1" applyBorder="1"/>
    <xf numFmtId="166" fontId="19" fillId="0" borderId="0" xfId="1" applyNumberFormat="1" applyFont="1" applyFill="1" applyBorder="1"/>
    <xf numFmtId="166" fontId="19" fillId="0" borderId="0" xfId="1" applyNumberFormat="1" applyFont="1" applyFill="1" applyBorder="1" applyAlignment="1">
      <alignment horizontal="left" vertical="top" wrapText="1"/>
    </xf>
    <xf numFmtId="166" fontId="19" fillId="0" borderId="0" xfId="1" applyNumberFormat="1" applyFont="1" applyBorder="1" applyAlignment="1">
      <alignment horizontal="left" vertical="top" wrapText="1"/>
    </xf>
    <xf numFmtId="166" fontId="5" fillId="0" borderId="30" xfId="1" applyNumberFormat="1" applyFont="1" applyBorder="1" applyProtection="1"/>
    <xf numFmtId="166" fontId="5" fillId="0" borderId="14" xfId="1" applyNumberFormat="1" applyFont="1" applyBorder="1" applyProtection="1"/>
    <xf numFmtId="166" fontId="5" fillId="0" borderId="21" xfId="1" applyNumberFormat="1" applyFont="1" applyBorder="1" applyProtection="1"/>
    <xf numFmtId="166" fontId="5" fillId="0" borderId="0" xfId="1" applyNumberFormat="1" applyFont="1" applyAlignment="1">
      <alignment horizontal="center"/>
    </xf>
    <xf numFmtId="166" fontId="5" fillId="0" borderId="0" xfId="1" applyNumberFormat="1" applyFont="1" applyProtection="1"/>
    <xf numFmtId="166" fontId="5" fillId="0" borderId="7" xfId="1" applyNumberFormat="1" applyFont="1" applyBorder="1" applyProtection="1"/>
    <xf numFmtId="166" fontId="19" fillId="0" borderId="20" xfId="1" applyNumberFormat="1" applyFont="1" applyBorder="1"/>
    <xf numFmtId="166" fontId="19" fillId="0" borderId="14" xfId="1" applyNumberFormat="1" applyFont="1" applyBorder="1"/>
    <xf numFmtId="166" fontId="19" fillId="0" borderId="14" xfId="1" applyNumberFormat="1" applyFont="1" applyBorder="1" applyAlignment="1">
      <alignment horizontal="center"/>
    </xf>
    <xf numFmtId="166" fontId="19" fillId="2" borderId="14" xfId="1" applyNumberFormat="1" applyFont="1" applyFill="1" applyBorder="1"/>
    <xf numFmtId="166" fontId="19" fillId="0" borderId="20" xfId="1" applyNumberFormat="1" applyFont="1" applyFill="1" applyBorder="1"/>
    <xf numFmtId="166" fontId="19" fillId="0" borderId="25" xfId="1" applyNumberFormat="1" applyFont="1" applyFill="1" applyBorder="1"/>
    <xf numFmtId="166" fontId="19" fillId="0" borderId="14" xfId="1" applyNumberFormat="1" applyFont="1" applyBorder="1" applyProtection="1"/>
    <xf numFmtId="166" fontId="19" fillId="0" borderId="0" xfId="1" applyNumberFormat="1" applyFont="1"/>
    <xf numFmtId="166" fontId="19" fillId="0" borderId="0" xfId="1" applyNumberFormat="1" applyFont="1" applyProtection="1"/>
    <xf numFmtId="166" fontId="19" fillId="2" borderId="0" xfId="1" applyNumberFormat="1" applyFont="1" applyFill="1"/>
    <xf numFmtId="166" fontId="19" fillId="0" borderId="5" xfId="1" applyNumberFormat="1" applyFont="1" applyFill="1" applyBorder="1"/>
    <xf numFmtId="166" fontId="19" fillId="0" borderId="26" xfId="1" applyNumberFormat="1" applyFont="1" applyFill="1" applyBorder="1"/>
    <xf numFmtId="166" fontId="5" fillId="0" borderId="0" xfId="1" applyNumberFormat="1" applyFont="1" applyAlignment="1">
      <alignment vertical="top" wrapText="1"/>
    </xf>
    <xf numFmtId="166" fontId="5" fillId="0" borderId="7" xfId="1" applyNumberFormat="1" applyFont="1" applyBorder="1" applyAlignment="1">
      <alignment vertical="top" wrapText="1"/>
    </xf>
    <xf numFmtId="166" fontId="5" fillId="0" borderId="26" xfId="1" applyNumberFormat="1" applyFont="1" applyBorder="1" applyAlignment="1">
      <alignment vertical="top" wrapText="1"/>
    </xf>
    <xf numFmtId="166" fontId="18" fillId="0" borderId="5" xfId="1" applyNumberFormat="1" applyFont="1" applyBorder="1" applyAlignment="1">
      <alignment vertical="top" wrapText="1"/>
    </xf>
    <xf numFmtId="166" fontId="18" fillId="0" borderId="0" xfId="1" applyNumberFormat="1" applyFont="1" applyBorder="1" applyAlignment="1">
      <alignment vertical="top" wrapText="1"/>
    </xf>
    <xf numFmtId="166" fontId="13" fillId="0" borderId="0" xfId="1" applyNumberFormat="1" applyFont="1"/>
    <xf numFmtId="166" fontId="13" fillId="2" borderId="0" xfId="1" applyNumberFormat="1" applyFont="1" applyFill="1"/>
    <xf numFmtId="166" fontId="5" fillId="0" borderId="0" xfId="1" applyNumberFormat="1" applyFont="1" applyFill="1" applyAlignment="1">
      <alignment vertical="top" wrapText="1"/>
    </xf>
    <xf numFmtId="166" fontId="12" fillId="0" borderId="0" xfId="1" applyNumberFormat="1" applyFont="1" applyFill="1" applyAlignment="1">
      <alignment vertical="top" wrapText="1"/>
    </xf>
    <xf numFmtId="166" fontId="5" fillId="0" borderId="0" xfId="1" applyNumberFormat="1" applyFont="1" applyFill="1" applyBorder="1" applyAlignment="1">
      <alignment vertical="top" wrapText="1"/>
    </xf>
    <xf numFmtId="166" fontId="5" fillId="0" borderId="5" xfId="1" applyNumberFormat="1" applyFont="1" applyFill="1" applyBorder="1" applyAlignment="1"/>
    <xf numFmtId="166" fontId="5" fillId="0" borderId="0" xfId="1" applyNumberFormat="1" applyFont="1" applyFill="1" applyBorder="1" applyAlignment="1">
      <alignment horizontal="center"/>
    </xf>
    <xf numFmtId="166" fontId="5" fillId="0" borderId="26" xfId="1" applyNumberFormat="1" applyFont="1" applyBorder="1" applyProtection="1"/>
    <xf numFmtId="166" fontId="14" fillId="0" borderId="0" xfId="1" applyNumberFormat="1" applyFont="1" applyBorder="1"/>
    <xf numFmtId="166" fontId="13" fillId="0" borderId="0" xfId="1" applyNumberFormat="1" applyFont="1" applyBorder="1"/>
    <xf numFmtId="166" fontId="14" fillId="2" borderId="0" xfId="1" applyNumberFormat="1" applyFont="1" applyFill="1" applyBorder="1"/>
    <xf numFmtId="166" fontId="13" fillId="2" borderId="0" xfId="1" applyNumberFormat="1" applyFont="1" applyFill="1" applyBorder="1"/>
    <xf numFmtId="166" fontId="5" fillId="0" borderId="5" xfId="1" applyNumberFormat="1" applyFont="1" applyBorder="1" applyAlignment="1" applyProtection="1">
      <alignment horizontal="right"/>
    </xf>
    <xf numFmtId="166" fontId="5" fillId="0" borderId="0" xfId="1" applyNumberFormat="1" applyFont="1" applyBorder="1" applyAlignment="1" applyProtection="1">
      <alignment horizontal="right"/>
    </xf>
    <xf numFmtId="166" fontId="5" fillId="0" borderId="7" xfId="1" applyNumberFormat="1" applyFont="1" applyBorder="1" applyAlignment="1" applyProtection="1">
      <alignment horizontal="right"/>
    </xf>
    <xf numFmtId="166" fontId="12" fillId="0" borderId="0" xfId="1" applyNumberFormat="1" applyFont="1" applyBorder="1" applyProtection="1"/>
    <xf numFmtId="166" fontId="5" fillId="0" borderId="19" xfId="1" applyNumberFormat="1" applyFont="1" applyBorder="1" applyProtection="1"/>
    <xf numFmtId="166" fontId="5" fillId="0" borderId="2" xfId="1" applyNumberFormat="1" applyFont="1" applyBorder="1" applyProtection="1"/>
    <xf numFmtId="166" fontId="5" fillId="0" borderId="23" xfId="1" applyNumberFormat="1" applyFont="1" applyBorder="1" applyProtection="1"/>
    <xf numFmtId="166" fontId="5" fillId="0" borderId="2" xfId="1" applyNumberFormat="1" applyFont="1" applyFill="1" applyBorder="1" applyAlignment="1">
      <alignment horizontal="center"/>
    </xf>
    <xf numFmtId="166" fontId="5" fillId="0" borderId="27" xfId="1" applyNumberFormat="1" applyFont="1" applyBorder="1" applyProtection="1"/>
    <xf numFmtId="166" fontId="14" fillId="0" borderId="2" xfId="1" applyNumberFormat="1" applyFont="1" applyBorder="1"/>
    <xf numFmtId="166" fontId="13" fillId="0" borderId="2" xfId="1" applyNumberFormat="1" applyFont="1" applyBorder="1"/>
    <xf numFmtId="166" fontId="14" fillId="2" borderId="2" xfId="1" applyNumberFormat="1" applyFont="1" applyFill="1" applyBorder="1"/>
    <xf numFmtId="166" fontId="13" fillId="2" borderId="2" xfId="1" applyNumberFormat="1" applyFont="1" applyFill="1" applyBorder="1"/>
    <xf numFmtId="166" fontId="19" fillId="0" borderId="10" xfId="1" applyNumberFormat="1" applyFont="1" applyBorder="1"/>
    <xf numFmtId="166" fontId="19" fillId="0" borderId="5" xfId="1" applyNumberFormat="1" applyFont="1" applyBorder="1" applyAlignment="1">
      <alignment vertical="top" wrapText="1"/>
    </xf>
    <xf numFmtId="166" fontId="19" fillId="2" borderId="0" xfId="1" applyNumberFormat="1" applyFont="1" applyFill="1" applyBorder="1"/>
    <xf numFmtId="166" fontId="19" fillId="0" borderId="0" xfId="1" applyNumberFormat="1" applyFont="1" applyFill="1" applyBorder="1" applyAlignment="1">
      <alignment vertical="top" wrapText="1"/>
    </xf>
    <xf numFmtId="166" fontId="12" fillId="0" borderId="0" xfId="1" applyNumberFormat="1" applyFont="1" applyFill="1" applyBorder="1" applyAlignment="1">
      <alignment vertical="top" wrapText="1"/>
    </xf>
    <xf numFmtId="166" fontId="12" fillId="0" borderId="2" xfId="1" applyNumberFormat="1" applyFont="1" applyBorder="1" applyProtection="1"/>
    <xf numFmtId="166" fontId="5" fillId="0" borderId="10" xfId="1" applyNumberFormat="1" applyFont="1" applyBorder="1" applyAlignment="1">
      <alignment horizontal="right" vertical="top" wrapText="1"/>
    </xf>
    <xf numFmtId="166" fontId="14" fillId="2" borderId="5" xfId="1" applyNumberFormat="1" applyFont="1" applyFill="1" applyBorder="1"/>
    <xf numFmtId="166" fontId="12" fillId="0" borderId="14" xfId="1" applyNumberFormat="1" applyFont="1" applyBorder="1" applyProtection="1"/>
    <xf numFmtId="166" fontId="14" fillId="0" borderId="14" xfId="1" applyNumberFormat="1" applyFont="1" applyBorder="1"/>
    <xf numFmtId="166" fontId="13" fillId="0" borderId="14" xfId="1" applyNumberFormat="1" applyFont="1" applyBorder="1"/>
    <xf numFmtId="166" fontId="14" fillId="2" borderId="20" xfId="1" applyNumberFormat="1" applyFont="1" applyFill="1" applyBorder="1"/>
    <xf numFmtId="166" fontId="14" fillId="2" borderId="14" xfId="1" applyNumberFormat="1" applyFont="1" applyFill="1" applyBorder="1"/>
    <xf numFmtId="166" fontId="13" fillId="2" borderId="14" xfId="1" applyNumberFormat="1" applyFont="1" applyFill="1" applyBorder="1"/>
    <xf numFmtId="166" fontId="5" fillId="0" borderId="31" xfId="1" applyNumberFormat="1" applyFont="1" applyBorder="1" applyAlignment="1">
      <alignment horizontal="left" vertical="top" wrapText="1"/>
    </xf>
    <xf numFmtId="3" fontId="5" fillId="0" borderId="2" xfId="0" applyNumberFormat="1" applyFont="1" applyBorder="1"/>
    <xf numFmtId="3" fontId="5" fillId="0" borderId="19" xfId="0" applyNumberFormat="1" applyFont="1" applyBorder="1"/>
    <xf numFmtId="3" fontId="12" fillId="0" borderId="2" xfId="0" applyNumberFormat="1" applyFont="1" applyBorder="1"/>
    <xf numFmtId="37" fontId="12" fillId="0" borderId="23" xfId="0" applyNumberFormat="1" applyFont="1" applyBorder="1"/>
    <xf numFmtId="3" fontId="5" fillId="0" borderId="2" xfId="0" applyNumberFormat="1" applyFont="1" applyBorder="1" applyAlignment="1">
      <alignment horizontal="right" wrapText="1"/>
    </xf>
    <xf numFmtId="3" fontId="5" fillId="0" borderId="27" xfId="0" applyNumberFormat="1" applyFont="1" applyBorder="1"/>
    <xf numFmtId="3" fontId="5" fillId="0" borderId="31" xfId="0" applyNumberFormat="1" applyFont="1" applyBorder="1" applyAlignment="1">
      <alignment horizontal="center"/>
    </xf>
    <xf numFmtId="3" fontId="5" fillId="0" borderId="19" xfId="0" applyNumberFormat="1" applyFont="1" applyBorder="1" applyAlignment="1">
      <alignment horizontal="center"/>
    </xf>
    <xf numFmtId="167" fontId="5" fillId="0" borderId="2" xfId="0" applyNumberFormat="1" applyFont="1" applyBorder="1"/>
    <xf numFmtId="37" fontId="12" fillId="0" borderId="2" xfId="0" applyNumberFormat="1" applyFont="1" applyBorder="1"/>
    <xf numFmtId="3" fontId="5" fillId="0" borderId="14" xfId="0" applyNumberFormat="1" applyFont="1" applyBorder="1"/>
    <xf numFmtId="3" fontId="12" fillId="0" borderId="14" xfId="0" applyNumberFormat="1" applyFont="1" applyBorder="1"/>
    <xf numFmtId="37" fontId="12" fillId="0" borderId="14" xfId="0" applyNumberFormat="1" applyFont="1" applyBorder="1"/>
    <xf numFmtId="3" fontId="5" fillId="0" borderId="25" xfId="0" applyNumberFormat="1" applyFont="1" applyBorder="1"/>
    <xf numFmtId="166" fontId="5" fillId="0" borderId="20" xfId="1" applyNumberFormat="1" applyFont="1" applyBorder="1"/>
    <xf numFmtId="3" fontId="5" fillId="4" borderId="0" xfId="0" applyNumberFormat="1" applyFont="1" applyFill="1"/>
    <xf numFmtId="3" fontId="5" fillId="4" borderId="2" xfId="0" applyNumberFormat="1" applyFont="1" applyFill="1" applyBorder="1"/>
    <xf numFmtId="3" fontId="5" fillId="0" borderId="9" xfId="0" applyNumberFormat="1" applyFont="1" applyBorder="1"/>
    <xf numFmtId="3" fontId="5" fillId="4" borderId="14" xfId="0" applyNumberFormat="1" applyFont="1" applyFill="1" applyBorder="1"/>
    <xf numFmtId="165" fontId="5" fillId="0" borderId="2" xfId="0" applyNumberFormat="1" applyFont="1" applyBorder="1" applyAlignment="1">
      <alignment horizontal="right"/>
    </xf>
    <xf numFmtId="165" fontId="5" fillId="0" borderId="19" xfId="0" applyNumberFormat="1" applyFont="1" applyBorder="1" applyAlignment="1">
      <alignment horizontal="right"/>
    </xf>
    <xf numFmtId="165" fontId="5" fillId="4" borderId="0" xfId="0" applyNumberFormat="1" applyFont="1" applyFill="1" applyAlignment="1">
      <alignment horizontal="right"/>
    </xf>
    <xf numFmtId="165" fontId="5" fillId="4" borderId="5" xfId="0" applyNumberFormat="1" applyFont="1" applyFill="1" applyBorder="1" applyAlignment="1">
      <alignment horizontal="right"/>
    </xf>
    <xf numFmtId="165" fontId="5" fillId="4" borderId="2" xfId="0" applyNumberFormat="1" applyFont="1" applyFill="1" applyBorder="1" applyAlignment="1">
      <alignment horizontal="right"/>
    </xf>
    <xf numFmtId="165" fontId="5" fillId="4" borderId="19" xfId="0" applyNumberFormat="1" applyFont="1" applyFill="1" applyBorder="1" applyAlignment="1">
      <alignment horizontal="right"/>
    </xf>
    <xf numFmtId="165" fontId="5" fillId="0" borderId="9" xfId="0" applyNumberFormat="1" applyFont="1" applyBorder="1" applyAlignment="1">
      <alignment horizontal="right"/>
    </xf>
    <xf numFmtId="165" fontId="5" fillId="0" borderId="10" xfId="0" applyNumberFormat="1" applyFont="1" applyBorder="1" applyAlignment="1">
      <alignment horizontal="right"/>
    </xf>
    <xf numFmtId="165" fontId="5" fillId="4" borderId="14" xfId="0" applyNumberFormat="1" applyFont="1" applyFill="1" applyBorder="1" applyAlignment="1">
      <alignment horizontal="right"/>
    </xf>
    <xf numFmtId="168" fontId="5" fillId="0" borderId="0" xfId="0" applyNumberFormat="1" applyFont="1"/>
    <xf numFmtId="168" fontId="5" fillId="0" borderId="2" xfId="0" applyNumberFormat="1" applyFont="1" applyBorder="1"/>
    <xf numFmtId="168" fontId="5" fillId="0" borderId="0" xfId="0" applyNumberFormat="1" applyFont="1" applyAlignment="1">
      <alignment horizontal="left"/>
    </xf>
    <xf numFmtId="168" fontId="5" fillId="0" borderId="14" xfId="0" applyNumberFormat="1" applyFont="1" applyBorder="1"/>
    <xf numFmtId="164" fontId="5" fillId="0" borderId="14" xfId="0" applyNumberFormat="1" applyFont="1" applyBorder="1" applyAlignment="1" applyProtection="1">
      <alignment horizontal="right"/>
      <protection locked="0"/>
    </xf>
    <xf numFmtId="164" fontId="5" fillId="0" borderId="14" xfId="0" applyNumberFormat="1" applyFont="1" applyBorder="1" applyProtection="1">
      <protection locked="0"/>
    </xf>
    <xf numFmtId="37" fontId="5" fillId="0" borderId="9" xfId="0" applyNumberFormat="1" applyFont="1" applyBorder="1"/>
    <xf numFmtId="168" fontId="5" fillId="0" borderId="9" xfId="0" applyNumberFormat="1" applyFont="1" applyBorder="1"/>
    <xf numFmtId="164" fontId="5" fillId="0" borderId="10" xfId="0" applyNumberFormat="1" applyFont="1" applyBorder="1" applyAlignment="1" applyProtection="1">
      <alignment horizontal="right"/>
      <protection locked="0"/>
    </xf>
    <xf numFmtId="164" fontId="5" fillId="0" borderId="9" xfId="0" applyNumberFormat="1" applyFont="1" applyBorder="1" applyAlignment="1" applyProtection="1">
      <alignment horizontal="right"/>
      <protection locked="0"/>
    </xf>
    <xf numFmtId="166" fontId="19" fillId="0" borderId="6" xfId="1" applyNumberFormat="1" applyFont="1" applyBorder="1"/>
    <xf numFmtId="3" fontId="19" fillId="0" borderId="0" xfId="0" applyNumberFormat="1" applyFont="1"/>
    <xf numFmtId="3" fontId="19" fillId="0" borderId="5" xfId="0" applyNumberFormat="1" applyFont="1" applyBorder="1"/>
    <xf numFmtId="37" fontId="19" fillId="0" borderId="7" xfId="0" applyNumberFormat="1" applyFont="1" applyBorder="1"/>
    <xf numFmtId="166" fontId="19" fillId="0" borderId="6" xfId="1" applyNumberFormat="1" applyFont="1" applyBorder="1" applyAlignment="1">
      <alignment horizontal="left" vertical="top" wrapText="1"/>
    </xf>
    <xf numFmtId="3" fontId="19" fillId="0" borderId="0" xfId="0" applyNumberFormat="1" applyFont="1" applyAlignment="1">
      <alignment horizontal="right" wrapText="1"/>
    </xf>
    <xf numFmtId="3" fontId="19" fillId="0" borderId="26" xfId="0" applyNumberFormat="1" applyFont="1" applyBorder="1"/>
    <xf numFmtId="166" fontId="19" fillId="0" borderId="0" xfId="1" applyNumberFormat="1" applyFont="1" applyFill="1"/>
    <xf numFmtId="166" fontId="19" fillId="0" borderId="7" xfId="1" applyNumberFormat="1" applyFont="1" applyFill="1" applyBorder="1" applyProtection="1"/>
    <xf numFmtId="166" fontId="19" fillId="0" borderId="26" xfId="1" applyNumberFormat="1" applyFont="1" applyBorder="1"/>
    <xf numFmtId="166" fontId="19" fillId="0" borderId="2" xfId="1" applyNumberFormat="1" applyFont="1" applyBorder="1"/>
    <xf numFmtId="166" fontId="19" fillId="0" borderId="19" xfId="1" applyNumberFormat="1" applyFont="1" applyFill="1" applyBorder="1"/>
    <xf numFmtId="166" fontId="19" fillId="0" borderId="2" xfId="1" applyNumberFormat="1" applyFont="1" applyFill="1" applyBorder="1"/>
    <xf numFmtId="166" fontId="19" fillId="0" borderId="19" xfId="1" applyNumberFormat="1" applyFont="1" applyFill="1" applyBorder="1" applyAlignment="1">
      <alignment horizontal="left" vertical="top" wrapText="1"/>
    </xf>
    <xf numFmtId="166" fontId="19" fillId="0" borderId="2" xfId="1" applyNumberFormat="1" applyFont="1" applyBorder="1" applyAlignment="1">
      <alignment horizontal="left" vertical="top" wrapText="1"/>
    </xf>
    <xf numFmtId="166" fontId="19" fillId="0" borderId="23" xfId="1" applyNumberFormat="1" applyFont="1" applyFill="1" applyBorder="1" applyProtection="1"/>
    <xf numFmtId="166" fontId="19" fillId="0" borderId="2" xfId="1" applyNumberFormat="1" applyFont="1" applyBorder="1" applyAlignment="1">
      <alignment horizontal="right" wrapText="1"/>
    </xf>
    <xf numFmtId="166" fontId="19" fillId="0" borderId="27" xfId="1" applyNumberFormat="1" applyFont="1" applyBorder="1"/>
    <xf numFmtId="166" fontId="19" fillId="0" borderId="19" xfId="1" applyNumberFormat="1" applyFont="1" applyBorder="1"/>
    <xf numFmtId="3" fontId="19" fillId="0" borderId="2" xfId="0" applyNumberFormat="1" applyFont="1" applyBorder="1"/>
    <xf numFmtId="3" fontId="5" fillId="0" borderId="22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3" fontId="5" fillId="4" borderId="2" xfId="0" applyNumberFormat="1" applyFont="1" applyFill="1" applyBorder="1" applyAlignment="1">
      <alignment horizontal="left"/>
    </xf>
    <xf numFmtId="3" fontId="5" fillId="0" borderId="9" xfId="0" applyNumberFormat="1" applyFont="1" applyBorder="1" applyAlignment="1">
      <alignment horizontal="left"/>
    </xf>
    <xf numFmtId="3" fontId="5" fillId="4" borderId="14" xfId="0" applyNumberFormat="1" applyFont="1" applyFill="1" applyBorder="1" applyAlignment="1">
      <alignment horizontal="left"/>
    </xf>
    <xf numFmtId="0" fontId="2" fillId="0" borderId="10" xfId="0" applyFont="1" applyBorder="1"/>
    <xf numFmtId="3" fontId="5" fillId="4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37" fontId="5" fillId="0" borderId="14" xfId="0" applyNumberFormat="1" applyFont="1" applyBorder="1"/>
    <xf numFmtId="166" fontId="19" fillId="0" borderId="25" xfId="1" applyNumberFormat="1" applyFont="1" applyBorder="1" applyAlignment="1">
      <alignment horizontal="right" vertical="top" wrapText="1"/>
    </xf>
    <xf numFmtId="17" fontId="5" fillId="0" borderId="0" xfId="0" applyNumberFormat="1" applyFont="1" applyAlignment="1">
      <alignment horizontal="left"/>
    </xf>
    <xf numFmtId="166" fontId="19" fillId="0" borderId="20" xfId="1" applyNumberFormat="1" applyFont="1" applyBorder="1" applyAlignment="1">
      <alignment horizontal="right" vertical="top" wrapText="1"/>
    </xf>
    <xf numFmtId="166" fontId="18" fillId="0" borderId="5" xfId="1" applyNumberFormat="1" applyFont="1" applyBorder="1"/>
    <xf numFmtId="0" fontId="5" fillId="0" borderId="20" xfId="0" applyFont="1" applyBorder="1" applyAlignment="1">
      <alignment horizontal="centerContinuous" wrapText="1"/>
    </xf>
    <xf numFmtId="0" fontId="5" fillId="0" borderId="20" xfId="0" applyFont="1" applyBorder="1" applyAlignment="1">
      <alignment horizontal="right"/>
    </xf>
    <xf numFmtId="0" fontId="19" fillId="0" borderId="0" xfId="0" applyFont="1"/>
    <xf numFmtId="0" fontId="19" fillId="0" borderId="2" xfId="0" applyFont="1" applyBorder="1"/>
    <xf numFmtId="0" fontId="19" fillId="0" borderId="18" xfId="0" applyFont="1" applyBorder="1" applyAlignment="1">
      <alignment horizontal="centerContinuous" wrapText="1"/>
    </xf>
    <xf numFmtId="0" fontId="19" fillId="0" borderId="2" xfId="0" applyFont="1" applyBorder="1" applyAlignment="1">
      <alignment horizontal="centerContinuous"/>
    </xf>
    <xf numFmtId="0" fontId="19" fillId="0" borderId="32" xfId="0" applyFont="1" applyBorder="1" applyAlignment="1">
      <alignment horizontal="centerContinuous" wrapText="1"/>
    </xf>
    <xf numFmtId="0" fontId="19" fillId="0" borderId="0" xfId="0" applyFont="1" applyAlignment="1">
      <alignment horizontal="centerContinuous" wrapText="1"/>
    </xf>
    <xf numFmtId="0" fontId="19" fillId="0" borderId="0" xfId="0" applyFont="1" applyAlignment="1">
      <alignment horizontal="centerContinuous"/>
    </xf>
    <xf numFmtId="0" fontId="19" fillId="0" borderId="10" xfId="0" applyFont="1" applyBorder="1" applyAlignment="1">
      <alignment horizontal="centerContinuous" wrapText="1"/>
    </xf>
    <xf numFmtId="0" fontId="19" fillId="0" borderId="5" xfId="0" applyFont="1" applyBorder="1" applyAlignment="1">
      <alignment horizontal="centerContinuous" wrapText="1"/>
    </xf>
    <xf numFmtId="0" fontId="19" fillId="0" borderId="5" xfId="0" applyFont="1" applyBorder="1"/>
    <xf numFmtId="0" fontId="19" fillId="0" borderId="19" xfId="0" applyFont="1" applyBorder="1"/>
    <xf numFmtId="168" fontId="19" fillId="0" borderId="14" xfId="0" applyNumberFormat="1" applyFont="1" applyBorder="1" applyAlignment="1">
      <alignment horizontal="right"/>
    </xf>
    <xf numFmtId="168" fontId="19" fillId="0" borderId="20" xfId="0" applyNumberFormat="1" applyFont="1" applyBorder="1" applyAlignment="1">
      <alignment horizontal="right"/>
    </xf>
    <xf numFmtId="168" fontId="19" fillId="0" borderId="0" xfId="0" applyNumberFormat="1" applyFont="1" applyAlignment="1">
      <alignment horizontal="right"/>
    </xf>
    <xf numFmtId="168" fontId="19" fillId="0" borderId="5" xfId="0" applyNumberFormat="1" applyFont="1" applyBorder="1" applyAlignment="1">
      <alignment horizontal="right"/>
    </xf>
    <xf numFmtId="168" fontId="19" fillId="0" borderId="2" xfId="0" applyNumberFormat="1" applyFont="1" applyBorder="1" applyAlignment="1">
      <alignment horizontal="right"/>
    </xf>
    <xf numFmtId="168" fontId="19" fillId="0" borderId="19" xfId="0" applyNumberFormat="1" applyFont="1" applyBorder="1" applyAlignment="1">
      <alignment horizontal="right"/>
    </xf>
    <xf numFmtId="0" fontId="19" fillId="0" borderId="0" xfId="0" applyFont="1" applyAlignment="1">
      <alignment vertical="top"/>
    </xf>
    <xf numFmtId="166" fontId="20" fillId="0" borderId="0" xfId="1" applyNumberFormat="1" applyFont="1"/>
    <xf numFmtId="166" fontId="5" fillId="0" borderId="0" xfId="0" applyNumberFormat="1" applyFont="1"/>
    <xf numFmtId="3" fontId="5" fillId="0" borderId="19" xfId="0" applyNumberFormat="1" applyFont="1" applyBorder="1" applyAlignment="1">
      <alignment horizontal="right"/>
    </xf>
    <xf numFmtId="3" fontId="19" fillId="0" borderId="10" xfId="0" applyNumberFormat="1" applyFont="1" applyBorder="1"/>
    <xf numFmtId="166" fontId="19" fillId="0" borderId="14" xfId="1" applyNumberFormat="1" applyFont="1" applyFill="1" applyBorder="1"/>
    <xf numFmtId="3" fontId="19" fillId="0" borderId="9" xfId="0" applyNumberFormat="1" applyFont="1" applyBorder="1"/>
    <xf numFmtId="166" fontId="19" fillId="0" borderId="9" xfId="1" applyNumberFormat="1" applyFont="1" applyBorder="1"/>
    <xf numFmtId="0" fontId="11" fillId="0" borderId="19" xfId="0" applyFont="1" applyBorder="1" applyAlignment="1">
      <alignment horizontal="right" wrapText="1"/>
    </xf>
    <xf numFmtId="166" fontId="19" fillId="0" borderId="8" xfId="1" applyNumberFormat="1" applyFont="1" applyBorder="1" applyAlignment="1">
      <alignment vertical="top" wrapText="1"/>
    </xf>
    <xf numFmtId="166" fontId="19" fillId="0" borderId="9" xfId="1" applyNumberFormat="1" applyFont="1" applyBorder="1" applyAlignment="1">
      <alignment vertical="top" wrapText="1"/>
    </xf>
    <xf numFmtId="3" fontId="5" fillId="0" borderId="27" xfId="0" applyNumberFormat="1" applyFont="1" applyBorder="1" applyAlignment="1">
      <alignment horizontal="right"/>
    </xf>
    <xf numFmtId="3" fontId="5" fillId="0" borderId="20" xfId="0" applyNumberFormat="1" applyFont="1" applyBorder="1" applyAlignment="1">
      <alignment horizontal="right"/>
    </xf>
    <xf numFmtId="0" fontId="5" fillId="0" borderId="20" xfId="1" applyNumberFormat="1" applyFont="1" applyFill="1" applyBorder="1" applyAlignment="1">
      <alignment horizontal="right"/>
    </xf>
    <xf numFmtId="0" fontId="5" fillId="0" borderId="7" xfId="0" applyFont="1" applyBorder="1" applyAlignment="1">
      <alignment horizontal="right" wrapText="1"/>
    </xf>
    <xf numFmtId="3" fontId="5" fillId="0" borderId="21" xfId="0" applyNumberFormat="1" applyFont="1" applyBorder="1"/>
    <xf numFmtId="3" fontId="5" fillId="0" borderId="7" xfId="0" applyNumberFormat="1" applyFont="1" applyBorder="1"/>
    <xf numFmtId="3" fontId="5" fillId="0" borderId="23" xfId="0" applyNumberFormat="1" applyFont="1" applyBorder="1"/>
    <xf numFmtId="166" fontId="19" fillId="0" borderId="7" xfId="1" applyNumberFormat="1" applyFont="1" applyBorder="1" applyAlignment="1">
      <alignment horizontal="left" vertical="top" wrapText="1"/>
    </xf>
    <xf numFmtId="0" fontId="21" fillId="0" borderId="0" xfId="0" applyFont="1"/>
    <xf numFmtId="166" fontId="5" fillId="0" borderId="20" xfId="0" applyNumberFormat="1" applyFont="1" applyBorder="1"/>
    <xf numFmtId="0" fontId="5" fillId="0" borderId="19" xfId="0" applyFont="1" applyBorder="1" applyAlignment="1">
      <alignment horizontal="left"/>
    </xf>
    <xf numFmtId="166" fontId="19" fillId="0" borderId="10" xfId="1" applyNumberFormat="1" applyFont="1" applyBorder="1" applyAlignment="1">
      <alignment vertical="top" wrapText="1"/>
    </xf>
    <xf numFmtId="166" fontId="5" fillId="0" borderId="5" xfId="1" applyNumberFormat="1" applyFont="1" applyBorder="1" applyAlignment="1"/>
    <xf numFmtId="166" fontId="5" fillId="0" borderId="19" xfId="1" applyNumberFormat="1" applyFont="1" applyFill="1" applyBorder="1" applyAlignment="1"/>
    <xf numFmtId="166" fontId="5" fillId="0" borderId="5" xfId="1" applyNumberFormat="1" applyFont="1" applyFill="1" applyBorder="1" applyAlignment="1">
      <alignment horizontal="right" vertical="top" wrapText="1"/>
    </xf>
    <xf numFmtId="166" fontId="19" fillId="0" borderId="0" xfId="1" applyNumberFormat="1" applyFont="1" applyAlignment="1">
      <alignment vertical="top" wrapText="1"/>
    </xf>
    <xf numFmtId="166" fontId="19" fillId="0" borderId="0" xfId="1" applyNumberFormat="1" applyFont="1" applyBorder="1" applyProtection="1"/>
    <xf numFmtId="166" fontId="19" fillId="0" borderId="2" xfId="1" applyNumberFormat="1" applyFont="1" applyBorder="1" applyProtection="1"/>
    <xf numFmtId="0" fontId="19" fillId="0" borderId="2" xfId="0" applyFont="1" applyBorder="1" applyAlignment="1">
      <alignment horizontal="right" wrapTex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166" fontId="19" fillId="0" borderId="14" xfId="1" applyNumberFormat="1" applyFont="1" applyFill="1" applyBorder="1" applyAlignment="1">
      <alignment horizontal="right" vertical="top" wrapText="1"/>
    </xf>
    <xf numFmtId="166" fontId="19" fillId="0" borderId="21" xfId="1" applyNumberFormat="1" applyFont="1" applyFill="1" applyBorder="1" applyAlignment="1">
      <alignment horizontal="right" vertical="top" wrapText="1"/>
    </xf>
    <xf numFmtId="166" fontId="19" fillId="0" borderId="16" xfId="1" applyNumberFormat="1" applyFont="1" applyFill="1" applyBorder="1"/>
    <xf numFmtId="166" fontId="18" fillId="0" borderId="5" xfId="1" applyNumberFormat="1" applyFont="1" applyFill="1" applyBorder="1"/>
    <xf numFmtId="166" fontId="18" fillId="0" borderId="0" xfId="1" applyNumberFormat="1" applyFont="1" applyFill="1" applyBorder="1"/>
    <xf numFmtId="166" fontId="5" fillId="0" borderId="5" xfId="1" applyNumberFormat="1" applyFont="1" applyFill="1" applyBorder="1" applyProtection="1"/>
    <xf numFmtId="166" fontId="5" fillId="0" borderId="0" xfId="1" applyNumberFormat="1" applyFont="1" applyFill="1" applyBorder="1" applyProtection="1"/>
    <xf numFmtId="166" fontId="5" fillId="0" borderId="19" xfId="1" applyNumberFormat="1" applyFont="1" applyFill="1" applyBorder="1" applyProtection="1"/>
    <xf numFmtId="166" fontId="5" fillId="0" borderId="2" xfId="1" applyNumberFormat="1" applyFont="1" applyFill="1" applyBorder="1" applyProtection="1"/>
    <xf numFmtId="166" fontId="19" fillId="0" borderId="7" xfId="1" applyNumberFormat="1" applyFont="1" applyFill="1" applyBorder="1" applyAlignment="1">
      <alignment vertical="top" wrapText="1"/>
    </xf>
    <xf numFmtId="166" fontId="5" fillId="0" borderId="5" xfId="1" applyNumberFormat="1" applyFont="1" applyFill="1" applyBorder="1" applyAlignment="1">
      <alignment vertical="top" wrapText="1"/>
    </xf>
    <xf numFmtId="166" fontId="5" fillId="0" borderId="5" xfId="1" applyNumberFormat="1" applyFont="1" applyFill="1" applyBorder="1" applyAlignment="1">
      <alignment horizontal="left" vertical="top" wrapText="1"/>
    </xf>
    <xf numFmtId="166" fontId="5" fillId="0" borderId="19" xfId="1" applyNumberFormat="1" applyFont="1" applyFill="1" applyBorder="1" applyAlignment="1">
      <alignment horizontal="left" vertical="top" wrapText="1"/>
    </xf>
    <xf numFmtId="166" fontId="5" fillId="0" borderId="20" xfId="1" applyNumberFormat="1" applyFont="1" applyFill="1" applyBorder="1" applyAlignment="1">
      <alignment horizontal="left" vertical="top" wrapText="1"/>
    </xf>
    <xf numFmtId="166" fontId="19" fillId="0" borderId="5" xfId="1" applyNumberFormat="1" applyFont="1" applyBorder="1" applyProtection="1"/>
    <xf numFmtId="166" fontId="19" fillId="0" borderId="20" xfId="1" applyNumberFormat="1" applyFont="1" applyBorder="1" applyProtection="1"/>
    <xf numFmtId="166" fontId="19" fillId="0" borderId="21" xfId="1" applyNumberFormat="1" applyFont="1" applyBorder="1" applyProtection="1"/>
    <xf numFmtId="166" fontId="5" fillId="0" borderId="7" xfId="1" applyNumberFormat="1" applyFont="1" applyFill="1" applyBorder="1" applyAlignment="1">
      <alignment vertical="top" wrapText="1"/>
    </xf>
    <xf numFmtId="166" fontId="5" fillId="0" borderId="7" xfId="1" applyNumberFormat="1" applyFont="1" applyFill="1" applyBorder="1" applyProtection="1"/>
    <xf numFmtId="166" fontId="5" fillId="0" borderId="23" xfId="1" applyNumberFormat="1" applyFont="1" applyFill="1" applyBorder="1" applyProtection="1"/>
    <xf numFmtId="166" fontId="5" fillId="0" borderId="7" xfId="1" applyNumberFormat="1" applyFont="1" applyFill="1" applyBorder="1" applyAlignment="1">
      <alignment horizontal="left" vertical="top" wrapText="1"/>
    </xf>
    <xf numFmtId="166" fontId="5" fillId="0" borderId="23" xfId="1" applyNumberFormat="1" applyFont="1" applyFill="1" applyBorder="1" applyAlignment="1">
      <alignment horizontal="left" vertical="top" wrapText="1"/>
    </xf>
    <xf numFmtId="166" fontId="19" fillId="0" borderId="7" xfId="1" applyNumberFormat="1" applyFont="1" applyBorder="1" applyProtection="1"/>
    <xf numFmtId="166" fontId="19" fillId="0" borderId="23" xfId="1" applyNumberFormat="1" applyFont="1" applyBorder="1" applyProtection="1"/>
    <xf numFmtId="166" fontId="19" fillId="0" borderId="23" xfId="1" applyNumberFormat="1" applyFont="1" applyBorder="1" applyAlignment="1">
      <alignment horizontal="left" vertical="top" wrapText="1"/>
    </xf>
    <xf numFmtId="166" fontId="19" fillId="0" borderId="21" xfId="1" applyNumberFormat="1" applyFont="1" applyBorder="1" applyAlignment="1">
      <alignment horizontal="left" vertical="top" wrapText="1"/>
    </xf>
    <xf numFmtId="0" fontId="5" fillId="0" borderId="22" xfId="0" applyFont="1" applyBorder="1"/>
    <xf numFmtId="166" fontId="19" fillId="0" borderId="8" xfId="1" applyNumberFormat="1" applyFont="1" applyBorder="1"/>
    <xf numFmtId="166" fontId="5" fillId="0" borderId="21" xfId="1" applyNumberFormat="1" applyFont="1" applyBorder="1" applyAlignment="1">
      <alignment horizontal="left" vertical="top" wrapText="1"/>
    </xf>
    <xf numFmtId="3" fontId="5" fillId="0" borderId="21" xfId="0" applyNumberFormat="1" applyFont="1" applyBorder="1" applyAlignment="1">
      <alignment horizontal="right" wrapText="1"/>
    </xf>
    <xf numFmtId="166" fontId="19" fillId="0" borderId="21" xfId="1" applyNumberFormat="1" applyFont="1" applyBorder="1"/>
    <xf numFmtId="166" fontId="5" fillId="0" borderId="7" xfId="1" applyNumberFormat="1" applyFont="1" applyBorder="1"/>
    <xf numFmtId="166" fontId="20" fillId="0" borderId="7" xfId="1" applyNumberFormat="1" applyFont="1" applyBorder="1"/>
    <xf numFmtId="166" fontId="5" fillId="0" borderId="21" xfId="1" applyNumberFormat="1" applyFont="1" applyBorder="1"/>
    <xf numFmtId="3" fontId="19" fillId="0" borderId="8" xfId="1" applyNumberFormat="1" applyFont="1" applyBorder="1"/>
    <xf numFmtId="3" fontId="5" fillId="0" borderId="0" xfId="1" applyNumberFormat="1" applyFont="1" applyBorder="1"/>
    <xf numFmtId="3" fontId="5" fillId="0" borderId="7" xfId="1" applyNumberFormat="1" applyFont="1" applyBorder="1"/>
    <xf numFmtId="3" fontId="19" fillId="0" borderId="9" xfId="1" applyNumberFormat="1" applyFont="1" applyBorder="1"/>
    <xf numFmtId="3" fontId="5" fillId="0" borderId="9" xfId="0" applyNumberFormat="1" applyFont="1" applyBorder="1" applyAlignment="1">
      <alignment horizontal="right" wrapText="1"/>
    </xf>
    <xf numFmtId="0" fontId="5" fillId="0" borderId="0" xfId="0" applyFont="1" applyAlignment="1">
      <alignment wrapText="1"/>
    </xf>
    <xf numFmtId="0" fontId="19" fillId="6" borderId="5" xfId="0" applyFont="1" applyFill="1" applyBorder="1"/>
    <xf numFmtId="0" fontId="19" fillId="6" borderId="0" xfId="0" applyFont="1" applyFill="1"/>
    <xf numFmtId="0" fontId="19" fillId="6" borderId="19" xfId="0" applyFont="1" applyFill="1" applyBorder="1"/>
    <xf numFmtId="168" fontId="19" fillId="0" borderId="23" xfId="0" applyNumberFormat="1" applyFont="1" applyBorder="1" applyAlignment="1">
      <alignment horizontal="right"/>
    </xf>
    <xf numFmtId="0" fontId="19" fillId="0" borderId="34" xfId="0" applyFont="1" applyBorder="1" applyAlignment="1">
      <alignment horizontal="centerContinuous"/>
    </xf>
    <xf numFmtId="0" fontId="19" fillId="0" borderId="35" xfId="0" applyFont="1" applyBorder="1" applyAlignment="1">
      <alignment horizontal="centerContinuous"/>
    </xf>
    <xf numFmtId="0" fontId="19" fillId="0" borderId="36" xfId="0" applyFont="1" applyBorder="1"/>
    <xf numFmtId="168" fontId="19" fillId="0" borderId="34" xfId="0" applyNumberFormat="1" applyFont="1" applyBorder="1" applyAlignment="1">
      <alignment horizontal="right"/>
    </xf>
    <xf numFmtId="168" fontId="19" fillId="0" borderId="35" xfId="0" applyNumberFormat="1" applyFont="1" applyBorder="1" applyAlignment="1">
      <alignment horizontal="right"/>
    </xf>
    <xf numFmtId="168" fontId="19" fillId="0" borderId="37" xfId="0" applyNumberFormat="1" applyFont="1" applyBorder="1" applyAlignment="1">
      <alignment horizontal="right"/>
    </xf>
    <xf numFmtId="168" fontId="19" fillId="0" borderId="36" xfId="0" applyNumberFormat="1" applyFont="1" applyBorder="1" applyAlignment="1">
      <alignment horizontal="right"/>
    </xf>
    <xf numFmtId="0" fontId="25" fillId="0" borderId="0" xfId="0" applyFont="1"/>
    <xf numFmtId="166" fontId="18" fillId="0" borderId="7" xfId="1" applyNumberFormat="1" applyFont="1" applyBorder="1"/>
    <xf numFmtId="0" fontId="0" fillId="0" borderId="33" xfId="2" applyFont="1" applyFill="1"/>
    <xf numFmtId="0" fontId="19" fillId="0" borderId="33" xfId="2" applyFont="1" applyFill="1" applyAlignment="1">
      <alignment horizontal="centerContinuous"/>
    </xf>
    <xf numFmtId="0" fontId="19" fillId="0" borderId="33" xfId="2" applyFont="1" applyFill="1"/>
    <xf numFmtId="168" fontId="19" fillId="0" borderId="33" xfId="2" applyNumberFormat="1" applyFont="1" applyFill="1" applyAlignment="1">
      <alignment horizontal="right"/>
    </xf>
    <xf numFmtId="168" fontId="19" fillId="0" borderId="33" xfId="2" applyNumberFormat="1" applyFont="1" applyFill="1" applyAlignment="1" applyProtection="1">
      <alignment horizontal="right"/>
    </xf>
    <xf numFmtId="0" fontId="19" fillId="0" borderId="33" xfId="2" applyFont="1" applyFill="1" applyAlignment="1">
      <alignment vertical="top"/>
    </xf>
    <xf numFmtId="168" fontId="19" fillId="0" borderId="39" xfId="2" applyNumberFormat="1" applyFont="1" applyFill="1" applyBorder="1" applyAlignment="1" applyProtection="1">
      <alignment horizontal="right"/>
    </xf>
    <xf numFmtId="0" fontId="19" fillId="0" borderId="38" xfId="2" applyFont="1" applyFill="1" applyBorder="1"/>
    <xf numFmtId="168" fontId="19" fillId="0" borderId="38" xfId="2" applyNumberFormat="1" applyFont="1" applyFill="1" applyBorder="1" applyAlignment="1">
      <alignment horizontal="right"/>
    </xf>
    <xf numFmtId="168" fontId="19" fillId="0" borderId="38" xfId="2" applyNumberFormat="1" applyFont="1" applyFill="1" applyBorder="1" applyAlignment="1" applyProtection="1">
      <alignment horizontal="right"/>
    </xf>
    <xf numFmtId="0" fontId="19" fillId="6" borderId="38" xfId="2" applyFont="1" applyFill="1" applyBorder="1"/>
    <xf numFmtId="168" fontId="19" fillId="0" borderId="21" xfId="0" applyNumberFormat="1" applyFont="1" applyBorder="1" applyAlignment="1">
      <alignment horizontal="right"/>
    </xf>
    <xf numFmtId="168" fontId="19" fillId="0" borderId="7" xfId="0" applyNumberFormat="1" applyFont="1" applyBorder="1" applyAlignment="1">
      <alignment horizontal="right"/>
    </xf>
    <xf numFmtId="0" fontId="26" fillId="0" borderId="14" xfId="3" applyNumberFormat="1" applyFont="1" applyFill="1" applyBorder="1" applyAlignment="1"/>
    <xf numFmtId="37" fontId="26" fillId="0" borderId="0" xfId="3" applyNumberFormat="1" applyFont="1" applyFill="1" applyBorder="1" applyAlignment="1"/>
    <xf numFmtId="168" fontId="27" fillId="0" borderId="0" xfId="3" applyNumberFormat="1" applyFont="1" applyFill="1" applyBorder="1" applyAlignment="1">
      <alignment horizontal="right"/>
    </xf>
    <xf numFmtId="168" fontId="27" fillId="0" borderId="33" xfId="3" applyNumberFormat="1" applyFont="1" applyFill="1" applyBorder="1" applyAlignment="1">
      <alignment horizontal="right"/>
    </xf>
    <xf numFmtId="168" fontId="27" fillId="0" borderId="5" xfId="3" applyNumberFormat="1" applyFont="1" applyFill="1" applyBorder="1" applyAlignment="1">
      <alignment horizontal="right"/>
    </xf>
    <xf numFmtId="168" fontId="27" fillId="0" borderId="37" xfId="3" applyNumberFormat="1" applyFont="1" applyFill="1" applyBorder="1" applyAlignment="1">
      <alignment horizontal="right"/>
    </xf>
    <xf numFmtId="168" fontId="27" fillId="0" borderId="0" xfId="3" applyNumberFormat="1" applyFont="1" applyFill="1" applyBorder="1" applyAlignment="1" applyProtection="1">
      <alignment horizontal="right"/>
    </xf>
    <xf numFmtId="168" fontId="27" fillId="0" borderId="33" xfId="3" applyNumberFormat="1" applyFont="1" applyFill="1" applyBorder="1" applyAlignment="1" applyProtection="1">
      <alignment horizontal="right"/>
    </xf>
    <xf numFmtId="168" fontId="27" fillId="0" borderId="5" xfId="3" applyNumberFormat="1" applyFont="1" applyFill="1" applyBorder="1" applyAlignment="1" applyProtection="1">
      <alignment horizontal="right"/>
    </xf>
    <xf numFmtId="168" fontId="28" fillId="0" borderId="0" xfId="0" applyNumberFormat="1" applyFont="1" applyAlignment="1">
      <alignment horizontal="right"/>
    </xf>
    <xf numFmtId="168" fontId="28" fillId="0" borderId="7" xfId="0" applyNumberFormat="1" applyFont="1" applyBorder="1" applyAlignment="1">
      <alignment horizontal="right"/>
    </xf>
    <xf numFmtId="0" fontId="27" fillId="0" borderId="0" xfId="3" applyFont="1" applyFill="1"/>
    <xf numFmtId="168" fontId="27" fillId="0" borderId="36" xfId="3" applyNumberFormat="1" applyFont="1" applyFill="1" applyBorder="1" applyAlignment="1">
      <alignment horizontal="right"/>
    </xf>
    <xf numFmtId="168" fontId="27" fillId="0" borderId="2" xfId="3" applyNumberFormat="1" applyFont="1" applyFill="1" applyBorder="1" applyAlignment="1" applyProtection="1">
      <alignment horizontal="right"/>
    </xf>
    <xf numFmtId="168" fontId="27" fillId="0" borderId="19" xfId="3" applyNumberFormat="1" applyFont="1" applyFill="1" applyBorder="1" applyAlignment="1" applyProtection="1">
      <alignment horizontal="right"/>
    </xf>
    <xf numFmtId="168" fontId="27" fillId="0" borderId="23" xfId="3" applyNumberFormat="1" applyFont="1" applyFill="1" applyBorder="1" applyAlignment="1" applyProtection="1">
      <alignment horizontal="right"/>
    </xf>
    <xf numFmtId="168" fontId="28" fillId="0" borderId="23" xfId="0" applyNumberFormat="1" applyFont="1" applyBorder="1" applyAlignment="1">
      <alignment horizontal="right"/>
    </xf>
    <xf numFmtId="168" fontId="27" fillId="0" borderId="14" xfId="3" applyNumberFormat="1" applyFont="1" applyFill="1" applyBorder="1" applyAlignment="1">
      <alignment horizontal="right"/>
    </xf>
    <xf numFmtId="168" fontId="27" fillId="0" borderId="20" xfId="3" applyNumberFormat="1" applyFont="1" applyFill="1" applyBorder="1" applyAlignment="1">
      <alignment horizontal="right"/>
    </xf>
    <xf numFmtId="168" fontId="27" fillId="0" borderId="34" xfId="3" applyNumberFormat="1" applyFont="1" applyFill="1" applyBorder="1" applyAlignment="1">
      <alignment horizontal="right"/>
    </xf>
    <xf numFmtId="0" fontId="0" fillId="0" borderId="39" xfId="2" applyFont="1" applyFill="1" applyBorder="1"/>
    <xf numFmtId="168" fontId="27" fillId="0" borderId="38" xfId="3" applyNumberFormat="1" applyFont="1" applyFill="1" applyBorder="1" applyAlignment="1" applyProtection="1">
      <alignment horizontal="right"/>
    </xf>
    <xf numFmtId="0" fontId="19" fillId="0" borderId="39" xfId="2" applyFont="1" applyFill="1" applyBorder="1"/>
    <xf numFmtId="168" fontId="27" fillId="0" borderId="38" xfId="3" applyNumberFormat="1" applyFont="1" applyFill="1" applyBorder="1" applyAlignment="1">
      <alignment horizontal="right"/>
    </xf>
    <xf numFmtId="0" fontId="0" fillId="0" borderId="40" xfId="2" applyFont="1" applyFill="1" applyBorder="1"/>
    <xf numFmtId="0" fontId="19" fillId="0" borderId="41" xfId="0" applyFont="1" applyBorder="1" applyAlignment="1">
      <alignment horizontal="centerContinuous" wrapText="1"/>
    </xf>
    <xf numFmtId="0" fontId="19" fillId="0" borderId="42" xfId="2" applyFont="1" applyFill="1" applyBorder="1" applyAlignment="1">
      <alignment horizontal="centerContinuous"/>
    </xf>
    <xf numFmtId="0" fontId="19" fillId="0" borderId="14" xfId="0" applyFont="1" applyBorder="1" applyAlignment="1">
      <alignment horizontal="centerContinuous"/>
    </xf>
    <xf numFmtId="0" fontId="19" fillId="0" borderId="21" xfId="0" applyFont="1" applyBorder="1" applyAlignment="1">
      <alignment horizontal="centerContinuous"/>
    </xf>
    <xf numFmtId="0" fontId="19" fillId="0" borderId="40" xfId="2" applyFont="1" applyFill="1" applyBorder="1"/>
    <xf numFmtId="0" fontId="19" fillId="0" borderId="43" xfId="2" applyFont="1" applyFill="1" applyBorder="1" applyAlignment="1">
      <alignment horizontal="centerContinuous"/>
    </xf>
    <xf numFmtId="0" fontId="5" fillId="9" borderId="14" xfId="0" applyFont="1" applyFill="1" applyBorder="1" applyAlignment="1">
      <alignment horizontal="right" wrapText="1"/>
    </xf>
    <xf numFmtId="0" fontId="25" fillId="0" borderId="2" xfId="0" applyFont="1" applyBorder="1"/>
    <xf numFmtId="166" fontId="19" fillId="0" borderId="7" xfId="1" applyNumberFormat="1" applyFont="1" applyFill="1" applyBorder="1"/>
    <xf numFmtId="166" fontId="18" fillId="0" borderId="7" xfId="1" applyNumberFormat="1" applyFont="1" applyFill="1" applyBorder="1"/>
    <xf numFmtId="166" fontId="5" fillId="0" borderId="21" xfId="1" applyNumberFormat="1" applyFont="1" applyFill="1" applyBorder="1" applyAlignment="1">
      <alignment horizontal="left" vertical="top" wrapText="1"/>
    </xf>
    <xf numFmtId="166" fontId="19" fillId="0" borderId="0" xfId="1" applyNumberFormat="1" applyFont="1" applyFill="1" applyBorder="1" applyProtection="1"/>
    <xf numFmtId="0" fontId="19" fillId="10" borderId="7" xfId="0" applyFont="1" applyFill="1" applyBorder="1"/>
    <xf numFmtId="168" fontId="19" fillId="0" borderId="44" xfId="2" applyNumberFormat="1" applyFont="1" applyFill="1" applyBorder="1" applyAlignment="1" applyProtection="1">
      <alignment horizontal="right"/>
    </xf>
    <xf numFmtId="0" fontId="19" fillId="6" borderId="36" xfId="0" applyFont="1" applyFill="1" applyBorder="1"/>
    <xf numFmtId="168" fontId="28" fillId="0" borderId="37" xfId="0" applyNumberFormat="1" applyFont="1" applyBorder="1" applyAlignment="1">
      <alignment horizontal="right"/>
    </xf>
    <xf numFmtId="168" fontId="28" fillId="0" borderId="36" xfId="0" applyNumberFormat="1" applyFont="1" applyBorder="1" applyAlignment="1">
      <alignment horizontal="right"/>
    </xf>
    <xf numFmtId="168" fontId="19" fillId="0" borderId="45" xfId="2" applyNumberFormat="1" applyFont="1" applyFill="1" applyBorder="1" applyAlignment="1" applyProtection="1">
      <alignment horizontal="right"/>
    </xf>
    <xf numFmtId="168" fontId="19" fillId="0" borderId="46" xfId="0" applyNumberFormat="1" applyFont="1" applyBorder="1" applyAlignment="1">
      <alignment horizontal="right"/>
    </xf>
    <xf numFmtId="0" fontId="0" fillId="5" borderId="0" xfId="0" applyFill="1"/>
    <xf numFmtId="0" fontId="5" fillId="0" borderId="0" xfId="0" applyFont="1" applyAlignment="1">
      <alignment horizontal="left" vertical="top"/>
    </xf>
    <xf numFmtId="168" fontId="27" fillId="0" borderId="47" xfId="3" applyNumberFormat="1" applyFont="1" applyFill="1" applyBorder="1" applyAlignment="1" applyProtection="1">
      <alignment horizontal="right"/>
    </xf>
    <xf numFmtId="166" fontId="5" fillId="0" borderId="20" xfId="1" applyNumberFormat="1" applyFont="1" applyFill="1" applyBorder="1" applyProtection="1"/>
    <xf numFmtId="166" fontId="5" fillId="0" borderId="14" xfId="1" applyNumberFormat="1" applyFont="1" applyFill="1" applyBorder="1" applyProtection="1"/>
    <xf numFmtId="166" fontId="19" fillId="0" borderId="2" xfId="0" applyNumberFormat="1" applyFont="1" applyBorder="1" applyAlignment="1">
      <alignment horizontal="right" wrapText="1"/>
    </xf>
    <xf numFmtId="0" fontId="25" fillId="0" borderId="14" xfId="0" applyFont="1" applyBorder="1"/>
    <xf numFmtId="0" fontId="22" fillId="0" borderId="0" xfId="0" applyFont="1"/>
    <xf numFmtId="2" fontId="5" fillId="0" borderId="0" xfId="0" applyNumberFormat="1" applyFont="1"/>
    <xf numFmtId="1" fontId="5" fillId="0" borderId="0" xfId="0" applyNumberFormat="1" applyFont="1"/>
    <xf numFmtId="41" fontId="5" fillId="0" borderId="0" xfId="0" applyNumberFormat="1" applyFont="1"/>
    <xf numFmtId="1" fontId="5" fillId="0" borderId="14" xfId="0" applyNumberFormat="1" applyFont="1" applyBorder="1"/>
    <xf numFmtId="3" fontId="19" fillId="0" borderId="9" xfId="0" applyNumberFormat="1" applyFont="1" applyBorder="1" applyAlignment="1">
      <alignment horizontal="right" wrapText="1"/>
    </xf>
    <xf numFmtId="0" fontId="19" fillId="0" borderId="14" xfId="0" applyFont="1" applyBorder="1"/>
    <xf numFmtId="0" fontId="19" fillId="0" borderId="7" xfId="0" applyFont="1" applyBorder="1" applyAlignment="1">
      <alignment horizontal="centerContinuous"/>
    </xf>
    <xf numFmtId="0" fontId="19" fillId="0" borderId="7" xfId="0" applyFont="1" applyBorder="1"/>
    <xf numFmtId="168" fontId="19" fillId="0" borderId="48" xfId="0" applyNumberFormat="1" applyFont="1" applyBorder="1" applyAlignment="1">
      <alignment horizontal="right"/>
    </xf>
    <xf numFmtId="168" fontId="19" fillId="0" borderId="47" xfId="0" applyNumberFormat="1" applyFont="1" applyBorder="1" applyAlignment="1">
      <alignment horizontal="right"/>
    </xf>
    <xf numFmtId="168" fontId="19" fillId="0" borderId="49" xfId="0" applyNumberFormat="1" applyFont="1" applyBorder="1" applyAlignment="1">
      <alignment horizontal="right"/>
    </xf>
    <xf numFmtId="168" fontId="19" fillId="0" borderId="6" xfId="0" applyNumberFormat="1" applyFont="1" applyBorder="1" applyAlignment="1">
      <alignment horizontal="right"/>
    </xf>
    <xf numFmtId="168" fontId="19" fillId="0" borderId="31" xfId="0" applyNumberFormat="1" applyFont="1" applyBorder="1" applyAlignment="1">
      <alignment horizontal="right"/>
    </xf>
    <xf numFmtId="169" fontId="5" fillId="0" borderId="0" xfId="0" applyNumberFormat="1" applyFont="1" applyAlignment="1">
      <alignment horizontal="right"/>
    </xf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29" fillId="0" borderId="0" xfId="0" applyFont="1"/>
    <xf numFmtId="0" fontId="5" fillId="0" borderId="21" xfId="0" applyFont="1" applyBorder="1"/>
    <xf numFmtId="166" fontId="19" fillId="0" borderId="22" xfId="1" applyNumberFormat="1" applyFont="1" applyFill="1" applyBorder="1" applyAlignment="1">
      <alignment horizontal="right" vertical="top" wrapText="1"/>
    </xf>
    <xf numFmtId="166" fontId="19" fillId="0" borderId="6" xfId="1" applyNumberFormat="1" applyFont="1" applyFill="1" applyBorder="1" applyAlignment="1">
      <alignment vertical="top" wrapText="1"/>
    </xf>
    <xf numFmtId="0" fontId="5" fillId="10" borderId="20" xfId="0" applyFont="1" applyFill="1" applyBorder="1" applyAlignment="1">
      <alignment horizontal="right" wrapText="1"/>
    </xf>
    <xf numFmtId="166" fontId="19" fillId="0" borderId="20" xfId="1" applyNumberFormat="1" applyFont="1" applyFill="1" applyBorder="1" applyAlignment="1">
      <alignment horizontal="right" vertical="top" wrapText="1"/>
    </xf>
    <xf numFmtId="166" fontId="19" fillId="0" borderId="5" xfId="1" applyNumberFormat="1" applyFont="1" applyFill="1" applyBorder="1" applyAlignment="1">
      <alignment vertical="top" wrapText="1"/>
    </xf>
    <xf numFmtId="0" fontId="5" fillId="10" borderId="0" xfId="0" applyFont="1" applyFill="1"/>
    <xf numFmtId="0" fontId="5" fillId="6" borderId="20" xfId="1" applyNumberFormat="1" applyFont="1" applyFill="1" applyBorder="1" applyAlignment="1">
      <alignment horizontal="right"/>
    </xf>
    <xf numFmtId="0" fontId="5" fillId="0" borderId="13" xfId="0" quotePrefix="1" applyFont="1" applyBorder="1" applyAlignment="1">
      <alignment horizontal="centerContinuous" wrapText="1"/>
    </xf>
    <xf numFmtId="0" fontId="5" fillId="0" borderId="24" xfId="0" applyFont="1" applyBorder="1" applyAlignment="1">
      <alignment horizontal="centerContinuous" wrapText="1"/>
    </xf>
    <xf numFmtId="166" fontId="19" fillId="0" borderId="22" xfId="1" applyNumberFormat="1" applyFont="1" applyBorder="1"/>
    <xf numFmtId="166" fontId="19" fillId="0" borderId="49" xfId="1" applyNumberFormat="1" applyFont="1" applyBorder="1"/>
    <xf numFmtId="1" fontId="5" fillId="0" borderId="5" xfId="0" applyNumberFormat="1" applyFont="1" applyBorder="1"/>
    <xf numFmtId="3" fontId="19" fillId="0" borderId="49" xfId="1" applyNumberFormat="1" applyFont="1" applyBorder="1"/>
    <xf numFmtId="3" fontId="19" fillId="0" borderId="10" xfId="1" applyNumberFormat="1" applyFont="1" applyBorder="1"/>
    <xf numFmtId="1" fontId="5" fillId="0" borderId="20" xfId="0" applyNumberFormat="1" applyFont="1" applyBorder="1"/>
    <xf numFmtId="0" fontId="2" fillId="0" borderId="14" xfId="0" applyFont="1" applyBorder="1" applyAlignment="1">
      <alignment horizontal="right" wrapText="1"/>
    </xf>
    <xf numFmtId="3" fontId="2" fillId="0" borderId="14" xfId="0" applyNumberFormat="1" applyFont="1" applyBorder="1" applyAlignment="1">
      <alignment horizontal="right" wrapText="1"/>
    </xf>
    <xf numFmtId="0" fontId="5" fillId="9" borderId="20" xfId="0" applyFont="1" applyFill="1" applyBorder="1" applyAlignment="1">
      <alignment horizontal="right" wrapText="1"/>
    </xf>
    <xf numFmtId="0" fontId="5" fillId="0" borderId="9" xfId="0" applyFont="1" applyBorder="1" applyAlignment="1">
      <alignment vertical="top" wrapText="1"/>
    </xf>
    <xf numFmtId="0" fontId="5" fillId="11" borderId="14" xfId="0" applyFont="1" applyFill="1" applyBorder="1" applyAlignment="1">
      <alignment horizontal="right" wrapText="1"/>
    </xf>
    <xf numFmtId="0" fontId="5" fillId="11" borderId="2" xfId="0" applyFont="1" applyFill="1" applyBorder="1" applyAlignment="1">
      <alignment horizontal="right" wrapText="1"/>
    </xf>
    <xf numFmtId="0" fontId="5" fillId="10" borderId="19" xfId="0" applyFont="1" applyFill="1" applyBorder="1" applyAlignment="1">
      <alignment horizontal="right" wrapText="1"/>
    </xf>
    <xf numFmtId="166" fontId="5" fillId="0" borderId="20" xfId="1" applyNumberFormat="1" applyFont="1" applyBorder="1" applyProtection="1"/>
    <xf numFmtId="0" fontId="19" fillId="0" borderId="19" xfId="0" applyFont="1" applyBorder="1" applyAlignment="1">
      <alignment horizontal="right" wrapText="1"/>
    </xf>
    <xf numFmtId="0" fontId="5" fillId="11" borderId="25" xfId="0" applyFont="1" applyFill="1" applyBorder="1"/>
    <xf numFmtId="0" fontId="19" fillId="11" borderId="2" xfId="0" applyFont="1" applyFill="1" applyBorder="1" applyAlignment="1">
      <alignment horizontal="right" wrapText="1"/>
    </xf>
    <xf numFmtId="0" fontId="5" fillId="11" borderId="20" xfId="0" applyFont="1" applyFill="1" applyBorder="1" applyAlignment="1">
      <alignment horizontal="right" wrapText="1"/>
    </xf>
    <xf numFmtId="3" fontId="2" fillId="0" borderId="9" xfId="0" applyNumberFormat="1" applyFont="1" applyBorder="1" applyAlignment="1">
      <alignment horizontal="right" wrapText="1"/>
    </xf>
    <xf numFmtId="0" fontId="5" fillId="11" borderId="21" xfId="0" applyFont="1" applyFill="1" applyBorder="1" applyAlignment="1">
      <alignment horizontal="right" wrapText="1"/>
    </xf>
    <xf numFmtId="0" fontId="5" fillId="11" borderId="22" xfId="0" applyFont="1" applyFill="1" applyBorder="1"/>
    <xf numFmtId="0" fontId="5" fillId="0" borderId="2" xfId="0" applyFont="1" applyBorder="1" applyAlignment="1">
      <alignment horizontal="right"/>
    </xf>
    <xf numFmtId="0" fontId="6" fillId="0" borderId="0" xfId="0" applyFont="1"/>
    <xf numFmtId="0" fontId="5" fillId="0" borderId="4" xfId="0" applyFont="1" applyBorder="1" applyAlignment="1">
      <alignment horizontal="center" wrapText="1"/>
    </xf>
    <xf numFmtId="0" fontId="5" fillId="0" borderId="59" xfId="0" applyFont="1" applyBorder="1" applyAlignment="1">
      <alignment horizontal="center" wrapText="1"/>
    </xf>
    <xf numFmtId="0" fontId="5" fillId="0" borderId="1" xfId="0" applyFont="1" applyBorder="1"/>
    <xf numFmtId="0" fontId="5" fillId="0" borderId="13" xfId="0" applyFont="1" applyBorder="1" applyAlignment="1">
      <alignment horizontal="centerContinuous" wrapText="1"/>
    </xf>
    <xf numFmtId="0" fontId="5" fillId="0" borderId="11" xfId="0" applyFont="1" applyBorder="1" applyAlignment="1">
      <alignment horizontal="centerContinuous" wrapText="1"/>
    </xf>
    <xf numFmtId="0" fontId="5" fillId="0" borderId="12" xfId="0" applyFont="1" applyBorder="1" applyAlignment="1">
      <alignment horizontal="centerContinuous" wrapText="1"/>
    </xf>
    <xf numFmtId="0" fontId="5" fillId="0" borderId="15" xfId="0" applyFont="1" applyBorder="1" applyAlignment="1">
      <alignment horizontal="centerContinuous" wrapText="1"/>
    </xf>
    <xf numFmtId="0" fontId="5" fillId="0" borderId="60" xfId="0" applyFont="1" applyBorder="1" applyAlignment="1">
      <alignment horizontal="centerContinuous" wrapText="1"/>
    </xf>
    <xf numFmtId="165" fontId="5" fillId="0" borderId="2" xfId="0" applyNumberFormat="1" applyFont="1" applyBorder="1"/>
    <xf numFmtId="165" fontId="5" fillId="0" borderId="14" xfId="0" applyNumberFormat="1" applyFont="1" applyBorder="1"/>
    <xf numFmtId="165" fontId="5" fillId="0" borderId="0" xfId="0" applyNumberFormat="1" applyFont="1"/>
    <xf numFmtId="165" fontId="5" fillId="4" borderId="0" xfId="0" applyNumberFormat="1" applyFont="1" applyFill="1"/>
    <xf numFmtId="165" fontId="5" fillId="4" borderId="2" xfId="0" applyNumberFormat="1" applyFont="1" applyFill="1" applyBorder="1"/>
    <xf numFmtId="165" fontId="5" fillId="4" borderId="14" xfId="0" applyNumberFormat="1" applyFont="1" applyFill="1" applyBorder="1"/>
    <xf numFmtId="165" fontId="5" fillId="4" borderId="20" xfId="0" applyNumberFormat="1" applyFont="1" applyFill="1" applyBorder="1" applyAlignment="1">
      <alignment horizontal="right"/>
    </xf>
    <xf numFmtId="3" fontId="5" fillId="0" borderId="14" xfId="0" applyNumberFormat="1" applyFont="1" applyBorder="1" applyAlignment="1">
      <alignment horizontal="left"/>
    </xf>
    <xf numFmtId="3" fontId="5" fillId="2" borderId="14" xfId="0" applyNumberFormat="1" applyFont="1" applyFill="1" applyBorder="1" applyAlignment="1">
      <alignment horizontal="right"/>
    </xf>
    <xf numFmtId="0" fontId="5" fillId="0" borderId="5" xfId="0" applyFont="1" applyBorder="1" applyAlignment="1">
      <alignment horizontal="left"/>
    </xf>
    <xf numFmtId="3" fontId="5" fillId="2" borderId="0" xfId="0" applyNumberFormat="1" applyFont="1" applyFill="1" applyAlignment="1">
      <alignment horizontal="right"/>
    </xf>
    <xf numFmtId="3" fontId="5" fillId="0" borderId="10" xfId="0" applyNumberFormat="1" applyFont="1" applyBorder="1" applyAlignment="1">
      <alignment horizontal="left"/>
    </xf>
    <xf numFmtId="3" fontId="5" fillId="0" borderId="2" xfId="0" applyNumberFormat="1" applyFont="1" applyBorder="1" applyAlignment="1">
      <alignment horizontal="left" wrapText="1"/>
    </xf>
    <xf numFmtId="3" fontId="5" fillId="2" borderId="14" xfId="0" applyNumberFormat="1" applyFont="1" applyFill="1" applyBorder="1" applyAlignment="1">
      <alignment horizontal="right" wrapText="1"/>
    </xf>
    <xf numFmtId="166" fontId="5" fillId="2" borderId="0" xfId="1" applyNumberFormat="1" applyFont="1" applyFill="1"/>
    <xf numFmtId="166" fontId="5" fillId="0" borderId="0" xfId="1" applyNumberFormat="1" applyFont="1" applyFill="1"/>
    <xf numFmtId="166" fontId="5" fillId="0" borderId="26" xfId="1" applyNumberFormat="1" applyFont="1" applyFill="1" applyBorder="1"/>
    <xf numFmtId="166" fontId="12" fillId="0" borderId="0" xfId="1" applyNumberFormat="1" applyFont="1" applyBorder="1"/>
    <xf numFmtId="166" fontId="12" fillId="2" borderId="0" xfId="1" applyNumberFormat="1" applyFont="1" applyFill="1" applyBorder="1"/>
    <xf numFmtId="166" fontId="5" fillId="0" borderId="5" xfId="1" applyNumberFormat="1" applyFont="1" applyFill="1" applyBorder="1"/>
    <xf numFmtId="166" fontId="12" fillId="0" borderId="2" xfId="1" applyNumberFormat="1" applyFont="1" applyBorder="1"/>
    <xf numFmtId="166" fontId="12" fillId="2" borderId="2" xfId="1" applyNumberFormat="1" applyFont="1" applyFill="1" applyBorder="1"/>
    <xf numFmtId="166" fontId="5" fillId="0" borderId="19" xfId="1" applyNumberFormat="1" applyFont="1" applyFill="1" applyBorder="1"/>
    <xf numFmtId="166" fontId="5" fillId="0" borderId="27" xfId="1" applyNumberFormat="1" applyFont="1" applyFill="1" applyBorder="1"/>
    <xf numFmtId="166" fontId="5" fillId="2" borderId="0" xfId="1" applyNumberFormat="1" applyFont="1" applyFill="1" applyBorder="1"/>
    <xf numFmtId="166" fontId="5" fillId="2" borderId="5" xfId="1" applyNumberFormat="1" applyFont="1" applyFill="1" applyBorder="1"/>
    <xf numFmtId="166" fontId="12" fillId="0" borderId="14" xfId="1" applyNumberFormat="1" applyFont="1" applyBorder="1"/>
    <xf numFmtId="166" fontId="5" fillId="0" borderId="14" xfId="1" applyNumberFormat="1" applyFont="1" applyFill="1" applyBorder="1"/>
    <xf numFmtId="166" fontId="12" fillId="2" borderId="14" xfId="1" applyNumberFormat="1" applyFont="1" applyFill="1" applyBorder="1"/>
    <xf numFmtId="166" fontId="5" fillId="0" borderId="20" xfId="1" applyNumberFormat="1" applyFont="1" applyFill="1" applyBorder="1"/>
    <xf numFmtId="166" fontId="5" fillId="0" borderId="25" xfId="1" applyNumberFormat="1" applyFont="1" applyFill="1" applyBorder="1"/>
    <xf numFmtId="3" fontId="5" fillId="2" borderId="0" xfId="0" applyNumberFormat="1" applyFont="1" applyFill="1"/>
    <xf numFmtId="3" fontId="5" fillId="0" borderId="0" xfId="0" applyNumberFormat="1" applyFont="1" applyAlignment="1">
      <alignment vertical="top"/>
    </xf>
    <xf numFmtId="3" fontId="5" fillId="2" borderId="0" xfId="0" applyNumberFormat="1" applyFont="1" applyFill="1" applyAlignment="1">
      <alignment vertical="top"/>
    </xf>
    <xf numFmtId="0" fontId="2" fillId="0" borderId="14" xfId="0" applyFont="1" applyBorder="1" applyAlignment="1" applyProtection="1">
      <alignment horizontal="centerContinuous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166" fontId="5" fillId="0" borderId="2" xfId="0" applyNumberFormat="1" applyFont="1" applyBorder="1" applyAlignment="1">
      <alignment horizontal="centerContinuous"/>
    </xf>
    <xf numFmtId="166" fontId="19" fillId="0" borderId="49" xfId="1" applyNumberFormat="1" applyFont="1" applyBorder="1" applyAlignment="1">
      <alignment vertical="top" wrapText="1"/>
    </xf>
    <xf numFmtId="3" fontId="19" fillId="10" borderId="0" xfId="0" applyNumberFormat="1" applyFont="1" applyFill="1"/>
    <xf numFmtId="3" fontId="5" fillId="10" borderId="0" xfId="0" applyNumberFormat="1" applyFont="1" applyFill="1"/>
    <xf numFmtId="3" fontId="19" fillId="0" borderId="22" xfId="1" applyNumberFormat="1" applyFont="1" applyBorder="1"/>
    <xf numFmtId="3" fontId="19" fillId="0" borderId="21" xfId="1" applyNumberFormat="1" applyFont="1" applyBorder="1"/>
    <xf numFmtId="3" fontId="5" fillId="5" borderId="0" xfId="0" applyNumberFormat="1" applyFont="1" applyFill="1" applyAlignment="1">
      <alignment vertical="top" wrapText="1"/>
    </xf>
    <xf numFmtId="3" fontId="19" fillId="0" borderId="14" xfId="0" applyNumberFormat="1" applyFont="1" applyBorder="1"/>
    <xf numFmtId="0" fontId="5" fillId="0" borderId="5" xfId="0" applyFont="1" applyBorder="1" applyAlignment="1">
      <alignment vertical="top" wrapText="1"/>
    </xf>
    <xf numFmtId="0" fontId="5" fillId="10" borderId="2" xfId="0" applyFont="1" applyFill="1" applyBorder="1" applyAlignment="1">
      <alignment horizontal="right" wrapText="1"/>
    </xf>
    <xf numFmtId="0" fontId="18" fillId="0" borderId="5" xfId="0" applyFont="1" applyBorder="1"/>
    <xf numFmtId="3" fontId="5" fillId="10" borderId="20" xfId="0" applyNumberFormat="1" applyFont="1" applyFill="1" applyBorder="1" applyAlignment="1">
      <alignment horizontal="right" wrapText="1"/>
    </xf>
    <xf numFmtId="3" fontId="5" fillId="10" borderId="2" xfId="0" applyNumberFormat="1" applyFont="1" applyFill="1" applyBorder="1" applyAlignment="1">
      <alignment horizontal="right" wrapText="1"/>
    </xf>
    <xf numFmtId="3" fontId="5" fillId="0" borderId="19" xfId="0" applyNumberFormat="1" applyFont="1" applyBorder="1" applyAlignment="1">
      <alignment horizontal="right" wrapText="1"/>
    </xf>
    <xf numFmtId="3" fontId="5" fillId="0" borderId="0" xfId="1" applyNumberFormat="1" applyFont="1" applyBorder="1" applyAlignment="1">
      <alignment vertical="top" wrapText="1"/>
    </xf>
    <xf numFmtId="3" fontId="18" fillId="0" borderId="0" xfId="0" applyNumberFormat="1" applyFont="1"/>
    <xf numFmtId="3" fontId="5" fillId="0" borderId="5" xfId="1" applyNumberFormat="1" applyFont="1" applyBorder="1" applyAlignment="1">
      <alignment vertical="top" wrapText="1"/>
    </xf>
    <xf numFmtId="3" fontId="18" fillId="0" borderId="5" xfId="0" applyNumberFormat="1" applyFont="1" applyBorder="1"/>
    <xf numFmtId="3" fontId="5" fillId="0" borderId="5" xfId="0" applyNumberFormat="1" applyFont="1" applyBorder="1" applyAlignment="1">
      <alignment vertical="top" wrapText="1"/>
    </xf>
    <xf numFmtId="0" fontId="5" fillId="0" borderId="21" xfId="0" applyFont="1" applyBorder="1" applyAlignment="1">
      <alignment horizontal="left"/>
    </xf>
    <xf numFmtId="166" fontId="5" fillId="0" borderId="21" xfId="1" applyNumberFormat="1" applyFont="1" applyFill="1" applyBorder="1" applyProtection="1"/>
    <xf numFmtId="166" fontId="19" fillId="0" borderId="0" xfId="1" applyNumberFormat="1" applyFont="1" applyFill="1" applyAlignment="1">
      <alignment vertical="top" wrapText="1"/>
    </xf>
    <xf numFmtId="0" fontId="25" fillId="0" borderId="5" xfId="0" applyFont="1" applyBorder="1"/>
    <xf numFmtId="0" fontId="25" fillId="0" borderId="23" xfId="0" applyFont="1" applyBorder="1"/>
    <xf numFmtId="0" fontId="25" fillId="0" borderId="19" xfId="0" applyFont="1" applyBorder="1"/>
    <xf numFmtId="166" fontId="19" fillId="0" borderId="10" xfId="1" applyNumberFormat="1" applyFont="1" applyFill="1" applyBorder="1" applyAlignment="1">
      <alignment vertical="top" wrapText="1"/>
    </xf>
    <xf numFmtId="166" fontId="19" fillId="0" borderId="9" xfId="1" applyNumberFormat="1" applyFont="1" applyFill="1" applyBorder="1" applyAlignment="1">
      <alignment vertical="top" wrapText="1"/>
    </xf>
    <xf numFmtId="166" fontId="5" fillId="0" borderId="7" xfId="1" applyNumberFormat="1" applyFont="1" applyFill="1" applyBorder="1" applyAlignment="1">
      <alignment horizontal="right" vertical="top" wrapText="1"/>
    </xf>
    <xf numFmtId="166" fontId="5" fillId="0" borderId="19" xfId="1" applyNumberFormat="1" applyFont="1" applyFill="1" applyBorder="1" applyAlignment="1">
      <alignment horizontal="right" vertical="top" wrapText="1"/>
    </xf>
    <xf numFmtId="166" fontId="5" fillId="0" borderId="2" xfId="1" applyNumberFormat="1" applyFont="1" applyFill="1" applyBorder="1" applyAlignment="1">
      <alignment horizontal="right" vertical="top" wrapText="1"/>
    </xf>
    <xf numFmtId="166" fontId="5" fillId="0" borderId="23" xfId="1" applyNumberFormat="1" applyFont="1" applyFill="1" applyBorder="1" applyAlignment="1">
      <alignment horizontal="right" vertical="top" wrapText="1"/>
    </xf>
    <xf numFmtId="166" fontId="5" fillId="0" borderId="10" xfId="1" applyNumberFormat="1" applyFont="1" applyFill="1" applyBorder="1" applyAlignment="1">
      <alignment horizontal="right" vertical="top" wrapText="1"/>
    </xf>
    <xf numFmtId="166" fontId="5" fillId="0" borderId="20" xfId="1" applyNumberFormat="1" applyFont="1" applyFill="1" applyBorder="1" applyAlignment="1">
      <alignment horizontal="right" vertical="top" wrapText="1"/>
    </xf>
    <xf numFmtId="166" fontId="5" fillId="0" borderId="14" xfId="1" applyNumberFormat="1" applyFont="1" applyFill="1" applyBorder="1" applyAlignment="1">
      <alignment horizontal="right" vertical="top" wrapText="1"/>
    </xf>
    <xf numFmtId="0" fontId="25" fillId="0" borderId="21" xfId="0" applyFont="1" applyBorder="1"/>
    <xf numFmtId="0" fontId="19" fillId="10" borderId="2" xfId="0" applyFont="1" applyFill="1" applyBorder="1" applyAlignment="1">
      <alignment horizontal="right" wrapText="1"/>
    </xf>
    <xf numFmtId="0" fontId="19" fillId="0" borderId="5" xfId="0" applyFont="1" applyBorder="1" applyAlignment="1">
      <alignment vertical="top" wrapText="1"/>
    </xf>
    <xf numFmtId="0" fontId="19" fillId="0" borderId="5" xfId="0" applyFont="1" applyBorder="1" applyAlignment="1">
      <alignment horizontal="right"/>
    </xf>
    <xf numFmtId="0" fontId="19" fillId="0" borderId="5" xfId="0" applyFont="1" applyBorder="1" applyAlignment="1">
      <alignment horizontal="left"/>
    </xf>
    <xf numFmtId="3" fontId="5" fillId="10" borderId="19" xfId="0" applyNumberFormat="1" applyFont="1" applyFill="1" applyBorder="1" applyAlignment="1">
      <alignment horizontal="right" wrapText="1"/>
    </xf>
    <xf numFmtId="3" fontId="19" fillId="0" borderId="20" xfId="1" applyNumberFormat="1" applyFont="1" applyFill="1" applyBorder="1" applyAlignment="1">
      <alignment horizontal="right" vertical="top" wrapText="1"/>
    </xf>
    <xf numFmtId="3" fontId="19" fillId="0" borderId="5" xfId="1" applyNumberFormat="1" applyFont="1" applyFill="1" applyBorder="1"/>
    <xf numFmtId="3" fontId="5" fillId="0" borderId="5" xfId="1" applyNumberFormat="1" applyFont="1" applyFill="1" applyBorder="1" applyAlignment="1">
      <alignment vertical="top" wrapText="1"/>
    </xf>
    <xf numFmtId="3" fontId="5" fillId="0" borderId="0" xfId="1" applyNumberFormat="1" applyFont="1" applyFill="1" applyBorder="1" applyAlignment="1">
      <alignment vertical="top" wrapText="1"/>
    </xf>
    <xf numFmtId="3" fontId="25" fillId="0" borderId="5" xfId="0" applyNumberFormat="1" applyFont="1" applyBorder="1"/>
    <xf numFmtId="3" fontId="25" fillId="0" borderId="0" xfId="0" applyNumberFormat="1" applyFont="1"/>
    <xf numFmtId="3" fontId="25" fillId="0" borderId="19" xfId="0" applyNumberFormat="1" applyFont="1" applyBorder="1"/>
    <xf numFmtId="3" fontId="25" fillId="0" borderId="2" xfId="0" applyNumberFormat="1" applyFont="1" applyBorder="1"/>
    <xf numFmtId="3" fontId="19" fillId="0" borderId="5" xfId="1" applyNumberFormat="1" applyFont="1" applyFill="1" applyBorder="1" applyAlignment="1">
      <alignment vertical="top" wrapText="1"/>
    </xf>
    <xf numFmtId="3" fontId="25" fillId="0" borderId="20" xfId="0" applyNumberFormat="1" applyFont="1" applyBorder="1"/>
    <xf numFmtId="3" fontId="25" fillId="0" borderId="14" xfId="0" applyNumberFormat="1" applyFont="1" applyBorder="1"/>
    <xf numFmtId="3" fontId="5" fillId="0" borderId="5" xfId="0" applyNumberFormat="1" applyFont="1" applyBorder="1" applyAlignment="1">
      <alignment horizontal="right"/>
    </xf>
    <xf numFmtId="3" fontId="5" fillId="0" borderId="5" xfId="0" applyNumberFormat="1" applyFont="1" applyBorder="1" applyAlignment="1">
      <alignment horizontal="left"/>
    </xf>
    <xf numFmtId="3" fontId="19" fillId="0" borderId="14" xfId="1" applyNumberFormat="1" applyFont="1" applyBorder="1" applyAlignment="1">
      <alignment horizontal="right" vertical="top" wrapText="1"/>
    </xf>
    <xf numFmtId="3" fontId="19" fillId="0" borderId="20" xfId="1" applyNumberFormat="1" applyFont="1" applyBorder="1" applyAlignment="1">
      <alignment horizontal="right" vertical="top" wrapText="1"/>
    </xf>
    <xf numFmtId="3" fontId="19" fillId="0" borderId="0" xfId="1" applyNumberFormat="1" applyFont="1" applyBorder="1"/>
    <xf numFmtId="3" fontId="19" fillId="0" borderId="5" xfId="1" applyNumberFormat="1" applyFont="1" applyBorder="1"/>
    <xf numFmtId="3" fontId="19" fillId="0" borderId="0" xfId="1" applyNumberFormat="1" applyFont="1" applyBorder="1" applyAlignment="1">
      <alignment vertical="top" wrapText="1"/>
    </xf>
    <xf numFmtId="3" fontId="19" fillId="0" borderId="5" xfId="1" applyNumberFormat="1" applyFont="1" applyBorder="1" applyAlignment="1">
      <alignment vertical="top" wrapText="1"/>
    </xf>
    <xf numFmtId="0" fontId="19" fillId="6" borderId="7" xfId="0" applyFont="1" applyFill="1" applyBorder="1"/>
    <xf numFmtId="168" fontId="28" fillId="5" borderId="7" xfId="0" applyNumberFormat="1" applyFont="1" applyFill="1" applyBorder="1" applyAlignment="1">
      <alignment horizontal="right"/>
    </xf>
    <xf numFmtId="3" fontId="28" fillId="0" borderId="0" xfId="0" applyNumberFormat="1" applyFont="1"/>
    <xf numFmtId="0" fontId="28" fillId="0" borderId="0" xfId="0" applyFont="1"/>
    <xf numFmtId="3" fontId="28" fillId="0" borderId="14" xfId="0" applyNumberFormat="1" applyFont="1" applyBorder="1"/>
    <xf numFmtId="0" fontId="5" fillId="12" borderId="0" xfId="0" applyFont="1" applyFill="1"/>
    <xf numFmtId="0" fontId="19" fillId="12" borderId="0" xfId="0" applyFont="1" applyFill="1"/>
    <xf numFmtId="166" fontId="19" fillId="0" borderId="2" xfId="1" applyNumberFormat="1" applyFont="1" applyFill="1" applyBorder="1" applyProtection="1"/>
    <xf numFmtId="0" fontId="5" fillId="12" borderId="14" xfId="0" applyFont="1" applyFill="1" applyBorder="1" applyAlignment="1">
      <alignment horizontal="right" wrapText="1"/>
    </xf>
    <xf numFmtId="0" fontId="5" fillId="12" borderId="2" xfId="0" applyFont="1" applyFill="1" applyBorder="1" applyAlignment="1">
      <alignment horizontal="right" wrapText="1"/>
    </xf>
    <xf numFmtId="0" fontId="19" fillId="12" borderId="2" xfId="0" applyFont="1" applyFill="1" applyBorder="1" applyAlignment="1">
      <alignment horizontal="right" wrapText="1"/>
    </xf>
    <xf numFmtId="0" fontId="5" fillId="12" borderId="20" xfId="0" applyFont="1" applyFill="1" applyBorder="1" applyAlignment="1">
      <alignment horizontal="right" wrapText="1"/>
    </xf>
    <xf numFmtId="166" fontId="19" fillId="0" borderId="21" xfId="1" applyNumberFormat="1" applyFont="1" applyFill="1" applyBorder="1"/>
    <xf numFmtId="166" fontId="19" fillId="0" borderId="8" xfId="1" applyNumberFormat="1" applyFont="1" applyFill="1" applyBorder="1"/>
    <xf numFmtId="3" fontId="19" fillId="0" borderId="8" xfId="1" applyNumberFormat="1" applyFont="1" applyFill="1" applyBorder="1"/>
    <xf numFmtId="3" fontId="19" fillId="0" borderId="9" xfId="1" applyNumberFormat="1" applyFont="1" applyFill="1" applyBorder="1"/>
    <xf numFmtId="0" fontId="5" fillId="12" borderId="0" xfId="0" applyFont="1" applyFill="1" applyAlignment="1">
      <alignment horizontal="right" wrapText="1"/>
    </xf>
    <xf numFmtId="166" fontId="19" fillId="0" borderId="0" xfId="1" applyNumberFormat="1" applyFont="1" applyFill="1" applyBorder="1" applyAlignment="1">
      <alignment horizontal="right" vertical="top" wrapText="1"/>
    </xf>
    <xf numFmtId="0" fontId="34" fillId="0" borderId="0" xfId="0" applyFont="1" applyAlignment="1">
      <alignment vertical="top" wrapText="1"/>
    </xf>
    <xf numFmtId="0" fontId="35" fillId="0" borderId="0" xfId="0" applyFont="1" applyAlignment="1">
      <alignment wrapText="1"/>
    </xf>
    <xf numFmtId="165" fontId="5" fillId="13" borderId="0" xfId="0" quotePrefix="1" applyNumberFormat="1" applyFont="1" applyFill="1" applyAlignment="1">
      <alignment horizontal="right"/>
    </xf>
    <xf numFmtId="165" fontId="5" fillId="13" borderId="0" xfId="0" applyNumberFormat="1" applyFont="1" applyFill="1" applyAlignment="1">
      <alignment horizontal="right"/>
    </xf>
    <xf numFmtId="165" fontId="5" fillId="0" borderId="0" xfId="0" quotePrefix="1" applyNumberFormat="1" applyFont="1" applyAlignment="1">
      <alignment horizontal="right"/>
    </xf>
    <xf numFmtId="0" fontId="3" fillId="0" borderId="14" xfId="0" applyFont="1" applyBorder="1" applyAlignment="1" applyProtection="1">
      <alignment horizontal="right"/>
      <protection locked="0"/>
    </xf>
    <xf numFmtId="0" fontId="2" fillId="0" borderId="14" xfId="0" applyFont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right"/>
      <protection locked="0"/>
    </xf>
    <xf numFmtId="168" fontId="5" fillId="0" borderId="14" xfId="0" applyNumberFormat="1" applyFont="1" applyBorder="1" applyAlignment="1">
      <alignment horizontal="right"/>
    </xf>
    <xf numFmtId="168" fontId="5" fillId="0" borderId="0" xfId="0" applyNumberFormat="1" applyFont="1" applyAlignment="1">
      <alignment horizontal="right"/>
    </xf>
    <xf numFmtId="168" fontId="5" fillId="0" borderId="2" xfId="0" applyNumberFormat="1" applyFont="1" applyBorder="1" applyAlignment="1">
      <alignment horizontal="right"/>
    </xf>
    <xf numFmtId="168" fontId="5" fillId="0" borderId="9" xfId="0" applyNumberFormat="1" applyFont="1" applyBorder="1" applyAlignment="1">
      <alignment horizontal="right"/>
    </xf>
    <xf numFmtId="9" fontId="5" fillId="0" borderId="0" xfId="5" applyFont="1" applyBorder="1" applyAlignment="1">
      <alignment horizontal="right"/>
    </xf>
    <xf numFmtId="10" fontId="5" fillId="0" borderId="0" xfId="5" applyNumberFormat="1" applyFont="1" applyBorder="1" applyAlignment="1">
      <alignment horizontal="right"/>
    </xf>
    <xf numFmtId="168" fontId="19" fillId="5" borderId="23" xfId="0" applyNumberFormat="1" applyFont="1" applyFill="1" applyBorder="1" applyAlignment="1">
      <alignment horizontal="right"/>
    </xf>
    <xf numFmtId="165" fontId="5" fillId="0" borderId="0" xfId="0" applyNumberFormat="1" applyFont="1" applyAlignment="1">
      <alignment horizontal="right" vertical="center"/>
    </xf>
    <xf numFmtId="0" fontId="0" fillId="0" borderId="22" xfId="0" applyBorder="1"/>
    <xf numFmtId="0" fontId="5" fillId="14" borderId="0" xfId="0" applyFont="1" applyFill="1"/>
    <xf numFmtId="0" fontId="5" fillId="14" borderId="13" xfId="0" applyFont="1" applyFill="1" applyBorder="1" applyAlignment="1">
      <alignment horizontal="centerContinuous" wrapText="1"/>
    </xf>
    <xf numFmtId="0" fontId="5" fillId="14" borderId="4" xfId="0" applyFont="1" applyFill="1" applyBorder="1" applyAlignment="1">
      <alignment horizontal="center" wrapText="1"/>
    </xf>
    <xf numFmtId="165" fontId="5" fillId="14" borderId="0" xfId="0" applyNumberFormat="1" applyFont="1" applyFill="1"/>
    <xf numFmtId="0" fontId="5" fillId="14" borderId="0" xfId="0" applyFont="1" applyFill="1" applyAlignment="1">
      <alignment horizontal="right"/>
    </xf>
    <xf numFmtId="0" fontId="5" fillId="14" borderId="0" xfId="0" applyFont="1" applyFill="1" applyAlignment="1">
      <alignment wrapText="1"/>
    </xf>
    <xf numFmtId="0" fontId="21" fillId="14" borderId="0" xfId="0" applyFont="1" applyFill="1" applyAlignment="1">
      <alignment wrapText="1"/>
    </xf>
    <xf numFmtId="0" fontId="29" fillId="14" borderId="0" xfId="0" applyFont="1" applyFill="1"/>
    <xf numFmtId="0" fontId="22" fillId="15" borderId="20" xfId="0" applyFont="1" applyFill="1" applyBorder="1" applyAlignment="1">
      <alignment horizontal="left"/>
    </xf>
    <xf numFmtId="0" fontId="22" fillId="15" borderId="2" xfId="0" applyFont="1" applyFill="1" applyBorder="1" applyAlignment="1">
      <alignment horizontal="centerContinuous" wrapText="1"/>
    </xf>
    <xf numFmtId="0" fontId="22" fillId="15" borderId="2" xfId="0" applyFont="1" applyFill="1" applyBorder="1"/>
    <xf numFmtId="0" fontId="22" fillId="15" borderId="23" xfId="0" applyFont="1" applyFill="1" applyBorder="1"/>
    <xf numFmtId="0" fontId="22" fillId="15" borderId="19" xfId="0" applyFont="1" applyFill="1" applyBorder="1"/>
    <xf numFmtId="0" fontId="22" fillId="15" borderId="0" xfId="0" applyFont="1" applyFill="1"/>
    <xf numFmtId="0" fontId="22" fillId="16" borderId="17" xfId="0" applyFont="1" applyFill="1" applyBorder="1"/>
    <xf numFmtId="0" fontId="22" fillId="16" borderId="2" xfId="0" applyFont="1" applyFill="1" applyBorder="1"/>
    <xf numFmtId="0" fontId="22" fillId="16" borderId="18" xfId="0" applyFont="1" applyFill="1" applyBorder="1"/>
    <xf numFmtId="0" fontId="22" fillId="16" borderId="23" xfId="0" applyFont="1" applyFill="1" applyBorder="1"/>
    <xf numFmtId="0" fontId="22" fillId="16" borderId="19" xfId="0" applyFont="1" applyFill="1" applyBorder="1"/>
    <xf numFmtId="0" fontId="22" fillId="4" borderId="2" xfId="0" applyFont="1" applyFill="1" applyBorder="1"/>
    <xf numFmtId="0" fontId="22" fillId="17" borderId="20" xfId="0" applyFont="1" applyFill="1" applyBorder="1" applyAlignment="1">
      <alignment horizontal="left"/>
    </xf>
    <xf numFmtId="0" fontId="22" fillId="17" borderId="14" xfId="0" applyFont="1" applyFill="1" applyBorder="1" applyAlignment="1">
      <alignment horizontal="centerContinuous" wrapText="1"/>
    </xf>
    <xf numFmtId="0" fontId="22" fillId="17" borderId="2" xfId="0" applyFont="1" applyFill="1" applyBorder="1"/>
    <xf numFmtId="166" fontId="22" fillId="17" borderId="2" xfId="0" applyNumberFormat="1" applyFont="1" applyFill="1" applyBorder="1"/>
    <xf numFmtId="0" fontId="22" fillId="17" borderId="19" xfId="0" applyFont="1" applyFill="1" applyBorder="1"/>
    <xf numFmtId="0" fontId="22" fillId="18" borderId="19" xfId="0" applyFont="1" applyFill="1" applyBorder="1"/>
    <xf numFmtId="0" fontId="22" fillId="18" borderId="2" xfId="0" applyFont="1" applyFill="1" applyBorder="1"/>
    <xf numFmtId="3" fontId="22" fillId="18" borderId="2" xfId="0" applyNumberFormat="1" applyFont="1" applyFill="1" applyBorder="1"/>
    <xf numFmtId="3" fontId="22" fillId="18" borderId="19" xfId="0" applyNumberFormat="1" applyFont="1" applyFill="1" applyBorder="1"/>
    <xf numFmtId="0" fontId="22" fillId="19" borderId="20" xfId="0" applyFont="1" applyFill="1" applyBorder="1" applyAlignment="1">
      <alignment horizontal="left"/>
    </xf>
    <xf numFmtId="0" fontId="22" fillId="19" borderId="14" xfId="0" applyFont="1" applyFill="1" applyBorder="1" applyAlignment="1">
      <alignment horizontal="centerContinuous" wrapText="1"/>
    </xf>
    <xf numFmtId="0" fontId="22" fillId="19" borderId="2" xfId="0" applyFont="1" applyFill="1" applyBorder="1" applyAlignment="1">
      <alignment horizontal="centerContinuous" wrapText="1"/>
    </xf>
    <xf numFmtId="0" fontId="22" fillId="19" borderId="19" xfId="0" applyFont="1" applyFill="1" applyBorder="1" applyAlignment="1">
      <alignment horizontal="centerContinuous" wrapText="1"/>
    </xf>
    <xf numFmtId="0" fontId="22" fillId="20" borderId="19" xfId="0" applyFont="1" applyFill="1" applyBorder="1"/>
    <xf numFmtId="0" fontId="22" fillId="20" borderId="2" xfId="0" applyFont="1" applyFill="1" applyBorder="1" applyAlignment="1">
      <alignment horizontal="centerContinuous" wrapText="1"/>
    </xf>
    <xf numFmtId="0" fontId="22" fillId="20" borderId="0" xfId="0" applyFont="1" applyFill="1"/>
    <xf numFmtId="0" fontId="22" fillId="20" borderId="2" xfId="0" applyFont="1" applyFill="1" applyBorder="1"/>
    <xf numFmtId="0" fontId="22" fillId="21" borderId="19" xfId="0" applyFont="1" applyFill="1" applyBorder="1"/>
    <xf numFmtId="0" fontId="22" fillId="21" borderId="14" xfId="0" applyFont="1" applyFill="1" applyBorder="1" applyAlignment="1">
      <alignment horizontal="centerContinuous" wrapText="1"/>
    </xf>
    <xf numFmtId="0" fontId="22" fillId="21" borderId="20" xfId="0" applyFont="1" applyFill="1" applyBorder="1" applyAlignment="1">
      <alignment horizontal="centerContinuous" wrapText="1"/>
    </xf>
    <xf numFmtId="0" fontId="22" fillId="22" borderId="14" xfId="0" applyFont="1" applyFill="1" applyBorder="1" applyAlignment="1">
      <alignment horizontal="left"/>
    </xf>
    <xf numFmtId="0" fontId="22" fillId="22" borderId="2" xfId="0" applyFont="1" applyFill="1" applyBorder="1" applyAlignment="1">
      <alignment horizontal="centerContinuous"/>
    </xf>
    <xf numFmtId="3" fontId="22" fillId="22" borderId="14" xfId="0" applyNumberFormat="1" applyFont="1" applyFill="1" applyBorder="1" applyAlignment="1">
      <alignment horizontal="right"/>
    </xf>
    <xf numFmtId="3" fontId="22" fillId="22" borderId="2" xfId="0" applyNumberFormat="1" applyFont="1" applyFill="1" applyBorder="1"/>
    <xf numFmtId="3" fontId="22" fillId="22" borderId="0" xfId="0" applyNumberFormat="1" applyFont="1" applyFill="1"/>
    <xf numFmtId="0" fontId="22" fillId="22" borderId="14" xfId="0" applyFont="1" applyFill="1" applyBorder="1" applyAlignment="1">
      <alignment horizontal="centerContinuous" wrapText="1"/>
    </xf>
    <xf numFmtId="0" fontId="22" fillId="22" borderId="0" xfId="0" applyFont="1" applyFill="1" applyAlignment="1">
      <alignment horizontal="centerContinuous" wrapText="1"/>
    </xf>
    <xf numFmtId="0" fontId="22" fillId="22" borderId="0" xfId="0" applyFont="1" applyFill="1"/>
    <xf numFmtId="0" fontId="22" fillId="22" borderId="2" xfId="0" applyFont="1" applyFill="1" applyBorder="1"/>
    <xf numFmtId="166" fontId="22" fillId="22" borderId="2" xfId="0" applyNumberFormat="1" applyFont="1" applyFill="1" applyBorder="1"/>
    <xf numFmtId="0" fontId="22" fillId="22" borderId="5" xfId="0" applyFont="1" applyFill="1" applyBorder="1"/>
    <xf numFmtId="0" fontId="22" fillId="22" borderId="23" xfId="0" applyFont="1" applyFill="1" applyBorder="1"/>
    <xf numFmtId="3" fontId="22" fillId="22" borderId="19" xfId="0" applyNumberFormat="1" applyFont="1" applyFill="1" applyBorder="1"/>
    <xf numFmtId="0" fontId="22" fillId="23" borderId="0" xfId="0" applyFont="1" applyFill="1"/>
    <xf numFmtId="0" fontId="19" fillId="0" borderId="10" xfId="0" applyFont="1" applyBorder="1"/>
    <xf numFmtId="0" fontId="19" fillId="0" borderId="9" xfId="0" applyFont="1" applyBorder="1"/>
    <xf numFmtId="0" fontId="19" fillId="0" borderId="8" xfId="0" applyFont="1" applyBorder="1"/>
    <xf numFmtId="0" fontId="5" fillId="24" borderId="20" xfId="0" applyFont="1" applyFill="1" applyBorder="1" applyAlignment="1">
      <alignment horizontal="right" wrapText="1"/>
    </xf>
    <xf numFmtId="0" fontId="5" fillId="24" borderId="14" xfId="0" applyFont="1" applyFill="1" applyBorder="1" applyAlignment="1">
      <alignment horizontal="right" wrapText="1"/>
    </xf>
    <xf numFmtId="0" fontId="5" fillId="24" borderId="0" xfId="0" applyFont="1" applyFill="1"/>
    <xf numFmtId="0" fontId="5" fillId="9" borderId="0" xfId="0" applyFont="1" applyFill="1" applyAlignment="1">
      <alignment horizontal="right" wrapText="1"/>
    </xf>
    <xf numFmtId="166" fontId="5" fillId="0" borderId="5" xfId="0" applyNumberFormat="1" applyFont="1" applyBorder="1" applyAlignment="1">
      <alignment vertical="top" wrapText="1"/>
    </xf>
    <xf numFmtId="166" fontId="5" fillId="0" borderId="19" xfId="0" applyNumberFormat="1" applyFont="1" applyBorder="1" applyAlignment="1">
      <alignment horizontal="right" wrapText="1"/>
    </xf>
    <xf numFmtId="2" fontId="0" fillId="0" borderId="22" xfId="0" applyNumberFormat="1" applyBorder="1"/>
    <xf numFmtId="165" fontId="5" fillId="0" borderId="9" xfId="0" applyNumberFormat="1" applyFont="1" applyBorder="1"/>
    <xf numFmtId="165" fontId="5" fillId="14" borderId="0" xfId="0" applyNumberFormat="1" applyFont="1" applyFill="1" applyAlignment="1">
      <alignment horizontal="right"/>
    </xf>
    <xf numFmtId="0" fontId="5" fillId="14" borderId="14" xfId="0" applyFont="1" applyFill="1" applyBorder="1"/>
    <xf numFmtId="165" fontId="5" fillId="0" borderId="0" xfId="0" applyNumberFormat="1" applyFont="1" applyAlignment="1">
      <alignment horizontal="center"/>
    </xf>
    <xf numFmtId="165" fontId="5" fillId="4" borderId="0" xfId="0" applyNumberFormat="1" applyFont="1" applyFill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165" fontId="5" fillId="4" borderId="2" xfId="0" applyNumberFormat="1" applyFont="1" applyFill="1" applyBorder="1" applyAlignment="1">
      <alignment horizontal="center"/>
    </xf>
    <xf numFmtId="165" fontId="5" fillId="4" borderId="14" xfId="0" applyNumberFormat="1" applyFont="1" applyFill="1" applyBorder="1" applyAlignment="1">
      <alignment horizontal="center"/>
    </xf>
    <xf numFmtId="165" fontId="5" fillId="0" borderId="14" xfId="0" applyNumberFormat="1" applyFont="1" applyBorder="1" applyAlignment="1">
      <alignment horizontal="center"/>
    </xf>
    <xf numFmtId="165" fontId="5" fillId="0" borderId="23" xfId="0" applyNumberFormat="1" applyFont="1" applyBorder="1" applyAlignment="1">
      <alignment horizontal="center"/>
    </xf>
    <xf numFmtId="165" fontId="5" fillId="0" borderId="7" xfId="0" applyNumberFormat="1" applyFont="1" applyBorder="1" applyAlignment="1">
      <alignment horizontal="center"/>
    </xf>
    <xf numFmtId="165" fontId="5" fillId="4" borderId="7" xfId="0" applyNumberFormat="1" applyFont="1" applyFill="1" applyBorder="1" applyAlignment="1">
      <alignment horizontal="center"/>
    </xf>
    <xf numFmtId="165" fontId="5" fillId="4" borderId="23" xfId="0" applyNumberFormat="1" applyFont="1" applyFill="1" applyBorder="1" applyAlignment="1">
      <alignment horizontal="center"/>
    </xf>
    <xf numFmtId="165" fontId="5" fillId="4" borderId="21" xfId="0" applyNumberFormat="1" applyFont="1" applyFill="1" applyBorder="1" applyAlignment="1">
      <alignment horizontal="center"/>
    </xf>
    <xf numFmtId="165" fontId="5" fillId="13" borderId="0" xfId="0" applyNumberFormat="1" applyFont="1" applyFill="1" applyAlignment="1">
      <alignment horizontal="center"/>
    </xf>
    <xf numFmtId="165" fontId="5" fillId="13" borderId="7" xfId="0" applyNumberFormat="1" applyFont="1" applyFill="1" applyBorder="1" applyAlignment="1">
      <alignment horizontal="center"/>
    </xf>
    <xf numFmtId="0" fontId="0" fillId="0" borderId="0" xfId="0" pivotButton="1"/>
    <xf numFmtId="165" fontId="5" fillId="0" borderId="21" xfId="0" applyNumberFormat="1" applyFont="1" applyBorder="1" applyAlignment="1">
      <alignment horizontal="center"/>
    </xf>
    <xf numFmtId="0" fontId="39" fillId="0" borderId="0" xfId="0" applyFont="1"/>
    <xf numFmtId="0" fontId="20" fillId="0" borderId="3" xfId="0" applyFont="1" applyBorder="1" applyAlignment="1">
      <alignment horizontal="center" wrapText="1"/>
    </xf>
    <xf numFmtId="165" fontId="20" fillId="0" borderId="19" xfId="0" applyNumberFormat="1" applyFont="1" applyBorder="1"/>
    <xf numFmtId="165" fontId="20" fillId="0" borderId="5" xfId="0" applyNumberFormat="1" applyFont="1" applyBorder="1" applyAlignment="1">
      <alignment horizontal="right"/>
    </xf>
    <xf numFmtId="165" fontId="20" fillId="4" borderId="5" xfId="0" applyNumberFormat="1" applyFont="1" applyFill="1" applyBorder="1" applyAlignment="1">
      <alignment horizontal="right"/>
    </xf>
    <xf numFmtId="165" fontId="5" fillId="13" borderId="14" xfId="0" applyNumberFormat="1" applyFont="1" applyFill="1" applyBorder="1" applyAlignment="1">
      <alignment horizontal="center"/>
    </xf>
    <xf numFmtId="0" fontId="0" fillId="14" borderId="0" xfId="0" applyFill="1"/>
    <xf numFmtId="165" fontId="5" fillId="0" borderId="14" xfId="0" applyNumberFormat="1" applyFont="1" applyBorder="1" applyAlignment="1">
      <alignment horizontal="right"/>
    </xf>
    <xf numFmtId="165" fontId="5" fillId="0" borderId="64" xfId="0" applyNumberFormat="1" applyFont="1" applyBorder="1" applyAlignment="1">
      <alignment horizontal="right"/>
    </xf>
    <xf numFmtId="0" fontId="6" fillId="0" borderId="65" xfId="0" applyFont="1" applyBorder="1"/>
    <xf numFmtId="0" fontId="39" fillId="0" borderId="0" xfId="0" applyFont="1" applyAlignment="1">
      <alignment vertical="top"/>
    </xf>
    <xf numFmtId="165" fontId="20" fillId="0" borderId="5" xfId="0" applyNumberFormat="1" applyFont="1" applyBorder="1"/>
    <xf numFmtId="165" fontId="5" fillId="0" borderId="5" xfId="0" applyNumberFormat="1" applyFont="1" applyBorder="1"/>
    <xf numFmtId="0" fontId="5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5" fillId="0" borderId="61" xfId="0" applyFont="1" applyBorder="1" applyAlignment="1">
      <alignment horizontal="center" wrapText="1"/>
    </xf>
    <xf numFmtId="0" fontId="5" fillId="0" borderId="62" xfId="0" applyFont="1" applyBorder="1" applyAlignment="1">
      <alignment horizontal="center" wrapText="1"/>
    </xf>
    <xf numFmtId="0" fontId="5" fillId="0" borderId="63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60" xfId="0" applyFont="1" applyBorder="1" applyAlignment="1">
      <alignment horizontal="center" wrapText="1"/>
    </xf>
  </cellXfs>
  <cellStyles count="8">
    <cellStyle name="Bad" xfId="3" builtinId="27"/>
    <cellStyle name="Comma" xfId="1" builtinId="3"/>
    <cellStyle name="Normal" xfId="0" builtinId="0"/>
    <cellStyle name="Normal 2" xfId="4" xr:uid="{00000000-0005-0000-0000-000003000000}"/>
    <cellStyle name="Normal 3" xfId="6" xr:uid="{0FCD7B65-0E2D-48FF-92D1-D3ADFAA0B2FF}"/>
    <cellStyle name="Note" xfId="2" builtinId="10"/>
    <cellStyle name="Percent" xfId="5" builtinId="5"/>
    <cellStyle name="Percent 2" xfId="7" xr:uid="{1686D4F0-C946-4268-9E76-C125E33F8FE8}"/>
  </cellStyles>
  <dxfs count="11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FBFBF"/>
      <color rgb="FFA50021"/>
      <color rgb="FF00CCFF"/>
      <color rgb="FF0000FF"/>
      <color rgb="FF003399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890461195821231E-2"/>
          <c:y val="0.16292984505158961"/>
          <c:w val="0.81063291065919696"/>
          <c:h val="0.623741146870205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2'!$A$6</c:f>
              <c:strCache>
                <c:ptCount val="1"/>
                <c:pt idx="0">
                  <c:v>50 states and D.C.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2'!$C$5:$E$5</c:f>
              <c:numCache>
                <c:formatCode>General</c:formatCode>
                <c:ptCount val="3"/>
                <c:pt idx="0">
                  <c:v>2011</c:v>
                </c:pt>
                <c:pt idx="1">
                  <c:v>2016</c:v>
                </c:pt>
                <c:pt idx="2">
                  <c:v>2021</c:v>
                </c:pt>
              </c:numCache>
            </c:numRef>
          </c:cat>
          <c:val>
            <c:numRef>
              <c:f>'Table 2'!$C$6:$E$6</c:f>
              <c:numCache>
                <c:formatCode>#,##0.0</c:formatCode>
                <c:ptCount val="3"/>
                <c:pt idx="0">
                  <c:v>85.619080761011233</c:v>
                </c:pt>
                <c:pt idx="1">
                  <c:v>87.45294712248716</c:v>
                </c:pt>
                <c:pt idx="2">
                  <c:v>89.363200604203115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8-48CB-9035-AC1B26771A93}"/>
            </c:ext>
          </c:extLst>
        </c:ser>
        <c:ser>
          <c:idx val="1"/>
          <c:order val="1"/>
          <c:tx>
            <c:strRef>
              <c:f>'Table 2'!$A$7</c:f>
              <c:strCache>
                <c:ptCount val="1"/>
                <c:pt idx="0">
                  <c:v>SREB states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2'!$C$7:$E$7</c:f>
              <c:numCache>
                <c:formatCode>#,##0.0</c:formatCode>
                <c:ptCount val="3"/>
                <c:pt idx="0">
                  <c:v>83.819678864814065</c:v>
                </c:pt>
                <c:pt idx="1">
                  <c:v>86.165741185195841</c:v>
                </c:pt>
                <c:pt idx="2">
                  <c:v>88.511493055125769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48-48CB-9035-AC1B26771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125892096"/>
        <c:axId val="89275136"/>
      </c:barChart>
      <c:catAx>
        <c:axId val="12589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9275136"/>
        <c:crosses val="autoZero"/>
        <c:auto val="1"/>
        <c:lblAlgn val="ctr"/>
        <c:lblOffset val="100"/>
        <c:noMultiLvlLbl val="0"/>
      </c:catAx>
      <c:valAx>
        <c:axId val="89275136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125892096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46222476102847"/>
          <c:y val="0.13297843204382145"/>
          <c:w val="0.8106329106591974"/>
          <c:h val="0.63920004293355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2'!$A$6</c:f>
              <c:strCache>
                <c:ptCount val="1"/>
                <c:pt idx="0">
                  <c:v>50 states and D.C.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2'!$G$5:$I$5</c:f>
              <c:numCache>
                <c:formatCode>General</c:formatCode>
                <c:ptCount val="3"/>
                <c:pt idx="0">
                  <c:v>2011</c:v>
                </c:pt>
                <c:pt idx="1">
                  <c:v>2016</c:v>
                </c:pt>
                <c:pt idx="2">
                  <c:v>2021</c:v>
                </c:pt>
              </c:numCache>
            </c:numRef>
          </c:cat>
          <c:val>
            <c:numRef>
              <c:f>'Table 2'!$G$6:$I$6</c:f>
              <c:numCache>
                <c:formatCode>#,##0.0</c:formatCode>
                <c:ptCount val="3"/>
                <c:pt idx="0">
                  <c:v>28.246235539450016</c:v>
                </c:pt>
                <c:pt idx="1">
                  <c:v>31.277778632183345</c:v>
                </c:pt>
                <c:pt idx="2">
                  <c:v>35.015666794032278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1F-4CA4-94BC-8D27E849D521}"/>
            </c:ext>
          </c:extLst>
        </c:ser>
        <c:ser>
          <c:idx val="1"/>
          <c:order val="1"/>
          <c:tx>
            <c:strRef>
              <c:f>'Table 2'!$A$7</c:f>
              <c:strCache>
                <c:ptCount val="1"/>
                <c:pt idx="0">
                  <c:v>SREB states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2'!$G$7:$I$7</c:f>
              <c:numCache>
                <c:formatCode>#,##0.0</c:formatCode>
                <c:ptCount val="3"/>
                <c:pt idx="0">
                  <c:v>25.932939842047436</c:v>
                </c:pt>
                <c:pt idx="1">
                  <c:v>28.913492016155718</c:v>
                </c:pt>
                <c:pt idx="2">
                  <c:v>32.921863838510212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1F-4CA4-94BC-8D27E849D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140053504"/>
        <c:axId val="93815936"/>
      </c:barChart>
      <c:catAx>
        <c:axId val="14005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815936"/>
        <c:crosses val="autoZero"/>
        <c:auto val="1"/>
        <c:lblAlgn val="ctr"/>
        <c:lblOffset val="100"/>
        <c:noMultiLvlLbl val="0"/>
      </c:catAx>
      <c:valAx>
        <c:axId val="93815936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14005350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0890461195821356E-2"/>
          <c:y val="0.14747103127298047"/>
          <c:w val="0.81063291065919774"/>
          <c:h val="0.6392000429335524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2'!$G$5:$I$5</c:f>
              <c:numCache>
                <c:formatCode>General</c:formatCode>
                <c:ptCount val="3"/>
                <c:pt idx="0">
                  <c:v>2011</c:v>
                </c:pt>
                <c:pt idx="1">
                  <c:v>2016</c:v>
                </c:pt>
                <c:pt idx="2">
                  <c:v>2021</c:v>
                </c:pt>
              </c:numCache>
            </c:numRef>
          </c:cat>
          <c:val>
            <c:numRef>
              <c:f>'Table 2'!$G$13:$I$13</c:f>
              <c:numCache>
                <c:formatCode>#,##0.0</c:formatCode>
                <c:ptCount val="3"/>
                <c:pt idx="0">
                  <c:v>27.400000000000002</c:v>
                </c:pt>
                <c:pt idx="1">
                  <c:v>30.451815995973707</c:v>
                </c:pt>
                <c:pt idx="2">
                  <c:v>34.627898236048935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75-477E-8A1D-8B8AA9A22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734976"/>
        <c:axId val="93818816"/>
      </c:barChart>
      <c:catAx>
        <c:axId val="14073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818816"/>
        <c:crosses val="autoZero"/>
        <c:auto val="1"/>
        <c:lblAlgn val="ctr"/>
        <c:lblOffset val="100"/>
        <c:noMultiLvlLbl val="0"/>
      </c:catAx>
      <c:valAx>
        <c:axId val="93818816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1407349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</a:t>
            </a:r>
          </a:p>
        </c:rich>
      </c:tx>
      <c:layout>
        <c:manualLayout>
          <c:xMode val="edge"/>
          <c:yMode val="edge"/>
          <c:x val="0.42097648113396408"/>
          <c:y val="4.467740695592991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08904611958213E-2"/>
          <c:y val="0.14747103127298042"/>
          <c:w val="0.8106329106591974"/>
          <c:h val="0.6392000429335521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2'!$C$5:$E$5</c:f>
              <c:numCache>
                <c:formatCode>General</c:formatCode>
                <c:ptCount val="3"/>
                <c:pt idx="0">
                  <c:v>2011</c:v>
                </c:pt>
                <c:pt idx="1">
                  <c:v>2016</c:v>
                </c:pt>
                <c:pt idx="2">
                  <c:v>2021</c:v>
                </c:pt>
              </c:numCache>
            </c:numRef>
          </c:cat>
          <c:val>
            <c:numRef>
              <c:f>'Table 2'!$C$13:$E$13</c:f>
              <c:numCache>
                <c:formatCode>#,##0.0</c:formatCode>
                <c:ptCount val="3"/>
                <c:pt idx="0">
                  <c:v>84.300000000000011</c:v>
                </c:pt>
                <c:pt idx="1">
                  <c:v>86.402766530172528</c:v>
                </c:pt>
                <c:pt idx="2">
                  <c:v>88.970872116900239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8F-4812-BB46-46F6ED155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736000"/>
        <c:axId val="93821120"/>
      </c:barChart>
      <c:catAx>
        <c:axId val="14073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821120"/>
        <c:crosses val="autoZero"/>
        <c:auto val="1"/>
        <c:lblAlgn val="ctr"/>
        <c:lblOffset val="100"/>
        <c:noMultiLvlLbl val="0"/>
      </c:catAx>
      <c:valAx>
        <c:axId val="93821120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1407360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890539089117947E-2"/>
          <c:y val="0.1617314413238452"/>
          <c:w val="0.8106329106591974"/>
          <c:h val="0.63920004293355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7'!$A$7:$B$7</c:f>
              <c:strCache>
                <c:ptCount val="2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7'!$C$6:$J$6</c:f>
              <c:strCache>
                <c:ptCount val="8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  <c:pt idx="3">
                  <c:v>Asian </c:v>
                </c:pt>
                <c:pt idx="4">
                  <c:v>NHPI</c:v>
                </c:pt>
                <c:pt idx="5">
                  <c:v>AIAN</c:v>
                </c:pt>
                <c:pt idx="6">
                  <c:v>Two or more Races</c:v>
                </c:pt>
                <c:pt idx="7">
                  <c:v>Other</c:v>
                </c:pt>
              </c:strCache>
            </c:strRef>
          </c:cat>
          <c:val>
            <c:numRef>
              <c:f>'Table 7'!$C$7:$J$7</c:f>
              <c:numCache>
                <c:formatCode>#,##0.0</c:formatCode>
                <c:ptCount val="8"/>
                <c:pt idx="0">
                  <c:v>94.037214946465724</c:v>
                </c:pt>
                <c:pt idx="1">
                  <c:v>87.969000275111142</c:v>
                </c:pt>
                <c:pt idx="2">
                  <c:v>72.392589877470215</c:v>
                </c:pt>
                <c:pt idx="3">
                  <c:v>87.777615929514894</c:v>
                </c:pt>
                <c:pt idx="4">
                  <c:v>86.659513021438656</c:v>
                </c:pt>
                <c:pt idx="5">
                  <c:v>77.137214654952444</c:v>
                </c:pt>
                <c:pt idx="6">
                  <c:v>80.583263454237525</c:v>
                </c:pt>
                <c:pt idx="7">
                  <c:v>66.97266315199353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A7-41AC-A3B1-2B96C59EC746}"/>
            </c:ext>
          </c:extLst>
        </c:ser>
        <c:ser>
          <c:idx val="1"/>
          <c:order val="1"/>
          <c:tx>
            <c:strRef>
              <c:f>'Table 7'!$A$8:$B$8</c:f>
              <c:strCache>
                <c:ptCount val="2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'Table 7'!$C$6:$J$6</c:f>
              <c:strCache>
                <c:ptCount val="8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  <c:pt idx="3">
                  <c:v>Asian </c:v>
                </c:pt>
                <c:pt idx="4">
                  <c:v>NHPI</c:v>
                </c:pt>
                <c:pt idx="5">
                  <c:v>AIAN</c:v>
                </c:pt>
                <c:pt idx="6">
                  <c:v>Two or more Races</c:v>
                </c:pt>
                <c:pt idx="7">
                  <c:v>Other</c:v>
                </c:pt>
              </c:strCache>
            </c:strRef>
          </c:cat>
          <c:val>
            <c:numRef>
              <c:f>'Table 7'!$C$8:$J$8</c:f>
              <c:numCache>
                <c:formatCode>#,##0.0</c:formatCode>
                <c:ptCount val="8"/>
                <c:pt idx="0">
                  <c:v>92.825056754905219</c:v>
                </c:pt>
                <c:pt idx="1">
                  <c:v>87.801541356036964</c:v>
                </c:pt>
                <c:pt idx="2">
                  <c:v>73.258368980584194</c:v>
                </c:pt>
                <c:pt idx="3">
                  <c:v>88.203708073068668</c:v>
                </c:pt>
                <c:pt idx="4">
                  <c:v>83.988903904971906</c:v>
                </c:pt>
                <c:pt idx="5">
                  <c:v>75.707447223267536</c:v>
                </c:pt>
                <c:pt idx="6">
                  <c:v>79.881382325296897</c:v>
                </c:pt>
                <c:pt idx="7">
                  <c:v>66.474975890384741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E2-4E21-A3F8-1A973556D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99423744"/>
        <c:axId val="93852736"/>
      </c:barChart>
      <c:catAx>
        <c:axId val="9942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852736"/>
        <c:crosses val="autoZero"/>
        <c:auto val="1"/>
        <c:lblAlgn val="ctr"/>
        <c:lblOffset val="100"/>
        <c:noMultiLvlLbl val="0"/>
      </c:catAx>
      <c:valAx>
        <c:axId val="93852736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99423744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37368262612974312"/>
          <c:y val="1.9047828682189613E-2"/>
          <c:w val="0.27393040137837893"/>
          <c:h val="9.3826946292054639E-2"/>
        </c:manualLayout>
      </c:layout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</a:t>
            </a:r>
          </a:p>
        </c:rich>
      </c:tx>
      <c:layout>
        <c:manualLayout>
          <c:xMode val="edge"/>
          <c:yMode val="edge"/>
          <c:x val="0.42097644657162958"/>
          <c:y val="4.46769014208421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0890461195821356E-2"/>
          <c:y val="0.14747103127298047"/>
          <c:w val="0.81063291065919774"/>
          <c:h val="0.639200042933552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7'!$C$6:$J$6</c:f>
              <c:strCache>
                <c:ptCount val="8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  <c:pt idx="3">
                  <c:v>Asian </c:v>
                </c:pt>
                <c:pt idx="4">
                  <c:v>NHPI</c:v>
                </c:pt>
                <c:pt idx="5">
                  <c:v>AIAN</c:v>
                </c:pt>
                <c:pt idx="6">
                  <c:v>Two or more Races</c:v>
                </c:pt>
                <c:pt idx="7">
                  <c:v>Other</c:v>
                </c:pt>
              </c:strCache>
            </c:strRef>
          </c:cat>
          <c:val>
            <c:numRef>
              <c:f>'Table 7'!$C$8:$J$8</c:f>
              <c:numCache>
                <c:formatCode>#,##0.0</c:formatCode>
                <c:ptCount val="8"/>
                <c:pt idx="0">
                  <c:v>92.825056754905219</c:v>
                </c:pt>
                <c:pt idx="1">
                  <c:v>87.801541356036964</c:v>
                </c:pt>
                <c:pt idx="2">
                  <c:v>73.258368980584194</c:v>
                </c:pt>
                <c:pt idx="3">
                  <c:v>88.203708073068668</c:v>
                </c:pt>
                <c:pt idx="4">
                  <c:v>83.988903904971906</c:v>
                </c:pt>
                <c:pt idx="5">
                  <c:v>75.707447223267536</c:v>
                </c:pt>
                <c:pt idx="6">
                  <c:v>79.881382325296897</c:v>
                </c:pt>
                <c:pt idx="7">
                  <c:v>66.474975890384741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90-4AE1-B31E-947DD4352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425792"/>
        <c:axId val="93854464"/>
      </c:barChart>
      <c:catAx>
        <c:axId val="9942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854464"/>
        <c:crosses val="autoZero"/>
        <c:auto val="1"/>
        <c:lblAlgn val="ctr"/>
        <c:lblOffset val="100"/>
        <c:noMultiLvlLbl val="0"/>
      </c:catAx>
      <c:valAx>
        <c:axId val="93854464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994257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 algn="ct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Percentage Point Change </a:t>
            </a:r>
          </a:p>
          <a:p>
            <a:pPr algn="ct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2016 to 2021</a:t>
            </a:r>
          </a:p>
        </c:rich>
      </c:tx>
      <c:layout>
        <c:manualLayout>
          <c:xMode val="edge"/>
          <c:yMode val="edge"/>
          <c:x val="0.41093832705905181"/>
          <c:y val="5.795112377675018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0890461195821425E-2"/>
          <c:y val="0.14747103127298053"/>
          <c:w val="0.81063291065919796"/>
          <c:h val="0.639200042933552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7'!$S$6:$Z$6</c:f>
              <c:strCache>
                <c:ptCount val="8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  <c:pt idx="3">
                  <c:v>Asian </c:v>
                </c:pt>
                <c:pt idx="4">
                  <c:v>NHPI</c:v>
                </c:pt>
                <c:pt idx="5">
                  <c:v>AIAN</c:v>
                </c:pt>
                <c:pt idx="6">
                  <c:v>Two or more Races</c:v>
                </c:pt>
                <c:pt idx="7">
                  <c:v>Other</c:v>
                </c:pt>
              </c:strCache>
            </c:strRef>
          </c:cat>
          <c:val>
            <c:numRef>
              <c:f>'Table 7'!$S$16:$Z$16</c:f>
              <c:numCache>
                <c:formatCode>#,##0.0</c:formatCode>
                <c:ptCount val="8"/>
                <c:pt idx="0">
                  <c:v>2.07632443213123</c:v>
                </c:pt>
                <c:pt idx="1">
                  <c:v>3.6469556803982783</c:v>
                </c:pt>
                <c:pt idx="2">
                  <c:v>2.6319386082829794</c:v>
                </c:pt>
                <c:pt idx="3">
                  <c:v>-3.3232963604653776</c:v>
                </c:pt>
                <c:pt idx="4">
                  <c:v>0</c:v>
                </c:pt>
                <c:pt idx="5">
                  <c:v>-1.5549872476582038</c:v>
                </c:pt>
                <c:pt idx="6">
                  <c:v>-3.7336240625724884</c:v>
                </c:pt>
                <c:pt idx="7">
                  <c:v>4.6787708133009716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6-482A-8766-045E976E0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61984"/>
        <c:axId val="138372800"/>
      </c:barChart>
      <c:catAx>
        <c:axId val="9956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8372800"/>
        <c:crosses val="autoZero"/>
        <c:auto val="1"/>
        <c:lblAlgn val="ctr"/>
        <c:lblOffset val="100"/>
        <c:noMultiLvlLbl val="0"/>
      </c:catAx>
      <c:valAx>
        <c:axId val="138372800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9956198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890539089117947E-2"/>
          <c:y val="0.1617314413238452"/>
          <c:w val="0.81063291065919774"/>
          <c:h val="0.639200042933552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7'!$A$7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7'!$K$6:$R$6</c:f>
              <c:strCache>
                <c:ptCount val="8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  <c:pt idx="3">
                  <c:v>Asian </c:v>
                </c:pt>
                <c:pt idx="4">
                  <c:v>NHPI</c:v>
                </c:pt>
                <c:pt idx="5">
                  <c:v>AIAN</c:v>
                </c:pt>
                <c:pt idx="6">
                  <c:v>Two or more Races</c:v>
                </c:pt>
                <c:pt idx="7">
                  <c:v>Other</c:v>
                </c:pt>
              </c:strCache>
            </c:strRef>
          </c:cat>
          <c:val>
            <c:numRef>
              <c:f>'Table 7'!$K$7:$R$7</c:f>
              <c:numCache>
                <c:formatCode>#,##0.0</c:formatCode>
                <c:ptCount val="8"/>
                <c:pt idx="0">
                  <c:v>38.873581850161507</c:v>
                </c:pt>
                <c:pt idx="1">
                  <c:v>24.859897632553128</c:v>
                </c:pt>
                <c:pt idx="2">
                  <c:v>19.71391181500077</c:v>
                </c:pt>
                <c:pt idx="3">
                  <c:v>56.253561136500608</c:v>
                </c:pt>
                <c:pt idx="4">
                  <c:v>16.868804906084524</c:v>
                </c:pt>
                <c:pt idx="5">
                  <c:v>15.995021402955963</c:v>
                </c:pt>
                <c:pt idx="6">
                  <c:v>27.049971204810564</c:v>
                </c:pt>
                <c:pt idx="7">
                  <c:v>15.558176356135467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A3-421E-B34B-B6445D13A68A}"/>
            </c:ext>
          </c:extLst>
        </c:ser>
        <c:ser>
          <c:idx val="1"/>
          <c:order val="1"/>
          <c:tx>
            <c:strRef>
              <c:f>'Table 7'!$A$8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7'!$K$6:$R$6</c:f>
              <c:strCache>
                <c:ptCount val="8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  <c:pt idx="3">
                  <c:v>Asian </c:v>
                </c:pt>
                <c:pt idx="4">
                  <c:v>NHPI</c:v>
                </c:pt>
                <c:pt idx="5">
                  <c:v>AIAN</c:v>
                </c:pt>
                <c:pt idx="6">
                  <c:v>Two or more Races</c:v>
                </c:pt>
                <c:pt idx="7">
                  <c:v>Other</c:v>
                </c:pt>
              </c:strCache>
            </c:strRef>
          </c:cat>
          <c:val>
            <c:numRef>
              <c:f>'Table 7'!$K$8:$R$8</c:f>
              <c:numCache>
                <c:formatCode>#,##0.0</c:formatCode>
                <c:ptCount val="8"/>
                <c:pt idx="0">
                  <c:v>36.852621888924233</c:v>
                </c:pt>
                <c:pt idx="1">
                  <c:v>24.691608510476311</c:v>
                </c:pt>
                <c:pt idx="2">
                  <c:v>21.582100014908772</c:v>
                </c:pt>
                <c:pt idx="3">
                  <c:v>59.278627044345377</c:v>
                </c:pt>
                <c:pt idx="4">
                  <c:v>26.356782132441854</c:v>
                </c:pt>
                <c:pt idx="5">
                  <c:v>18.572121138153499</c:v>
                </c:pt>
                <c:pt idx="6">
                  <c:v>26.849974167433839</c:v>
                </c:pt>
                <c:pt idx="7">
                  <c:v>16.654568781107777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A3-421E-B34B-B6445D13A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99563008"/>
        <c:axId val="103423296"/>
      </c:barChart>
      <c:catAx>
        <c:axId val="9956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3423296"/>
        <c:crosses val="autoZero"/>
        <c:auto val="1"/>
        <c:lblAlgn val="ctr"/>
        <c:lblOffset val="100"/>
        <c:noMultiLvlLbl val="0"/>
      </c:catAx>
      <c:valAx>
        <c:axId val="103423296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99563008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</a:t>
            </a:r>
          </a:p>
        </c:rich>
      </c:tx>
      <c:layout>
        <c:manualLayout>
          <c:xMode val="edge"/>
          <c:yMode val="edge"/>
          <c:x val="0.4687821981792159"/>
          <c:y val="5.190450231654036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0890461195821425E-2"/>
          <c:y val="0.14747103127298053"/>
          <c:w val="0.81063291065919796"/>
          <c:h val="0.639200042933552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7'!$K$6:$R$6</c:f>
              <c:strCache>
                <c:ptCount val="8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  <c:pt idx="3">
                  <c:v>Asian </c:v>
                </c:pt>
                <c:pt idx="4">
                  <c:v>NHPI</c:v>
                </c:pt>
                <c:pt idx="5">
                  <c:v>AIAN</c:v>
                </c:pt>
                <c:pt idx="6">
                  <c:v>Two or more Races</c:v>
                </c:pt>
                <c:pt idx="7">
                  <c:v>Other</c:v>
                </c:pt>
              </c:strCache>
            </c:strRef>
          </c:cat>
          <c:val>
            <c:numRef>
              <c:f>'Table 7'!$K$15:$R$15</c:f>
              <c:numCache>
                <c:formatCode>#,##0.0</c:formatCode>
                <c:ptCount val="8"/>
                <c:pt idx="0">
                  <c:v>27.53631024134231</c:v>
                </c:pt>
                <c:pt idx="1">
                  <c:v>20.106879765221443</c:v>
                </c:pt>
                <c:pt idx="2">
                  <c:v>20.137602241402686</c:v>
                </c:pt>
                <c:pt idx="3">
                  <c:v>51.214416296683204</c:v>
                </c:pt>
                <c:pt idx="4">
                  <c:v>0</c:v>
                </c:pt>
                <c:pt idx="5">
                  <c:v>0</c:v>
                </c:pt>
                <c:pt idx="6">
                  <c:v>23.365486965547792</c:v>
                </c:pt>
                <c:pt idx="7">
                  <c:v>16.461285991347157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D-4A33-BAC9-9BBEE82CC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64032"/>
        <c:axId val="93473024"/>
      </c:barChart>
      <c:catAx>
        <c:axId val="9956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473024"/>
        <c:crosses val="autoZero"/>
        <c:auto val="1"/>
        <c:lblAlgn val="ctr"/>
        <c:lblOffset val="100"/>
        <c:noMultiLvlLbl val="0"/>
      </c:catAx>
      <c:valAx>
        <c:axId val="93473024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995640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Percentage Point Change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2016 to 2021</a:t>
            </a:r>
          </a:p>
        </c:rich>
      </c:tx>
      <c:layout>
        <c:manualLayout>
          <c:xMode val="edge"/>
          <c:yMode val="edge"/>
          <c:x val="0.42974784743405653"/>
          <c:y val="6.145110960057197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0890461195821495E-2"/>
          <c:y val="0.14747103127298059"/>
          <c:w val="0.8106329106591984"/>
          <c:h val="0.639200042933553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7'!$AA$6:$AH$6</c:f>
              <c:strCache>
                <c:ptCount val="8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  <c:pt idx="3">
                  <c:v>Asian </c:v>
                </c:pt>
                <c:pt idx="4">
                  <c:v>NHPI</c:v>
                </c:pt>
                <c:pt idx="5">
                  <c:v>AIAN</c:v>
                </c:pt>
                <c:pt idx="6">
                  <c:v>Two or more Races</c:v>
                </c:pt>
                <c:pt idx="7">
                  <c:v>Other</c:v>
                </c:pt>
              </c:strCache>
            </c:strRef>
          </c:cat>
          <c:val>
            <c:numRef>
              <c:f>'Table 7'!$AA$16:$AH$16</c:f>
              <c:numCache>
                <c:formatCode>#,##0.0</c:formatCode>
                <c:ptCount val="8"/>
                <c:pt idx="0">
                  <c:v>3.8362810844297606</c:v>
                </c:pt>
                <c:pt idx="1">
                  <c:v>1.7086113211447742</c:v>
                </c:pt>
                <c:pt idx="2">
                  <c:v>6.7501157313093074</c:v>
                </c:pt>
                <c:pt idx="3">
                  <c:v>-3.2463899575844906</c:v>
                </c:pt>
                <c:pt idx="4">
                  <c:v>0</c:v>
                </c:pt>
                <c:pt idx="5">
                  <c:v>5.1153485511758472</c:v>
                </c:pt>
                <c:pt idx="6">
                  <c:v>1.6235231582525564</c:v>
                </c:pt>
                <c:pt idx="7">
                  <c:v>8.444592589328705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D4-4FB5-B6BD-5252E4830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65056"/>
        <c:axId val="93475328"/>
      </c:barChart>
      <c:catAx>
        <c:axId val="9956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475328"/>
        <c:crosses val="autoZero"/>
        <c:auto val="1"/>
        <c:lblAlgn val="ctr"/>
        <c:lblOffset val="150"/>
        <c:noMultiLvlLbl val="0"/>
      </c:catAx>
      <c:valAx>
        <c:axId val="93475328"/>
        <c:scaling>
          <c:orientation val="minMax"/>
          <c:max val="100"/>
          <c:min val="-5"/>
        </c:scaling>
        <c:delete val="1"/>
        <c:axPos val="l"/>
        <c:numFmt formatCode="#,##0.0" sourceLinked="1"/>
        <c:majorTickMark val="out"/>
        <c:minorTickMark val="none"/>
        <c:tickLblPos val="none"/>
        <c:crossAx val="995650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[FB23_02_07_Reviewed_MK.xlsx]Sheet3!PivotTable3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Sheet3!$A$56</c:f>
              <c:strCache>
                <c:ptCount val="1"/>
                <c:pt idx="0">
                  <c:v>Sum of White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Sheet3!$A$57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Sheet3!$A$57</c:f>
              <c:numCache>
                <c:formatCode>General</c:formatCode>
                <c:ptCount val="1"/>
                <c:pt idx="0">
                  <c:v>90.023225328553949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64-496F-A03F-857DE78400FA}"/>
            </c:ext>
          </c:extLst>
        </c:ser>
        <c:ser>
          <c:idx val="1"/>
          <c:order val="1"/>
          <c:tx>
            <c:strRef>
              <c:f>Sheet3!$B$56</c:f>
              <c:strCache>
                <c:ptCount val="1"/>
                <c:pt idx="0">
                  <c:v>Sum of Black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Sheet3!$A$57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Sheet3!$B$57</c:f>
              <c:numCache>
                <c:formatCode>General</c:formatCode>
                <c:ptCount val="1"/>
                <c:pt idx="0">
                  <c:v>84.966699281990202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C64-496F-A03F-857DE78400FA}"/>
            </c:ext>
          </c:extLst>
        </c:ser>
        <c:ser>
          <c:idx val="2"/>
          <c:order val="2"/>
          <c:tx>
            <c:strRef>
              <c:f>Sheet3!$C$56</c:f>
              <c:strCache>
                <c:ptCount val="1"/>
                <c:pt idx="0">
                  <c:v>Sum of Hispanic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Sheet3!$A$57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Sheet3!$C$57</c:f>
              <c:numCache>
                <c:formatCode>General</c:formatCode>
                <c:ptCount val="1"/>
                <c:pt idx="0">
                  <c:v>67.465825817361889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C64-496F-A03F-857DE78400FA}"/>
            </c:ext>
          </c:extLst>
        </c:ser>
        <c:ser>
          <c:idx val="3"/>
          <c:order val="3"/>
          <c:tx>
            <c:strRef>
              <c:f>Sheet3!$D$56</c:f>
              <c:strCache>
                <c:ptCount val="1"/>
                <c:pt idx="0">
                  <c:v>Sum of Asian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Sheet3!$A$57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Sheet3!$D$57</c:f>
              <c:numCache>
                <c:formatCode>General</c:formatCode>
                <c:ptCount val="1"/>
                <c:pt idx="0">
                  <c:v>86.418046946448541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C64-496F-A03F-857DE78400FA}"/>
            </c:ext>
          </c:extLst>
        </c:ser>
        <c:ser>
          <c:idx val="4"/>
          <c:order val="4"/>
          <c:tx>
            <c:strRef>
              <c:f>Sheet3!$E$56</c:f>
              <c:strCache>
                <c:ptCount val="1"/>
                <c:pt idx="0">
                  <c:v>Sum of NHPI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Sheet3!$A$57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Sheet3!$E$57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C64-496F-A03F-857DE78400FA}"/>
            </c:ext>
          </c:extLst>
        </c:ser>
        <c:ser>
          <c:idx val="5"/>
          <c:order val="5"/>
          <c:tx>
            <c:strRef>
              <c:f>Sheet3!$F$56</c:f>
              <c:strCache>
                <c:ptCount val="1"/>
                <c:pt idx="0">
                  <c:v>Sum of AIAN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Sheet3!$A$57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Sheet3!$F$57</c:f>
              <c:numCache>
                <c:formatCode>General</c:formatCode>
                <c:ptCount val="1"/>
                <c:pt idx="0">
                  <c:v>78.615695740100463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C64-496F-A03F-857DE78400FA}"/>
            </c:ext>
          </c:extLst>
        </c:ser>
        <c:ser>
          <c:idx val="6"/>
          <c:order val="6"/>
          <c:tx>
            <c:strRef>
              <c:f>Sheet3!$G$56</c:f>
              <c:strCache>
                <c:ptCount val="1"/>
                <c:pt idx="0">
                  <c:v>Sum of Two or more Races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Sheet3!$A$57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Sheet3!$G$57</c:f>
              <c:numCache>
                <c:formatCode>General</c:formatCode>
                <c:ptCount val="1"/>
                <c:pt idx="0">
                  <c:v>84.395263815126299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C64-496F-A03F-857DE78400FA}"/>
            </c:ext>
          </c:extLst>
        </c:ser>
        <c:ser>
          <c:idx val="7"/>
          <c:order val="7"/>
          <c:tx>
            <c:strRef>
              <c:f>Sheet3!$H$56</c:f>
              <c:strCache>
                <c:ptCount val="1"/>
                <c:pt idx="0">
                  <c:v>Sum of Other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Sheet3!$A$57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Sheet3!$H$57</c:f>
              <c:numCache>
                <c:formatCode>General</c:formatCode>
                <c:ptCount val="1"/>
                <c:pt idx="0">
                  <c:v>61.6690510252742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C64-496F-A03F-857DE7840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6040063"/>
        <c:axId val="805057135"/>
      </c:barChart>
      <c:catAx>
        <c:axId val="866040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5057135"/>
        <c:crosses val="autoZero"/>
        <c:auto val="1"/>
        <c:lblAlgn val="ctr"/>
        <c:lblOffset val="100"/>
        <c:noMultiLvlLbl val="0"/>
      </c:catAx>
      <c:valAx>
        <c:axId val="805057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0400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3</xdr:row>
      <xdr:rowOff>47625</xdr:rowOff>
    </xdr:from>
    <xdr:to>
      <xdr:col>14</xdr:col>
      <xdr:colOff>962025</xdr:colOff>
      <xdr:row>11</xdr:row>
      <xdr:rowOff>142875</xdr:rowOff>
    </xdr:to>
    <xdr:graphicFrame macro="">
      <xdr:nvGraphicFramePr>
        <xdr:cNvPr id="17505" name="Chart 1">
          <a:extLst>
            <a:ext uri="{FF2B5EF4-FFF2-40B4-BE49-F238E27FC236}">
              <a16:creationId xmlns:a16="http://schemas.microsoft.com/office/drawing/2014/main" id="{00000000-0008-0000-0000-000061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3</xdr:row>
      <xdr:rowOff>95250</xdr:rowOff>
    </xdr:from>
    <xdr:to>
      <xdr:col>19</xdr:col>
      <xdr:colOff>962025</xdr:colOff>
      <xdr:row>11</xdr:row>
      <xdr:rowOff>142875</xdr:rowOff>
    </xdr:to>
    <xdr:graphicFrame macro="">
      <xdr:nvGraphicFramePr>
        <xdr:cNvPr id="17507" name="Chart 5">
          <a:extLst>
            <a:ext uri="{FF2B5EF4-FFF2-40B4-BE49-F238E27FC236}">
              <a16:creationId xmlns:a16="http://schemas.microsoft.com/office/drawing/2014/main" id="{00000000-0008-0000-0000-000063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9525</xdr:colOff>
      <xdr:row>12</xdr:row>
      <xdr:rowOff>133350</xdr:rowOff>
    </xdr:from>
    <xdr:to>
      <xdr:col>20</xdr:col>
      <xdr:colOff>0</xdr:colOff>
      <xdr:row>24</xdr:row>
      <xdr:rowOff>190500</xdr:rowOff>
    </xdr:to>
    <xdr:graphicFrame macro="">
      <xdr:nvGraphicFramePr>
        <xdr:cNvPr id="17508" name="Chart 7">
          <a:extLst>
            <a:ext uri="{FF2B5EF4-FFF2-40B4-BE49-F238E27FC236}">
              <a16:creationId xmlns:a16="http://schemas.microsoft.com/office/drawing/2014/main" id="{00000000-0008-0000-0000-000064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12</xdr:row>
      <xdr:rowOff>190500</xdr:rowOff>
    </xdr:from>
    <xdr:to>
      <xdr:col>14</xdr:col>
      <xdr:colOff>962025</xdr:colOff>
      <xdr:row>24</xdr:row>
      <xdr:rowOff>180975</xdr:rowOff>
    </xdr:to>
    <xdr:graphicFrame macro="">
      <xdr:nvGraphicFramePr>
        <xdr:cNvPr id="17509" name="Chart 8">
          <a:extLst>
            <a:ext uri="{FF2B5EF4-FFF2-40B4-BE49-F238E27FC236}">
              <a16:creationId xmlns:a16="http://schemas.microsoft.com/office/drawing/2014/main" id="{00000000-0008-0000-0000-000065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452437</xdr:colOff>
      <xdr:row>3</xdr:row>
      <xdr:rowOff>1071562</xdr:rowOff>
    </xdr:from>
    <xdr:to>
      <xdr:col>22</xdr:col>
      <xdr:colOff>625737</xdr:colOff>
      <xdr:row>16</xdr:row>
      <xdr:rowOff>35718</xdr:rowOff>
    </xdr:to>
    <xdr:sp macro="" textlink="">
      <xdr:nvSpPr>
        <xdr:cNvPr id="8" name="Oval Callou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5966281" y="1607343"/>
          <a:ext cx="1792550" cy="2190750"/>
        </a:xfrm>
        <a:prstGeom prst="wedgeEllipseCallout">
          <a:avLst>
            <a:gd name="adj1" fmla="val -166660"/>
            <a:gd name="adj2" fmla="val 6643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631031</xdr:colOff>
      <xdr:row>32</xdr:row>
      <xdr:rowOff>11905</xdr:rowOff>
    </xdr:from>
    <xdr:to>
      <xdr:col>14</xdr:col>
      <xdr:colOff>700088</xdr:colOff>
      <xdr:row>39</xdr:row>
      <xdr:rowOff>69848</xdr:rowOff>
    </xdr:to>
    <xdr:sp macro="" textlink="">
      <xdr:nvSpPr>
        <xdr:cNvPr id="9" name="Oval Callou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179594" y="6441280"/>
          <a:ext cx="2997994" cy="1224756"/>
        </a:xfrm>
        <a:prstGeom prst="wedgeEllipseCallout">
          <a:avLst>
            <a:gd name="adj1" fmla="val -72883"/>
            <a:gd name="adj2" fmla="val 176073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Choose a tab below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to see addtional long term trend data for all 50 states and DC.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476247</xdr:colOff>
      <xdr:row>3</xdr:row>
      <xdr:rowOff>47624</xdr:rowOff>
    </xdr:from>
    <xdr:to>
      <xdr:col>38</xdr:col>
      <xdr:colOff>4917279</xdr:colOff>
      <xdr:row>12</xdr:row>
      <xdr:rowOff>19049</xdr:rowOff>
    </xdr:to>
    <xdr:graphicFrame macro="">
      <xdr:nvGraphicFramePr>
        <xdr:cNvPr id="18506" name="Chart 1">
          <a:extLst>
            <a:ext uri="{FF2B5EF4-FFF2-40B4-BE49-F238E27FC236}">
              <a16:creationId xmlns:a16="http://schemas.microsoft.com/office/drawing/2014/main" id="{00000000-0008-0000-0100-00004A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452438</xdr:colOff>
      <xdr:row>12</xdr:row>
      <xdr:rowOff>78581</xdr:rowOff>
    </xdr:from>
    <xdr:to>
      <xdr:col>38</xdr:col>
      <xdr:colOff>4905375</xdr:colOff>
      <xdr:row>24</xdr:row>
      <xdr:rowOff>71437</xdr:rowOff>
    </xdr:to>
    <xdr:graphicFrame macro="">
      <xdr:nvGraphicFramePr>
        <xdr:cNvPr id="18507" name="Chart 8">
          <a:extLst>
            <a:ext uri="{FF2B5EF4-FFF2-40B4-BE49-F238E27FC236}">
              <a16:creationId xmlns:a16="http://schemas.microsoft.com/office/drawing/2014/main" id="{00000000-0008-0000-0100-00004B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440530</xdr:colOff>
      <xdr:row>24</xdr:row>
      <xdr:rowOff>119063</xdr:rowOff>
    </xdr:from>
    <xdr:to>
      <xdr:col>38</xdr:col>
      <xdr:colOff>4893468</xdr:colOff>
      <xdr:row>37</xdr:row>
      <xdr:rowOff>124355</xdr:rowOff>
    </xdr:to>
    <xdr:graphicFrame macro="">
      <xdr:nvGraphicFramePr>
        <xdr:cNvPr id="18508" name="Chart 8">
          <a:extLst>
            <a:ext uri="{FF2B5EF4-FFF2-40B4-BE49-F238E27FC236}">
              <a16:creationId xmlns:a16="http://schemas.microsoft.com/office/drawing/2014/main" id="{00000000-0008-0000-0100-00004C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5893592</xdr:colOff>
      <xdr:row>3</xdr:row>
      <xdr:rowOff>57150</xdr:rowOff>
    </xdr:from>
    <xdr:to>
      <xdr:col>48</xdr:col>
      <xdr:colOff>690561</xdr:colOff>
      <xdr:row>12</xdr:row>
      <xdr:rowOff>19050</xdr:rowOff>
    </xdr:to>
    <xdr:graphicFrame macro="">
      <xdr:nvGraphicFramePr>
        <xdr:cNvPr id="18510" name="Chart 5">
          <a:extLst>
            <a:ext uri="{FF2B5EF4-FFF2-40B4-BE49-F238E27FC236}">
              <a16:creationId xmlns:a16="http://schemas.microsoft.com/office/drawing/2014/main" id="{00000000-0008-0000-0100-00004E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</xdr:col>
      <xdr:colOff>5893592</xdr:colOff>
      <xdr:row>12</xdr:row>
      <xdr:rowOff>114300</xdr:rowOff>
    </xdr:from>
    <xdr:to>
      <xdr:col>49</xdr:col>
      <xdr:colOff>95249</xdr:colOff>
      <xdr:row>24</xdr:row>
      <xdr:rowOff>11906</xdr:rowOff>
    </xdr:to>
    <xdr:graphicFrame macro="">
      <xdr:nvGraphicFramePr>
        <xdr:cNvPr id="18511" name="Chart 8">
          <a:extLst>
            <a:ext uri="{FF2B5EF4-FFF2-40B4-BE49-F238E27FC236}">
              <a16:creationId xmlns:a16="http://schemas.microsoft.com/office/drawing/2014/main" id="{00000000-0008-0000-0100-00004F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38</xdr:col>
      <xdr:colOff>5869781</xdr:colOff>
      <xdr:row>24</xdr:row>
      <xdr:rowOff>83343</xdr:rowOff>
    </xdr:from>
    <xdr:to>
      <xdr:col>49</xdr:col>
      <xdr:colOff>154781</xdr:colOff>
      <xdr:row>37</xdr:row>
      <xdr:rowOff>128323</xdr:rowOff>
    </xdr:to>
    <xdr:graphicFrame macro="">
      <xdr:nvGraphicFramePr>
        <xdr:cNvPr id="18512" name="Chart 8">
          <a:extLst>
            <a:ext uri="{FF2B5EF4-FFF2-40B4-BE49-F238E27FC236}">
              <a16:creationId xmlns:a16="http://schemas.microsoft.com/office/drawing/2014/main" id="{00000000-0008-0000-0100-000050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37</xdr:col>
      <xdr:colOff>241034</xdr:colOff>
      <xdr:row>39</xdr:row>
      <xdr:rowOff>100543</xdr:rowOff>
    </xdr:from>
    <xdr:to>
      <xdr:col>38</xdr:col>
      <xdr:colOff>1202529</xdr:colOff>
      <xdr:row>48</xdr:row>
      <xdr:rowOff>80699</xdr:rowOff>
    </xdr:to>
    <xdr:sp macro="" textlink="">
      <xdr:nvSpPr>
        <xdr:cNvPr id="9" name="Oval Callou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3243909" y="7589574"/>
          <a:ext cx="1937808" cy="1539875"/>
        </a:xfrm>
        <a:prstGeom prst="wedgeEllipseCallout">
          <a:avLst>
            <a:gd name="adj1" fmla="val -1997"/>
            <a:gd name="adj2" fmla="val 116715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Choose a tab below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to see additional long term trend data for all 50 states and DC.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50</xdr:col>
      <xdr:colOff>476251</xdr:colOff>
      <xdr:row>20</xdr:row>
      <xdr:rowOff>11905</xdr:rowOff>
    </xdr:from>
    <xdr:to>
      <xdr:col>53</xdr:col>
      <xdr:colOff>19842</xdr:colOff>
      <xdr:row>34</xdr:row>
      <xdr:rowOff>38364</xdr:rowOff>
    </xdr:to>
    <xdr:sp macro="" textlink="">
      <xdr:nvSpPr>
        <xdr:cNvPr id="10" name="Oval Callou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504939" y="4274343"/>
          <a:ext cx="1793872" cy="2419615"/>
        </a:xfrm>
        <a:prstGeom prst="wedgeEllipseCallout">
          <a:avLst>
            <a:gd name="adj1" fmla="val -126143"/>
            <a:gd name="adj2" fmla="val 51502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1200150</xdr:colOff>
      <xdr:row>64</xdr:row>
      <xdr:rowOff>9525</xdr:rowOff>
    </xdr:from>
    <xdr:to>
      <xdr:col>6</xdr:col>
      <xdr:colOff>1152525</xdr:colOff>
      <xdr:row>79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1CCD0F-72A6-ADD6-0ABC-9F8B2129F2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bert Aycock" refreshedDate="45190.519764467594" createdVersion="8" refreshedVersion="8" minRefreshableVersion="3" recordCount="56" xr:uid="{7D0A2F7C-5C07-4DCE-B530-0EF56B1AF1A1}">
  <cacheSource type="worksheet">
    <worksheetSource ref="A1:I52" sheet="Sheet3"/>
  </cacheSource>
  <cacheFields count="9">
    <cacheField name="State/Region" numFmtId="0">
      <sharedItems count="56">
        <s v="50 states and D.C."/>
        <s v="SREB states"/>
        <s v="Alabama"/>
        <s v="Arkansas"/>
        <s v="Delaware"/>
        <s v="Florida"/>
        <s v="Georgia"/>
        <s v="Kentucky"/>
        <s v="Louisiana"/>
        <s v="Maryland"/>
        <s v="Mississippi"/>
        <s v="North Carolina"/>
        <s v="Oklahoma"/>
        <s v="South Carolina"/>
        <s v="Tennessee"/>
        <s v="Texas"/>
        <s v="Virginia"/>
        <s v="West Virginia"/>
        <s v="West"/>
        <s v="Alaska"/>
        <s v="Arizona"/>
        <s v="California"/>
        <s v="Colorado"/>
        <s v="Hawaii"/>
        <s v="Idaho"/>
        <s v="Montana"/>
        <s v="Nevada"/>
        <s v="New Mexico"/>
        <s v="Oregon"/>
        <s v="Utah"/>
        <s v="Washington"/>
        <s v="Wyoming"/>
        <s v="Midwest"/>
        <s v="Illinois"/>
        <s v="Indiana"/>
        <s v="Iowa"/>
        <s v="Kansas"/>
        <s v="Michigan"/>
        <s v="Minnesota"/>
        <s v="Missouri"/>
        <s v="Nebraska"/>
        <s v="North Dakota"/>
        <s v="Ohio"/>
        <s v="South Dakota"/>
        <s v="Wisconsin"/>
        <s v="Northeast"/>
        <s v="Connecticut"/>
        <s v="Maine"/>
        <s v="Massachusetts"/>
        <s v="New Hampshire"/>
        <s v="New Jersey"/>
        <s v="New York"/>
        <s v="Pennsylvania"/>
        <s v="Rhode Island"/>
        <s v="Vermont"/>
        <s v="District of Columbia"/>
      </sharedItems>
    </cacheField>
    <cacheField name="White" numFmtId="0">
      <sharedItems containsSemiMixedTypes="0" containsString="0" containsNumber="1" minValue="88.779596663714585" maxValue="99.427090221387573" count="56">
        <n v="94.037214946465724"/>
        <n v="92.825056754905219"/>
        <n v="90.023225328553949"/>
        <n v="91.47949911018334"/>
        <n v="94.39617231552252"/>
        <n v="94.370571585857036"/>
        <n v="92.183039835851915"/>
        <n v="88.779596663714585"/>
        <n v="90.306859684182072"/>
        <n v="95.053134269528101"/>
        <n v="89.928043857333861"/>
        <n v="93.110611916257298"/>
        <n v="91.496740201172059"/>
        <n v="92.441292547470283"/>
        <n v="91.374000002195686"/>
        <n v="94.976342111842044"/>
        <n v="93.973110789614594"/>
        <n v="88.855438272858365"/>
        <n v="95.56410112049241"/>
        <n v="96.290742922423334"/>
        <n v="95.281208425872052"/>
        <n v="95.5851762909504"/>
        <n v="96.854127513969587"/>
        <n v="97.22211627700014"/>
        <n v="94.143444752002353"/>
        <n v="95.451570582389905"/>
        <n v="94.425713462505527"/>
        <n v="95.734315669777928"/>
        <n v="94.904441034881387"/>
        <n v="96.008112302083077"/>
        <n v="95.545567482754734"/>
        <n v="95.41024957385811"/>
        <n v="94.140135875352243"/>
        <n v="94.785932660619977"/>
        <n v="92.34365761015259"/>
        <n v="95.30988752141073"/>
        <n v="95.048013108025359"/>
        <n v="93.58477587511527"/>
        <n v="96.59931628763259"/>
        <n v="92.750083113675757"/>
        <n v="95.80988260800693"/>
        <n v="94.977587165508922"/>
        <n v="93.040146882676169"/>
        <n v="94.614611976093343"/>
        <n v="95.342608162988839"/>
        <n v="94.554836646301737"/>
        <n v="94.934822088245724"/>
        <n v="94.675094034339054"/>
        <n v="94.98818625697632"/>
        <n v="95.022646972876771"/>
        <n v="95.28404515178886"/>
        <n v="94.378097278545383"/>
        <n v="94.082252484241451"/>
        <n v="93.330556649576707"/>
        <n v="94.800516486395452"/>
        <n v="99.427090221387573"/>
      </sharedItems>
    </cacheField>
    <cacheField name="Black" numFmtId="0">
      <sharedItems containsMixedTypes="1" containsNumber="1" minValue="70.291511860531585" maxValue="96.53722354895649" count="55">
        <n v="87.987663517261936"/>
        <n v="87.801541356036964"/>
        <n v="84.966699281990202"/>
        <n v="87.201048496577229"/>
        <n v="90.27837939299431"/>
        <n v="85.924219080467637"/>
        <n v="88.666596856115817"/>
        <n v="87.963137387097092"/>
        <n v="81.981261325932991"/>
        <n v="91.254221234996649"/>
        <n v="82.034295430040643"/>
        <n v="88.399550714416321"/>
        <n v="89.731256293845945"/>
        <n v="86.119539526183516"/>
        <n v="88.226683277648789"/>
        <n v="91.310528007267678"/>
        <n v="88.84692510868183"/>
        <n v="90.045248868778287"/>
        <n v="91.07667409538746"/>
        <n v="95.811803100353558"/>
        <n v="93.03734714112592"/>
        <n v="90.672262211479733"/>
        <n v="90.672863773046615"/>
        <n v="96.53722354895649"/>
        <n v="70.291511860531585"/>
        <s v="-"/>
        <n v="91.100539875478631"/>
        <n v="90.716690716690721"/>
        <n v="91.363681053977004"/>
        <n v="90.711145590897331"/>
        <n v="92.224081105178271"/>
        <n v="87.401959787548407"/>
        <n v="88.121106345059232"/>
        <n v="87.290667317570154"/>
        <n v="85.754271765663134"/>
        <n v="86.717474142623843"/>
        <n v="87.806600840082027"/>
        <n v="83.160662904973663"/>
        <n v="88.020795231161699"/>
        <n v="89.01391387349021"/>
        <n v="76.944374528064429"/>
        <n v="87.275379379746084"/>
        <n v="86.36363636363636"/>
        <n v="86.679855391709822"/>
        <n v="87.446557166947883"/>
        <n v="88.643001305948005"/>
        <n v="90.36999999999999"/>
        <n v="87.443529055906637"/>
        <n v="90.299697114618198"/>
        <n v="90.332669748566857"/>
        <n v="85.904298199196333"/>
        <n v="87.954933608148465"/>
        <n v="82.910111059694586"/>
        <n v="83.682795698924721"/>
        <n v="89.459322280907173"/>
      </sharedItems>
    </cacheField>
    <cacheField name="Hispanic" numFmtId="0">
      <sharedItems containsSemiMixedTypes="0" containsString="0" containsNumber="1" minValue="61.164487760431498" maxValue="94.669310626385155" count="56">
        <n v="72.392589877470215"/>
        <n v="73.258368980584194"/>
        <n v="67.465825817361889"/>
        <n v="61.164487760431498"/>
        <n v="66.557304530541529"/>
        <n v="81.821432383392036"/>
        <n v="68.32906504454283"/>
        <n v="69.850648470333041"/>
        <n v="75.138601946340003"/>
        <n v="68.40403057969651"/>
        <n v="66.315937713756895"/>
        <n v="64.469056557623105"/>
        <n v="66.321778490304652"/>
        <n v="68.572216192002202"/>
        <n v="67.214883738540692"/>
        <n v="70.43163978070487"/>
        <n v="76.142056525319887"/>
        <n v="83.142741826987759"/>
        <n v="70.363025048360413"/>
        <n v="88.204948236532715"/>
        <n v="74.090901937685615"/>
        <n v="68.138262644301975"/>
        <n v="76.358668586887759"/>
        <n v="93.504544417630171"/>
        <n v="68.867888666722422"/>
        <n v="83.663607569235765"/>
        <n v="68.950672350631407"/>
        <n v="80.222398974493615"/>
        <n v="72.049189395149895"/>
        <n v="76.909661530243099"/>
        <n v="72.058831556099761"/>
        <n v="76.848147503913722"/>
        <n v="73.529803777799145"/>
        <n v="71.912394014299764"/>
        <n v="75.41825260005055"/>
        <n v="70.290113902448709"/>
        <n v="70.096037907473601"/>
        <n v="77.76180711911654"/>
        <n v="72.224890471616334"/>
        <n v="78.481506315083678"/>
        <n v="65.327176347489214"/>
        <n v="82.216891185335555"/>
        <n v="80.543566530317605"/>
        <n v="76.686000227453661"/>
        <n v="72.323257346858426"/>
        <n v="74.771858778982107"/>
        <n v="74.786643377534247"/>
        <n v="91.749808135072911"/>
        <n v="72.447058642734191"/>
        <n v="84.895312547344176"/>
        <n v="77.257823074955894"/>
        <n v="73.554896446212609"/>
        <n v="76.146810712811941"/>
        <n v="70.696437268197656"/>
        <n v="94.669310626385155"/>
        <n v="79.626874922523854"/>
      </sharedItems>
    </cacheField>
    <cacheField name="Asian " numFmtId="0">
      <sharedItems containsMixedTypes="1" containsNumber="1" minValue="74.553233503373377" maxValue="94.071146245059296" count="54">
        <n v="87.777615929514894"/>
        <n v="88.203708073068668"/>
        <n v="86.418046946448541"/>
        <n v="85.329695615015439"/>
        <n v="91.41652960526315"/>
        <n v="86.953959678713801"/>
        <n v="88.013084375440187"/>
        <n v="82.195683658206505"/>
        <n v="77.365857029333512"/>
        <n v="89.438042912339355"/>
        <n v="83.6289602855868"/>
        <n v="87.812247911510951"/>
        <n v="82.266056946192705"/>
        <n v="87.977868879778683"/>
        <n v="86.954569177924242"/>
        <n v="88.598017676369039"/>
        <n v="91.690708227138089"/>
        <n v="89.329209356272955"/>
        <n v="88.867301880455329"/>
        <n v="87.088591932689923"/>
        <n v="91.291701060741332"/>
        <n v="88.634414619119482"/>
        <n v="85.808580858085804"/>
        <n v="90.471253203515374"/>
        <n v="85.853072808645351"/>
        <n v="87.60304375396322"/>
        <n v="89.440967161107778"/>
        <n v="89.991483839571757"/>
        <n v="87.679599247872076"/>
        <n v="88.427006009190521"/>
        <n v="89.777317413644596"/>
        <s v="-"/>
        <n v="87.838019138830049"/>
        <n v="91.447681655738933"/>
        <n v="80.005868425845364"/>
        <n v="77.01173644619567"/>
        <n v="87.454225108823323"/>
        <n v="90.268102461038453"/>
        <n v="84.803226088095343"/>
        <n v="90.10873942811115"/>
        <n v="74.553233503373377"/>
        <n v="86.493729617398643"/>
        <n v="86.992498718725258"/>
        <n v="84.758836958756945"/>
        <n v="90.373237395352007"/>
        <n v="92.504820051413887"/>
        <n v="85.604306535626819"/>
        <n v="89.465384615384608"/>
        <n v="92.99589069676729"/>
        <n v="79.796983437996047"/>
        <n v="83.375286356142936"/>
        <n v="86.3507718696398"/>
        <n v="83.523965141612194"/>
        <n v="94.071146245059296"/>
      </sharedItems>
    </cacheField>
    <cacheField name="NHPI" numFmtId="0">
      <sharedItems containsMixedTypes="1" containsNumber="1" minValue="0" maxValue="95.565749235474001" count="14">
        <n v="86.659513021438656"/>
        <n v="83.988903904971906"/>
        <s v="-"/>
        <n v="95.565749235474001"/>
        <n v="0"/>
        <n v="90.11110464778082"/>
        <n v="86.922127291993803"/>
        <n v="90.7952964976609"/>
        <n v="85.644184790991829"/>
        <n v="90.564474145532969"/>
        <n v="92.133037078183591"/>
        <n v="84.753913844264815"/>
        <n v="92.699748670290489"/>
        <n v="88.67582890557749"/>
      </sharedItems>
    </cacheField>
    <cacheField name="AIAN" numFmtId="0">
      <sharedItems containsMixedTypes="1" containsNumber="1" minValue="0" maxValue="86.817367949865712" count="49">
        <n v="77.137214654952444"/>
        <n v="75.707447223267536"/>
        <n v="78.615695740100463"/>
        <n v="73.347287633001926"/>
        <s v="-"/>
        <n v="74.514441664771439"/>
        <n v="59.135102288839377"/>
        <n v="0"/>
        <n v="69.4963393082555"/>
        <n v="73.505754238336834"/>
        <n v="80.461265523358961"/>
        <n v="74.587428631019108"/>
        <n v="86.659875442780077"/>
        <n v="64.348468675589132"/>
        <n v="79.076896874733876"/>
        <n v="71.532307186903282"/>
        <n v="77.260959234718513"/>
        <n v="77.690614494178178"/>
        <n v="85.331305744455449"/>
        <n v="81.605637586897871"/>
        <n v="70.462685246753097"/>
        <n v="81.341799448903799"/>
        <n v="86.817367949865712"/>
        <n v="81.997337654821152"/>
        <n v="72.996963326325627"/>
        <n v="83.071709303146548"/>
        <n v="79.767832167832168"/>
        <n v="78.366089021371181"/>
        <n v="82.659343212252949"/>
        <n v="82.920920574493863"/>
        <n v="80.54368392983686"/>
        <n v="71.502897913119995"/>
        <n v="84.028110525475171"/>
        <n v="84.352603917821313"/>
        <n v="81.515697173725826"/>
        <n v="83.242894435807941"/>
        <n v="84.545741657016521"/>
        <n v="81.276088252832437"/>
        <n v="75.785009379332848"/>
        <n v="83.581278110018289"/>
        <n v="74.961203697456313"/>
        <n v="83.362383572089982"/>
        <n v="85.761601324837102"/>
        <n v="72.575909587181684"/>
        <n v="74.267589388696649"/>
        <n v="76.533431571191741"/>
        <n v="74.08145017070396"/>
        <n v="70.696138677428237"/>
        <n v="75.806131232205516"/>
      </sharedItems>
    </cacheField>
    <cacheField name="Two or more Races" numFmtId="0">
      <sharedItems containsSemiMixedTypes="0" containsString="0" containsNumber="1" minValue="73.919014791778196" maxValue="95.472300159542272"/>
    </cacheField>
    <cacheField name="Other" numFmtId="0">
      <sharedItems containsMixedTypes="1" containsNumber="1" minValue="0" maxValue="91.869699097833717" count="53">
        <n v="66.97266315199353"/>
        <n v="66.474975890384741"/>
        <n v="61.6690510252742"/>
        <n v="57.327612626417412"/>
        <n v="55.619307179229715"/>
        <n v="77.774273299451892"/>
        <n v="62.736898260334918"/>
        <n v="66.880501268088906"/>
        <n v="66.784317657675729"/>
        <n v="60.471726904128701"/>
        <n v="65.190676890265578"/>
        <n v="57.869427345644468"/>
        <n v="63.260154228730755"/>
        <n v="67.319960702871427"/>
        <n v="60.674656977059492"/>
        <n v="63.964815885763137"/>
        <n v="70.143543075492104"/>
        <n v="0"/>
        <n v="65.47923343522784"/>
        <n v="82.999436801029844"/>
        <n v="72.885976022016322"/>
        <n v="64.020519219765021"/>
        <n v="71.025269171610645"/>
        <n v="91.869699097833717"/>
        <n v="67.071661961107765"/>
        <n v="81.807967313585294"/>
        <n v="62.346508294081502"/>
        <n v="75.523391577421691"/>
        <n v="66.259956919607362"/>
        <n v="72.553063583815032"/>
        <n v="66.067970137499302"/>
        <n v="68.868932042503957"/>
        <n v="67.56980632984201"/>
        <n v="71.512056393226572"/>
        <n v="64.057629338572369"/>
        <n v="63.30084633510409"/>
        <n v="73.201020549847257"/>
        <n v="69.767817950791269"/>
        <n v="76.317469079367271"/>
        <n v="61.515066065098289"/>
        <n v="75.237074738815963"/>
        <n v="69.060467690604682"/>
        <n v="71.228109148802261"/>
        <n v="70.379333524686828"/>
        <n v="70.544648813494717"/>
        <n v="70.998657308023184"/>
        <n v="82.020111061083597"/>
        <n v="73.103688599532845"/>
        <n v="69.315234458220274"/>
        <n v="71.722882754163052"/>
        <n v="64.714574451823296"/>
        <s v="-"/>
        <n v="61.8263473053892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">
  <r>
    <x v="0"/>
    <x v="0"/>
    <x v="0"/>
    <x v="0"/>
    <x v="0"/>
    <x v="0"/>
    <x v="0"/>
    <n v="80.583263454237525"/>
    <x v="0"/>
  </r>
  <r>
    <x v="1"/>
    <x v="1"/>
    <x v="1"/>
    <x v="1"/>
    <x v="1"/>
    <x v="1"/>
    <x v="1"/>
    <n v="79.881382325296897"/>
    <x v="1"/>
  </r>
  <r>
    <x v="2"/>
    <x v="2"/>
    <x v="2"/>
    <x v="2"/>
    <x v="2"/>
    <x v="2"/>
    <x v="2"/>
    <n v="84.395263815126299"/>
    <x v="2"/>
  </r>
  <r>
    <x v="3"/>
    <x v="3"/>
    <x v="3"/>
    <x v="3"/>
    <x v="3"/>
    <x v="2"/>
    <x v="3"/>
    <n v="80.145711597504203"/>
    <x v="3"/>
  </r>
  <r>
    <x v="4"/>
    <x v="4"/>
    <x v="4"/>
    <x v="4"/>
    <x v="4"/>
    <x v="2"/>
    <x v="4"/>
    <n v="86.993139841688645"/>
    <x v="4"/>
  </r>
  <r>
    <x v="5"/>
    <x v="5"/>
    <x v="5"/>
    <x v="5"/>
    <x v="5"/>
    <x v="3"/>
    <x v="5"/>
    <n v="84.507539419029143"/>
    <x v="5"/>
  </r>
  <r>
    <x v="6"/>
    <x v="6"/>
    <x v="6"/>
    <x v="6"/>
    <x v="6"/>
    <x v="2"/>
    <x v="6"/>
    <n v="81.333458379560525"/>
    <x v="6"/>
  </r>
  <r>
    <x v="7"/>
    <x v="7"/>
    <x v="7"/>
    <x v="7"/>
    <x v="7"/>
    <x v="2"/>
    <x v="7"/>
    <n v="81.62681070788679"/>
    <x v="7"/>
  </r>
  <r>
    <x v="8"/>
    <x v="8"/>
    <x v="8"/>
    <x v="8"/>
    <x v="8"/>
    <x v="2"/>
    <x v="8"/>
    <n v="82.315391378708142"/>
    <x v="8"/>
  </r>
  <r>
    <x v="9"/>
    <x v="9"/>
    <x v="9"/>
    <x v="9"/>
    <x v="9"/>
    <x v="2"/>
    <x v="9"/>
    <n v="87.661457000194844"/>
    <x v="9"/>
  </r>
  <r>
    <x v="10"/>
    <x v="10"/>
    <x v="10"/>
    <x v="10"/>
    <x v="10"/>
    <x v="2"/>
    <x v="10"/>
    <n v="83.478878587088317"/>
    <x v="10"/>
  </r>
  <r>
    <x v="11"/>
    <x v="11"/>
    <x v="11"/>
    <x v="11"/>
    <x v="11"/>
    <x v="2"/>
    <x v="11"/>
    <n v="82.358727359066549"/>
    <x v="11"/>
  </r>
  <r>
    <x v="12"/>
    <x v="12"/>
    <x v="12"/>
    <x v="12"/>
    <x v="12"/>
    <x v="4"/>
    <x v="12"/>
    <n v="83.561026550698102"/>
    <x v="12"/>
  </r>
  <r>
    <x v="13"/>
    <x v="13"/>
    <x v="13"/>
    <x v="13"/>
    <x v="13"/>
    <x v="2"/>
    <x v="13"/>
    <n v="81.007834491333711"/>
    <x v="13"/>
  </r>
  <r>
    <x v="14"/>
    <x v="14"/>
    <x v="14"/>
    <x v="14"/>
    <x v="14"/>
    <x v="2"/>
    <x v="14"/>
    <n v="83.932042060499342"/>
    <x v="14"/>
  </r>
  <r>
    <x v="15"/>
    <x v="15"/>
    <x v="15"/>
    <x v="15"/>
    <x v="15"/>
    <x v="5"/>
    <x v="15"/>
    <n v="73.919014791778196"/>
    <x v="15"/>
  </r>
  <r>
    <x v="16"/>
    <x v="16"/>
    <x v="16"/>
    <x v="16"/>
    <x v="16"/>
    <x v="2"/>
    <x v="16"/>
    <n v="86.349290643859206"/>
    <x v="16"/>
  </r>
  <r>
    <x v="17"/>
    <x v="17"/>
    <x v="17"/>
    <x v="17"/>
    <x v="17"/>
    <x v="2"/>
    <x v="4"/>
    <n v="89.253664036076657"/>
    <x v="17"/>
  </r>
  <r>
    <x v="18"/>
    <x v="18"/>
    <x v="18"/>
    <x v="18"/>
    <x v="18"/>
    <x v="6"/>
    <x v="17"/>
    <n v="79.014830462467685"/>
    <x v="18"/>
  </r>
  <r>
    <x v="19"/>
    <x v="19"/>
    <x v="19"/>
    <x v="19"/>
    <x v="19"/>
    <x v="2"/>
    <x v="18"/>
    <n v="90.234039432606281"/>
    <x v="19"/>
  </r>
  <r>
    <x v="20"/>
    <x v="20"/>
    <x v="20"/>
    <x v="20"/>
    <x v="20"/>
    <x v="7"/>
    <x v="19"/>
    <n v="77.18590462265378"/>
    <x v="20"/>
  </r>
  <r>
    <x v="21"/>
    <x v="21"/>
    <x v="21"/>
    <x v="21"/>
    <x v="21"/>
    <x v="8"/>
    <x v="20"/>
    <n v="76.059370016655038"/>
    <x v="21"/>
  </r>
  <r>
    <x v="22"/>
    <x v="22"/>
    <x v="22"/>
    <x v="22"/>
    <x v="22"/>
    <x v="4"/>
    <x v="21"/>
    <n v="83.406836744152514"/>
    <x v="22"/>
  </r>
  <r>
    <x v="23"/>
    <x v="23"/>
    <x v="23"/>
    <x v="23"/>
    <x v="23"/>
    <x v="9"/>
    <x v="4"/>
    <n v="94.024282102562168"/>
    <x v="23"/>
  </r>
  <r>
    <x v="24"/>
    <x v="24"/>
    <x v="24"/>
    <x v="24"/>
    <x v="24"/>
    <x v="2"/>
    <x v="22"/>
    <n v="81.501073900246595"/>
    <x v="24"/>
  </r>
  <r>
    <x v="25"/>
    <x v="25"/>
    <x v="25"/>
    <x v="25"/>
    <x v="25"/>
    <x v="2"/>
    <x v="23"/>
    <n v="91.910039438869745"/>
    <x v="25"/>
  </r>
  <r>
    <x v="26"/>
    <x v="26"/>
    <x v="26"/>
    <x v="26"/>
    <x v="26"/>
    <x v="10"/>
    <x v="24"/>
    <n v="79.26075916819336"/>
    <x v="26"/>
  </r>
  <r>
    <x v="27"/>
    <x v="27"/>
    <x v="27"/>
    <x v="27"/>
    <x v="27"/>
    <x v="2"/>
    <x v="25"/>
    <n v="81.926117171693775"/>
    <x v="27"/>
  </r>
  <r>
    <x v="28"/>
    <x v="28"/>
    <x v="28"/>
    <x v="28"/>
    <x v="28"/>
    <x v="11"/>
    <x v="26"/>
    <n v="85.12846561761485"/>
    <x v="28"/>
  </r>
  <r>
    <x v="29"/>
    <x v="29"/>
    <x v="29"/>
    <x v="29"/>
    <x v="29"/>
    <x v="12"/>
    <x v="27"/>
    <n v="85.415453438509175"/>
    <x v="29"/>
  </r>
  <r>
    <x v="30"/>
    <x v="30"/>
    <x v="30"/>
    <x v="30"/>
    <x v="30"/>
    <x v="13"/>
    <x v="28"/>
    <n v="86.342563435792215"/>
    <x v="30"/>
  </r>
  <r>
    <x v="31"/>
    <x v="31"/>
    <x v="25"/>
    <x v="31"/>
    <x v="31"/>
    <x v="2"/>
    <x v="29"/>
    <n v="86.367542791663681"/>
    <x v="17"/>
  </r>
  <r>
    <x v="32"/>
    <x v="32"/>
    <x v="31"/>
    <x v="32"/>
    <x v="32"/>
    <x v="2"/>
    <x v="30"/>
    <n v="84.072740312409948"/>
    <x v="31"/>
  </r>
  <r>
    <x v="33"/>
    <x v="33"/>
    <x v="32"/>
    <x v="33"/>
    <x v="33"/>
    <x v="2"/>
    <x v="31"/>
    <n v="79.332860258319755"/>
    <x v="32"/>
  </r>
  <r>
    <x v="34"/>
    <x v="34"/>
    <x v="33"/>
    <x v="34"/>
    <x v="34"/>
    <x v="2"/>
    <x v="32"/>
    <n v="85.42984972814638"/>
    <x v="33"/>
  </r>
  <r>
    <x v="35"/>
    <x v="35"/>
    <x v="34"/>
    <x v="35"/>
    <x v="35"/>
    <x v="2"/>
    <x v="33"/>
    <n v="83.612586431506159"/>
    <x v="34"/>
  </r>
  <r>
    <x v="36"/>
    <x v="36"/>
    <x v="35"/>
    <x v="36"/>
    <x v="36"/>
    <x v="2"/>
    <x v="34"/>
    <n v="83.350781124174588"/>
    <x v="35"/>
  </r>
  <r>
    <x v="37"/>
    <x v="37"/>
    <x v="36"/>
    <x v="37"/>
    <x v="37"/>
    <x v="2"/>
    <x v="35"/>
    <n v="86.675686754516974"/>
    <x v="36"/>
  </r>
  <r>
    <x v="38"/>
    <x v="38"/>
    <x v="37"/>
    <x v="38"/>
    <x v="38"/>
    <x v="2"/>
    <x v="36"/>
    <n v="87.652199609274533"/>
    <x v="37"/>
  </r>
  <r>
    <x v="39"/>
    <x v="39"/>
    <x v="38"/>
    <x v="39"/>
    <x v="39"/>
    <x v="2"/>
    <x v="37"/>
    <n v="87.085483970470307"/>
    <x v="38"/>
  </r>
  <r>
    <x v="40"/>
    <x v="40"/>
    <x v="39"/>
    <x v="40"/>
    <x v="40"/>
    <x v="2"/>
    <x v="38"/>
    <n v="78.239596779150531"/>
    <x v="39"/>
  </r>
  <r>
    <x v="41"/>
    <x v="41"/>
    <x v="40"/>
    <x v="41"/>
    <x v="31"/>
    <x v="2"/>
    <x v="39"/>
    <n v="91.334708032617868"/>
    <x v="17"/>
  </r>
  <r>
    <x v="42"/>
    <x v="42"/>
    <x v="41"/>
    <x v="42"/>
    <x v="41"/>
    <x v="2"/>
    <x v="40"/>
    <n v="88.608721287178255"/>
    <x v="40"/>
  </r>
  <r>
    <x v="43"/>
    <x v="43"/>
    <x v="42"/>
    <x v="43"/>
    <x v="31"/>
    <x v="2"/>
    <x v="41"/>
    <n v="91.376162018592296"/>
    <x v="41"/>
  </r>
  <r>
    <x v="44"/>
    <x v="44"/>
    <x v="43"/>
    <x v="44"/>
    <x v="42"/>
    <x v="2"/>
    <x v="42"/>
    <n v="82.382689820801772"/>
    <x v="42"/>
  </r>
  <r>
    <x v="45"/>
    <x v="45"/>
    <x v="44"/>
    <x v="45"/>
    <x v="43"/>
    <x v="2"/>
    <x v="43"/>
    <n v="83.281765949524072"/>
    <x v="43"/>
  </r>
  <r>
    <x v="46"/>
    <x v="46"/>
    <x v="45"/>
    <x v="46"/>
    <x v="44"/>
    <x v="2"/>
    <x v="44"/>
    <n v="84.016108751659687"/>
    <x v="44"/>
  </r>
  <r>
    <x v="47"/>
    <x v="47"/>
    <x v="46"/>
    <x v="47"/>
    <x v="45"/>
    <x v="2"/>
    <x v="4"/>
    <n v="94.029140905356911"/>
    <x v="17"/>
  </r>
  <r>
    <x v="48"/>
    <x v="48"/>
    <x v="47"/>
    <x v="48"/>
    <x v="46"/>
    <x v="2"/>
    <x v="45"/>
    <n v="79.701562190099523"/>
    <x v="45"/>
  </r>
  <r>
    <x v="49"/>
    <x v="49"/>
    <x v="48"/>
    <x v="49"/>
    <x v="47"/>
    <x v="2"/>
    <x v="4"/>
    <n v="91.635374034850841"/>
    <x v="46"/>
  </r>
  <r>
    <x v="50"/>
    <x v="50"/>
    <x v="49"/>
    <x v="50"/>
    <x v="48"/>
    <x v="2"/>
    <x v="46"/>
    <n v="84.328990668529954"/>
    <x v="47"/>
  </r>
  <r>
    <x v="51"/>
    <x v="51"/>
    <x v="50"/>
    <x v="51"/>
    <x v="49"/>
    <x v="2"/>
    <x v="47"/>
    <n v="81.929931867451216"/>
    <x v="48"/>
  </r>
  <r>
    <x v="52"/>
    <x v="52"/>
    <x v="51"/>
    <x v="52"/>
    <x v="50"/>
    <x v="2"/>
    <x v="48"/>
    <n v="86.619892330773979"/>
    <x v="49"/>
  </r>
  <r>
    <x v="53"/>
    <x v="53"/>
    <x v="52"/>
    <x v="53"/>
    <x v="51"/>
    <x v="2"/>
    <x v="4"/>
    <n v="80.318163963862858"/>
    <x v="50"/>
  </r>
  <r>
    <x v="54"/>
    <x v="54"/>
    <x v="53"/>
    <x v="54"/>
    <x v="52"/>
    <x v="2"/>
    <x v="4"/>
    <n v="95.472300159542272"/>
    <x v="51"/>
  </r>
  <r>
    <x v="55"/>
    <x v="55"/>
    <x v="54"/>
    <x v="55"/>
    <x v="53"/>
    <x v="2"/>
    <x v="4"/>
    <n v="93.180486375622621"/>
    <x v="5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88E0280-A66C-41E3-965D-914059A362D5}" name="PivotTable3" cacheId="152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A56:H57" firstHeaderRow="0" firstDataRow="1" firstDataCol="0" rowPageCount="1" colPageCount="1"/>
  <pivotFields count="9">
    <pivotField axis="axisPage" showAll="0">
      <items count="57">
        <item x="0"/>
        <item x="2"/>
        <item x="19"/>
        <item x="20"/>
        <item x="3"/>
        <item x="21"/>
        <item x="22"/>
        <item x="46"/>
        <item x="4"/>
        <item x="55"/>
        <item x="5"/>
        <item x="6"/>
        <item x="23"/>
        <item x="24"/>
        <item x="33"/>
        <item x="34"/>
        <item x="35"/>
        <item x="36"/>
        <item x="7"/>
        <item x="8"/>
        <item x="47"/>
        <item x="9"/>
        <item x="48"/>
        <item x="37"/>
        <item x="32"/>
        <item x="38"/>
        <item x="10"/>
        <item x="39"/>
        <item x="25"/>
        <item x="40"/>
        <item x="26"/>
        <item x="49"/>
        <item x="50"/>
        <item x="27"/>
        <item x="51"/>
        <item x="11"/>
        <item x="41"/>
        <item x="45"/>
        <item x="42"/>
        <item x="12"/>
        <item x="28"/>
        <item x="52"/>
        <item x="53"/>
        <item x="13"/>
        <item x="43"/>
        <item x="1"/>
        <item x="14"/>
        <item x="15"/>
        <item x="29"/>
        <item x="54"/>
        <item x="16"/>
        <item x="30"/>
        <item x="18"/>
        <item x="17"/>
        <item x="44"/>
        <item x="31"/>
        <item t="default"/>
      </items>
    </pivotField>
    <pivotField dataField="1" showAll="0">
      <items count="57">
        <item x="7"/>
        <item x="17"/>
        <item x="10"/>
        <item x="2"/>
        <item x="8"/>
        <item x="14"/>
        <item x="3"/>
        <item x="12"/>
        <item x="6"/>
        <item x="34"/>
        <item x="13"/>
        <item x="39"/>
        <item x="1"/>
        <item x="42"/>
        <item x="11"/>
        <item x="53"/>
        <item x="37"/>
        <item x="16"/>
        <item x="0"/>
        <item x="52"/>
        <item x="32"/>
        <item x="24"/>
        <item x="5"/>
        <item x="51"/>
        <item x="4"/>
        <item x="26"/>
        <item x="45"/>
        <item x="43"/>
        <item x="47"/>
        <item x="33"/>
        <item x="54"/>
        <item x="28"/>
        <item x="46"/>
        <item x="15"/>
        <item x="41"/>
        <item x="48"/>
        <item x="49"/>
        <item x="36"/>
        <item x="9"/>
        <item x="20"/>
        <item x="50"/>
        <item x="35"/>
        <item x="44"/>
        <item x="31"/>
        <item x="25"/>
        <item x="30"/>
        <item x="18"/>
        <item x="21"/>
        <item x="27"/>
        <item x="40"/>
        <item x="29"/>
        <item x="19"/>
        <item x="38"/>
        <item x="22"/>
        <item x="23"/>
        <item x="55"/>
        <item t="default"/>
      </items>
    </pivotField>
    <pivotField dataField="1" showAll="0">
      <items count="56">
        <item x="24"/>
        <item x="40"/>
        <item x="8"/>
        <item x="10"/>
        <item x="52"/>
        <item x="37"/>
        <item x="53"/>
        <item x="2"/>
        <item x="34"/>
        <item x="50"/>
        <item x="5"/>
        <item x="13"/>
        <item x="42"/>
        <item x="43"/>
        <item x="35"/>
        <item x="3"/>
        <item x="41"/>
        <item x="33"/>
        <item x="31"/>
        <item x="47"/>
        <item x="44"/>
        <item x="1"/>
        <item x="36"/>
        <item x="51"/>
        <item x="7"/>
        <item x="0"/>
        <item x="38"/>
        <item x="32"/>
        <item x="14"/>
        <item x="11"/>
        <item x="45"/>
        <item x="6"/>
        <item x="16"/>
        <item x="39"/>
        <item x="54"/>
        <item x="12"/>
        <item x="17"/>
        <item x="4"/>
        <item x="48"/>
        <item x="49"/>
        <item x="46"/>
        <item x="21"/>
        <item x="22"/>
        <item x="29"/>
        <item x="27"/>
        <item x="18"/>
        <item x="26"/>
        <item x="9"/>
        <item x="15"/>
        <item x="28"/>
        <item x="30"/>
        <item x="20"/>
        <item x="19"/>
        <item x="23"/>
        <item x="25"/>
        <item t="default"/>
      </items>
    </pivotField>
    <pivotField dataField="1" showAll="0">
      <items count="57">
        <item x="3"/>
        <item x="11"/>
        <item x="40"/>
        <item x="10"/>
        <item x="12"/>
        <item x="4"/>
        <item x="14"/>
        <item x="2"/>
        <item x="21"/>
        <item x="6"/>
        <item x="9"/>
        <item x="13"/>
        <item x="24"/>
        <item x="26"/>
        <item x="7"/>
        <item x="36"/>
        <item x="35"/>
        <item x="18"/>
        <item x="15"/>
        <item x="53"/>
        <item x="33"/>
        <item x="28"/>
        <item x="30"/>
        <item x="38"/>
        <item x="44"/>
        <item x="0"/>
        <item x="48"/>
        <item x="1"/>
        <item x="32"/>
        <item x="51"/>
        <item x="20"/>
        <item x="45"/>
        <item x="46"/>
        <item x="8"/>
        <item x="34"/>
        <item x="16"/>
        <item x="52"/>
        <item x="22"/>
        <item x="43"/>
        <item x="31"/>
        <item x="29"/>
        <item x="50"/>
        <item x="37"/>
        <item x="39"/>
        <item x="55"/>
        <item x="27"/>
        <item x="42"/>
        <item x="5"/>
        <item x="41"/>
        <item x="17"/>
        <item x="25"/>
        <item x="49"/>
        <item x="19"/>
        <item x="47"/>
        <item x="23"/>
        <item x="54"/>
        <item t="default"/>
      </items>
    </pivotField>
    <pivotField dataField="1" showAll="0">
      <items count="55">
        <item x="40"/>
        <item x="35"/>
        <item x="8"/>
        <item x="49"/>
        <item x="34"/>
        <item x="7"/>
        <item x="12"/>
        <item x="50"/>
        <item x="52"/>
        <item x="10"/>
        <item x="43"/>
        <item x="38"/>
        <item x="3"/>
        <item x="46"/>
        <item x="22"/>
        <item x="24"/>
        <item x="51"/>
        <item x="2"/>
        <item x="41"/>
        <item x="5"/>
        <item x="14"/>
        <item x="42"/>
        <item x="19"/>
        <item x="36"/>
        <item x="25"/>
        <item x="28"/>
        <item x="0"/>
        <item x="11"/>
        <item x="32"/>
        <item x="13"/>
        <item x="6"/>
        <item x="1"/>
        <item x="29"/>
        <item x="15"/>
        <item x="21"/>
        <item x="18"/>
        <item x="17"/>
        <item x="9"/>
        <item x="26"/>
        <item x="47"/>
        <item x="30"/>
        <item x="27"/>
        <item x="39"/>
        <item x="37"/>
        <item x="44"/>
        <item x="23"/>
        <item x="20"/>
        <item x="4"/>
        <item x="33"/>
        <item x="16"/>
        <item x="45"/>
        <item x="48"/>
        <item x="53"/>
        <item x="31"/>
        <item t="default"/>
      </items>
    </pivotField>
    <pivotField dataField="1" showAll="0">
      <items count="15">
        <item x="4"/>
        <item x="1"/>
        <item x="11"/>
        <item x="8"/>
        <item x="0"/>
        <item x="6"/>
        <item x="13"/>
        <item x="5"/>
        <item x="9"/>
        <item x="7"/>
        <item x="10"/>
        <item x="12"/>
        <item x="3"/>
        <item x="2"/>
        <item t="default"/>
      </items>
    </pivotField>
    <pivotField dataField="1" showAll="0">
      <items count="50">
        <item x="7"/>
        <item x="6"/>
        <item x="13"/>
        <item x="8"/>
        <item x="20"/>
        <item x="47"/>
        <item x="31"/>
        <item x="15"/>
        <item x="43"/>
        <item x="24"/>
        <item x="3"/>
        <item x="9"/>
        <item x="46"/>
        <item x="44"/>
        <item x="5"/>
        <item x="11"/>
        <item x="40"/>
        <item x="1"/>
        <item x="38"/>
        <item x="48"/>
        <item x="45"/>
        <item x="0"/>
        <item x="16"/>
        <item x="17"/>
        <item x="27"/>
        <item x="2"/>
        <item x="14"/>
        <item x="26"/>
        <item x="10"/>
        <item x="30"/>
        <item x="37"/>
        <item x="21"/>
        <item x="34"/>
        <item x="19"/>
        <item x="23"/>
        <item x="28"/>
        <item x="29"/>
        <item x="25"/>
        <item x="35"/>
        <item x="41"/>
        <item x="39"/>
        <item x="32"/>
        <item x="33"/>
        <item x="36"/>
        <item x="18"/>
        <item x="42"/>
        <item x="12"/>
        <item x="22"/>
        <item x="4"/>
        <item t="default"/>
      </items>
    </pivotField>
    <pivotField dataField="1" showAll="0"/>
    <pivotField dataField="1" showAll="0">
      <items count="54">
        <item x="17"/>
        <item x="4"/>
        <item x="3"/>
        <item x="11"/>
        <item x="9"/>
        <item x="14"/>
        <item x="39"/>
        <item x="2"/>
        <item x="52"/>
        <item x="26"/>
        <item x="6"/>
        <item x="12"/>
        <item x="35"/>
        <item x="15"/>
        <item x="21"/>
        <item x="34"/>
        <item x="50"/>
        <item x="10"/>
        <item x="18"/>
        <item x="30"/>
        <item x="28"/>
        <item x="1"/>
        <item x="8"/>
        <item x="7"/>
        <item x="0"/>
        <item x="24"/>
        <item x="13"/>
        <item x="32"/>
        <item x="31"/>
        <item x="41"/>
        <item x="48"/>
        <item x="37"/>
        <item x="16"/>
        <item x="43"/>
        <item x="44"/>
        <item x="45"/>
        <item x="22"/>
        <item x="42"/>
        <item x="33"/>
        <item x="49"/>
        <item x="29"/>
        <item x="20"/>
        <item x="47"/>
        <item x="36"/>
        <item x="40"/>
        <item x="27"/>
        <item x="38"/>
        <item x="5"/>
        <item x="25"/>
        <item x="46"/>
        <item x="19"/>
        <item x="23"/>
        <item x="51"/>
        <item t="default"/>
      </items>
    </pivotField>
  </pivotFields>
  <rowItems count="1">
    <i/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0" item="1" hier="-1"/>
  </pageFields>
  <dataFields count="8">
    <dataField name="Sum of White" fld="1" baseField="0" baseItem="0"/>
    <dataField name="Sum of Black" fld="2" baseField="0" baseItem="1"/>
    <dataField name="Sum of Hispanic" fld="3" baseField="0" baseItem="0"/>
    <dataField name="Sum of Asian " fld="4" baseField="0" baseItem="1"/>
    <dataField name="Sum of NHPI" fld="5" baseField="0" baseItem="1"/>
    <dataField name="Sum of AIAN" fld="6" baseField="0" baseItem="1"/>
    <dataField name="Sum of Two or more Races" fld="7" baseField="0" baseItem="1"/>
    <dataField name="Sum of Other" fld="8" baseField="0" baseItem="1"/>
  </dataFields>
  <chartFormats count="8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6"/>
  </sheetPr>
  <dimension ref="A1:CA90"/>
  <sheetViews>
    <sheetView showGridLines="0" tabSelected="1" view="pageBreakPreview" zoomScale="85" zoomScaleNormal="100" zoomScaleSheetLayoutView="85" workbookViewId="0">
      <selection activeCell="L62" sqref="L62"/>
    </sheetView>
  </sheetViews>
  <sheetFormatPr defaultRowHeight="15.6"/>
  <cols>
    <col min="1" max="1" width="6.5546875" customWidth="1"/>
    <col min="2" max="2" width="10.88671875" customWidth="1"/>
    <col min="6" max="6" width="1.33203125" customWidth="1"/>
    <col min="10" max="10" width="1.33203125" style="330" customWidth="1"/>
    <col min="11" max="11" width="3.44140625" customWidth="1"/>
    <col min="12" max="15" width="11.33203125" customWidth="1"/>
    <col min="16" max="16" width="1.77734375" customWidth="1"/>
    <col min="17" max="20" width="11.44140625" customWidth="1"/>
    <col min="21" max="21" width="10" customWidth="1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6"/>
    </row>
    <row r="2" spans="1:20" s="1" customFormat="1" ht="14.45">
      <c r="A2" s="1" t="s">
        <v>1</v>
      </c>
      <c r="E2" s="507"/>
      <c r="J2" s="16"/>
    </row>
    <row r="3" spans="1:20" s="1" customFormat="1" ht="12.95">
      <c r="A3" s="2"/>
      <c r="B3" s="2"/>
      <c r="C3" s="2"/>
      <c r="D3" s="571"/>
      <c r="E3" s="265"/>
      <c r="F3" s="2"/>
      <c r="G3" s="2"/>
      <c r="H3" s="2"/>
      <c r="I3" s="2"/>
      <c r="J3" s="128"/>
      <c r="L3" s="328" t="s">
        <v>2</v>
      </c>
      <c r="M3" s="89"/>
      <c r="N3" s="89"/>
      <c r="O3" s="136"/>
      <c r="Q3" s="328" t="s">
        <v>3</v>
      </c>
      <c r="R3" s="89"/>
      <c r="S3" s="89"/>
      <c r="T3" s="136"/>
    </row>
    <row r="4" spans="1:20" s="1" customFormat="1" ht="33" customHeight="1">
      <c r="A4" s="89"/>
      <c r="B4" s="89"/>
      <c r="C4" s="14" t="s">
        <v>2</v>
      </c>
      <c r="D4" s="14"/>
      <c r="E4" s="14"/>
      <c r="F4" s="26" t="s">
        <v>4</v>
      </c>
      <c r="G4" s="336" t="s">
        <v>3</v>
      </c>
      <c r="H4" s="14"/>
      <c r="I4" s="14"/>
      <c r="J4" s="23"/>
      <c r="L4" s="50"/>
      <c r="O4" s="49"/>
      <c r="Q4" s="50"/>
      <c r="T4" s="49"/>
    </row>
    <row r="5" spans="1:20" s="1" customFormat="1" ht="14.45">
      <c r="A5" s="2"/>
      <c r="B5" s="2"/>
      <c r="C5" s="2">
        <v>2011</v>
      </c>
      <c r="D5" s="2">
        <v>2016</v>
      </c>
      <c r="E5" s="2">
        <v>2021</v>
      </c>
      <c r="F5" s="793">
        <v>2</v>
      </c>
      <c r="G5" s="2">
        <v>2011</v>
      </c>
      <c r="H5" s="2">
        <v>2016</v>
      </c>
      <c r="I5" s="2">
        <v>2021</v>
      </c>
      <c r="J5" s="324">
        <v>2</v>
      </c>
      <c r="L5" s="50"/>
      <c r="O5" s="49"/>
      <c r="Q5" s="50"/>
      <c r="T5" s="49"/>
    </row>
    <row r="6" spans="1:20" s="1" customFormat="1" ht="12.6">
      <c r="A6" s="265" t="s">
        <v>5</v>
      </c>
      <c r="B6" s="265"/>
      <c r="C6" s="791">
        <f>('Attainment 25+ by race &amp; gender'!GQ5/'Pop 25+ by race &amp; gender'!CU4)*100</f>
        <v>85.619080761011233</v>
      </c>
      <c r="D6" s="284">
        <f>('Attainment 25+ by race &amp; gender'!HP5/'Pop 25+ by race &amp; gender'!DT4)*100</f>
        <v>87.45294712248716</v>
      </c>
      <c r="E6" s="284">
        <f>('Attainment 25+ by race &amp; gender'!IO5/'Pop 25+ by race &amp; gender'!ES4)*100</f>
        <v>89.363200604203115</v>
      </c>
      <c r="F6" s="284"/>
      <c r="G6" s="285">
        <f>('Attainment 25+ by race &amp; gender'!YV5/'Pop 25+ by race &amp; gender'!CU4)*100</f>
        <v>28.246235539450016</v>
      </c>
      <c r="H6" s="284">
        <f>('Attainment 25+ by race &amp; gender'!ZU5/'Pop 25+ by race &amp; gender'!DT4)*100</f>
        <v>31.277778632183345</v>
      </c>
      <c r="I6" s="284">
        <f>('Attainment 25+ by race &amp; gender'!AAT5/'Pop 25+ by race &amp; gender'!ES4)*100</f>
        <v>35.015666794032278</v>
      </c>
      <c r="J6" s="135"/>
      <c r="L6" s="50"/>
      <c r="O6" s="49"/>
      <c r="Q6" s="50"/>
      <c r="T6" s="49"/>
    </row>
    <row r="7" spans="1:20" s="1" customFormat="1" ht="12.6">
      <c r="A7" s="37" t="s">
        <v>6</v>
      </c>
      <c r="B7" s="37"/>
      <c r="C7" s="13">
        <f>('Attainment 25+ by race &amp; gender'!GQ6/'Pop 25+ by race &amp; gender'!CU5)*100</f>
        <v>83.819678864814065</v>
      </c>
      <c r="D7" s="13">
        <f>('Attainment 25+ by race &amp; gender'!HP6/'Pop 25+ by race &amp; gender'!DT5)*100</f>
        <v>86.165741185195841</v>
      </c>
      <c r="E7" s="13">
        <f>('Attainment 25+ by race &amp; gender'!IO6/'Pop 25+ by race &amp; gender'!ES5)*100</f>
        <v>88.511493055125769</v>
      </c>
      <c r="F7" s="792"/>
      <c r="G7" s="13">
        <f>('Attainment 25+ by race &amp; gender'!YV6/'Pop 25+ by race &amp; gender'!CU5)*100</f>
        <v>25.932939842047436</v>
      </c>
      <c r="H7" s="13">
        <f>('Attainment 25+ by race &amp; gender'!ZU6/'Pop 25+ by race &amp; gender'!DT5)*100</f>
        <v>28.913492016155718</v>
      </c>
      <c r="I7" s="13">
        <f>('Attainment 25+ by race &amp; gender'!AAT6/'Pop 25+ by race &amp; gender'!ES5)*100</f>
        <v>32.921863838510212</v>
      </c>
      <c r="J7" s="18"/>
      <c r="L7" s="50"/>
      <c r="O7" s="49"/>
      <c r="Q7" s="50"/>
      <c r="T7" s="49"/>
    </row>
    <row r="8" spans="1:20" s="1" customFormat="1" ht="14.45">
      <c r="A8" s="37" t="s">
        <v>7</v>
      </c>
      <c r="B8" s="37"/>
      <c r="C8" s="13">
        <f>(C7/C$6)*100</f>
        <v>97.89836344865715</v>
      </c>
      <c r="D8" s="13">
        <f>(D7/D$6)*100</f>
        <v>98.528115998779953</v>
      </c>
      <c r="E8" s="13">
        <f>(E7/E$6)*100</f>
        <v>99.046914677049642</v>
      </c>
      <c r="F8" s="13"/>
      <c r="G8" s="112">
        <f t="shared" ref="G8:I8" si="0">(G7/G$6)*100</f>
        <v>91.810251337132271</v>
      </c>
      <c r="H8" s="13">
        <f t="shared" si="0"/>
        <v>92.441002144586804</v>
      </c>
      <c r="I8" s="13">
        <f t="shared" si="0"/>
        <v>94.020382453836604</v>
      </c>
      <c r="J8" s="18"/>
      <c r="L8" s="50"/>
      <c r="O8" s="49"/>
      <c r="Q8" s="50"/>
      <c r="T8" s="49"/>
    </row>
    <row r="9" spans="1:20" s="1" customFormat="1" ht="12.6">
      <c r="A9" s="280" t="s">
        <v>8</v>
      </c>
      <c r="B9" s="280"/>
      <c r="C9" s="286">
        <f>('Attainment 25+ by race &amp; gender'!GQ8/'Pop 25+ by race &amp; gender'!CU7)*100</f>
        <v>82.3</v>
      </c>
      <c r="D9" s="286">
        <f>('Attainment 25+ by race &amp; gender'!HP8/'Pop 25+ by race &amp; gender'!DT7)*100</f>
        <v>85.103400386522537</v>
      </c>
      <c r="E9" s="286">
        <f>('Attainment 25+ by race &amp; gender'!IO8/'Pop 25+ by race &amp; gender'!ES7)*100</f>
        <v>87.932718051186725</v>
      </c>
      <c r="F9" s="286"/>
      <c r="G9" s="287">
        <f>('Attainment 25+ by race &amp; gender'!YV8/'Pop 25+ by race &amp; gender'!CU7)*100</f>
        <v>22.099999999999998</v>
      </c>
      <c r="H9" s="286">
        <f>('Attainment 25+ by race &amp; gender'!ZU8/'Pop 25+ by race &amp; gender'!DT7)*100</f>
        <v>24.707449572259087</v>
      </c>
      <c r="I9" s="286">
        <f>('Attainment 25+ by race &amp; gender'!AAT8/'Pop 25+ by race &amp; gender'!ES7)*100</f>
        <v>27.432887267298874</v>
      </c>
      <c r="J9" s="329"/>
      <c r="L9" s="50"/>
      <c r="O9" s="49"/>
      <c r="Q9" s="50"/>
      <c r="T9" s="49"/>
    </row>
    <row r="10" spans="1:20" s="1" customFormat="1" ht="12.6">
      <c r="A10" s="280" t="s">
        <v>9</v>
      </c>
      <c r="B10" s="280"/>
      <c r="C10" s="286">
        <f>('Attainment 25+ by race &amp; gender'!GQ9/'Pop 25+ by race &amp; gender'!CU8)*100</f>
        <v>83</v>
      </c>
      <c r="D10" s="286">
        <f>('Attainment 25+ by race &amp; gender'!HP9/'Pop 25+ by race &amp; gender'!DT8)*100</f>
        <v>85.951805824618376</v>
      </c>
      <c r="E10" s="286">
        <f>('Attainment 25+ by race &amp; gender'!IO9/'Pop 25+ by race &amp; gender'!ES8)*100</f>
        <v>88.669438006284338</v>
      </c>
      <c r="F10" s="286"/>
      <c r="G10" s="287">
        <f>('Attainment 25+ by race &amp; gender'!YV9/'Pop 25+ by race &amp; gender'!CU8)*100</f>
        <v>19.5</v>
      </c>
      <c r="H10" s="286">
        <f>('Attainment 25+ by race &amp; gender'!ZU9/'Pop 25+ by race &amp; gender'!DT8)*100</f>
        <v>22.3986258369975</v>
      </c>
      <c r="I10" s="286">
        <f>('Attainment 25+ by race &amp; gender'!AAT9/'Pop 25+ by race &amp; gender'!ES8)*100</f>
        <v>25.27447990762419</v>
      </c>
      <c r="J10" s="329"/>
      <c r="L10" s="50"/>
      <c r="O10" s="49"/>
      <c r="Q10" s="50"/>
      <c r="T10" s="49"/>
    </row>
    <row r="11" spans="1:20" s="1" customFormat="1" ht="12.6">
      <c r="A11" s="280" t="s">
        <v>10</v>
      </c>
      <c r="B11" s="280"/>
      <c r="C11" s="286">
        <f>('Attainment 25+ by race &amp; gender'!GQ10/'Pop 25+ by race &amp; gender'!CU9)*100</f>
        <v>87.199999999999989</v>
      </c>
      <c r="D11" s="286">
        <f>('Attainment 25+ by race &amp; gender'!HP10/'Pop 25+ by race &amp; gender'!DT9)*100</f>
        <v>89.345057784579808</v>
      </c>
      <c r="E11" s="286">
        <f>('Attainment 25+ by race &amp; gender'!IO10/'Pop 25+ by race &amp; gender'!ES9)*100</f>
        <v>91.356257312573135</v>
      </c>
      <c r="F11" s="286"/>
      <c r="G11" s="287">
        <f>('Attainment 25+ by race &amp; gender'!YV10/'Pop 25+ by race &amp; gender'!CU9)*100</f>
        <v>28.400000000000002</v>
      </c>
      <c r="H11" s="286">
        <f>('Attainment 25+ by race &amp; gender'!ZU10/'Pop 25+ by race &amp; gender'!DT9)*100</f>
        <v>30.951615508031882</v>
      </c>
      <c r="I11" s="286">
        <f>('Attainment 25+ by race &amp; gender'!AAT10/'Pop 25+ by race &amp; gender'!ES9)*100</f>
        <v>35.619543695436953</v>
      </c>
      <c r="J11" s="329"/>
      <c r="L11" s="50"/>
      <c r="O11" s="49"/>
      <c r="Q11" s="50"/>
      <c r="T11" s="49"/>
    </row>
    <row r="12" spans="1:20" s="1" customFormat="1" ht="12.6">
      <c r="A12" s="280" t="s">
        <v>11</v>
      </c>
      <c r="B12" s="280"/>
      <c r="C12" s="286">
        <f>('Attainment 25+ by race &amp; gender'!GQ11/'Pop 25+ by race &amp; gender'!CU10)*100</f>
        <v>85.7</v>
      </c>
      <c r="D12" s="286">
        <f>('Attainment 25+ by race &amp; gender'!HP11/'Pop 25+ by race &amp; gender'!DT10)*100</f>
        <v>87.382654304493073</v>
      </c>
      <c r="E12" s="286">
        <f>('Attainment 25+ by race &amp; gender'!IO11/'Pop 25+ by race &amp; gender'!ES10)*100</f>
        <v>89.794882947867052</v>
      </c>
      <c r="F12" s="286"/>
      <c r="G12" s="287">
        <f>('Attainment 25+ by race &amp; gender'!YV11/'Pop 25+ by race &amp; gender'!CU10)*100</f>
        <v>25.7</v>
      </c>
      <c r="H12" s="286">
        <f>('Attainment 25+ by race &amp; gender'!ZU11/'Pop 25+ by race &amp; gender'!DT10)*100</f>
        <v>28.621804718019057</v>
      </c>
      <c r="I12" s="286">
        <f>('Attainment 25+ by race &amp; gender'!AAT11/'Pop 25+ by race &amp; gender'!ES10)*100</f>
        <v>33.160801572275609</v>
      </c>
      <c r="J12" s="329"/>
      <c r="L12" s="50"/>
      <c r="O12" s="49"/>
      <c r="Q12" s="50"/>
      <c r="T12" s="49"/>
    </row>
    <row r="13" spans="1:20" s="1" customFormat="1" ht="12.6">
      <c r="A13" s="37" t="s">
        <v>12</v>
      </c>
      <c r="B13" s="37"/>
      <c r="C13" s="13">
        <f>('Attainment 25+ by race &amp; gender'!GQ12/'Pop 25+ by race &amp; gender'!CU11)*100</f>
        <v>84.300000000000011</v>
      </c>
      <c r="D13" s="13">
        <f>('Attainment 25+ by race &amp; gender'!HP12/'Pop 25+ by race &amp; gender'!DT11)*100</f>
        <v>86.402766530172528</v>
      </c>
      <c r="E13" s="13">
        <f>('Attainment 25+ by race &amp; gender'!IO12/'Pop 25+ by race &amp; gender'!ES11)*100</f>
        <v>88.970872116900239</v>
      </c>
      <c r="F13" s="13"/>
      <c r="G13" s="112">
        <f>('Attainment 25+ by race &amp; gender'!YV12/'Pop 25+ by race &amp; gender'!CU11)*100</f>
        <v>27.400000000000002</v>
      </c>
      <c r="H13" s="13">
        <f>('Attainment 25+ by race &amp; gender'!ZU12/'Pop 25+ by race &amp; gender'!DT11)*100</f>
        <v>30.451815995973707</v>
      </c>
      <c r="I13" s="13">
        <f>('Attainment 25+ by race &amp; gender'!AAT12/'Pop 25+ by race &amp; gender'!ES11)*100</f>
        <v>34.627898236048935</v>
      </c>
      <c r="J13" s="18"/>
      <c r="L13" s="50"/>
      <c r="O13" s="49"/>
      <c r="Q13" s="50"/>
      <c r="T13" s="49"/>
    </row>
    <row r="14" spans="1:20" s="1" customFormat="1" ht="12.6">
      <c r="A14" s="37" t="s">
        <v>13</v>
      </c>
      <c r="B14" s="37"/>
      <c r="C14" s="13">
        <f>('Attainment 25+ by race &amp; gender'!GQ13/'Pop 25+ by race &amp; gender'!CU12)*100</f>
        <v>82.199999999999989</v>
      </c>
      <c r="D14" s="13">
        <f>('Attainment 25+ by race &amp; gender'!HP13/'Pop 25+ by race &amp; gender'!DT12)*100</f>
        <v>85.6965877919245</v>
      </c>
      <c r="E14" s="13">
        <f>('Attainment 25+ by race &amp; gender'!IO13/'Pop 25+ by race &amp; gender'!ES12)*100</f>
        <v>87.987785047242127</v>
      </c>
      <c r="F14" s="13"/>
      <c r="G14" s="112">
        <f>('Attainment 25+ by race &amp; gender'!YV13/'Pop 25+ by race &amp; gender'!CU12)*100</f>
        <v>20.9</v>
      </c>
      <c r="H14" s="13">
        <f>('Attainment 25+ by race &amp; gender'!ZU13/'Pop 25+ by race &amp; gender'!DT12)*100</f>
        <v>23.446466026308048</v>
      </c>
      <c r="I14" s="13">
        <f>('Attainment 25+ by race &amp; gender'!AAT13/'Pop 25+ by race &amp; gender'!ES12)*100</f>
        <v>26.980178155846239</v>
      </c>
      <c r="J14" s="18"/>
      <c r="L14" s="50"/>
      <c r="O14" s="49"/>
      <c r="Q14" s="50"/>
      <c r="T14" s="49"/>
    </row>
    <row r="15" spans="1:20" s="1" customFormat="1" ht="12.6">
      <c r="A15" s="37" t="s">
        <v>14</v>
      </c>
      <c r="B15" s="37"/>
      <c r="C15" s="13">
        <f>('Attainment 25+ by race &amp; gender'!GQ14/'Pop 25+ by race &amp; gender'!CU13)*100</f>
        <v>82.100000000000009</v>
      </c>
      <c r="D15" s="13">
        <f>('Attainment 25+ by race &amp; gender'!HP14/'Pop 25+ by race &amp; gender'!DT13)*100</f>
        <v>84.384113103607689</v>
      </c>
      <c r="E15" s="13">
        <f>('Attainment 25+ by race &amp; gender'!IO14/'Pop 25+ by race &amp; gender'!ES13)*100</f>
        <v>86.677182561451261</v>
      </c>
      <c r="F15" s="13"/>
      <c r="G15" s="112">
        <f>('Attainment 25+ by race &amp; gender'!YV14/'Pop 25+ by race &amp; gender'!CU13)*100</f>
        <v>21.400000000000002</v>
      </c>
      <c r="H15" s="13">
        <f>('Attainment 25+ by race &amp; gender'!ZU14/'Pop 25+ by race &amp; gender'!DT13)*100</f>
        <v>23.367618827487462</v>
      </c>
      <c r="I15" s="13">
        <f>('Attainment 25+ by race &amp; gender'!AAT14/'Pop 25+ by race &amp; gender'!ES13)*100</f>
        <v>26.445935532881258</v>
      </c>
      <c r="J15" s="18"/>
      <c r="L15" s="50"/>
      <c r="O15" s="49"/>
      <c r="Q15" s="50"/>
      <c r="T15" s="49"/>
    </row>
    <row r="16" spans="1:20" s="1" customFormat="1" ht="12.6">
      <c r="A16" s="37" t="s">
        <v>15</v>
      </c>
      <c r="B16" s="37"/>
      <c r="C16" s="13">
        <f>('Attainment 25+ by race &amp; gender'!GQ15/'Pop 25+ by race &amp; gender'!CU14)*100</f>
        <v>88.299999999999983</v>
      </c>
      <c r="D16" s="13">
        <f>('Attainment 25+ by race &amp; gender'!HP15/'Pop 25+ by race &amp; gender'!DT14)*100</f>
        <v>90.12181419660071</v>
      </c>
      <c r="E16" s="13">
        <f>('Attainment 25+ by race &amp; gender'!IO15/'Pop 25+ by race &amp; gender'!ES14)*100</f>
        <v>91.088349410052288</v>
      </c>
      <c r="F16" s="13"/>
      <c r="G16" s="112">
        <f>('Attainment 25+ by race &amp; gender'!YV15/'Pop 25+ by race &amp; gender'!CU14)*100</f>
        <v>36.200000000000003</v>
      </c>
      <c r="H16" s="13">
        <f>('Attainment 25+ by race &amp; gender'!ZU15/'Pop 25+ by race &amp; gender'!DT14)*100</f>
        <v>39.32385334364421</v>
      </c>
      <c r="I16" s="13">
        <f>('Attainment 25+ by race &amp; gender'!AAT15/'Pop 25+ by race &amp; gender'!ES14)*100</f>
        <v>42.548358864192679</v>
      </c>
      <c r="J16" s="18"/>
      <c r="L16" s="50"/>
      <c r="O16" s="49"/>
      <c r="Q16" s="50"/>
      <c r="T16" s="49"/>
    </row>
    <row r="17" spans="1:20" s="1" customFormat="1" ht="12.6">
      <c r="A17" s="280" t="s">
        <v>16</v>
      </c>
      <c r="B17" s="280"/>
      <c r="C17" s="286">
        <f>('Attainment 25+ by race &amp; gender'!GQ16/'Pop 25+ by race &amp; gender'!CU15)*100</f>
        <v>80.800000000000011</v>
      </c>
      <c r="D17" s="286">
        <f>('Attainment 25+ by race &amp; gender'!HP16/'Pop 25+ by race &amp; gender'!DT15)*100</f>
        <v>84.122099802659349</v>
      </c>
      <c r="E17" s="286">
        <f>('Attainment 25+ by race &amp; gender'!IO16/'Pop 25+ by race &amp; gender'!ES15)*100</f>
        <v>86.485445594809789</v>
      </c>
      <c r="F17" s="286"/>
      <c r="G17" s="287">
        <f>('Attainment 25+ by race &amp; gender'!YV16/'Pop 25+ by race &amp; gender'!CU15)*100</f>
        <v>19.600000000000001</v>
      </c>
      <c r="H17" s="286">
        <f>('Attainment 25+ by race &amp; gender'!ZU16/'Pop 25+ by race &amp; gender'!DT15)*100</f>
        <v>21.781206343107026</v>
      </c>
      <c r="I17" s="286">
        <f>('Attainment 25+ by race &amp; gender'!AAT16/'Pop 25+ by race &amp; gender'!ES15)*100</f>
        <v>24.777521419676276</v>
      </c>
      <c r="J17" s="329"/>
      <c r="L17" s="50"/>
      <c r="O17" s="49"/>
      <c r="Q17" s="50"/>
      <c r="T17" s="49"/>
    </row>
    <row r="18" spans="1:20" s="1" customFormat="1" ht="12.6">
      <c r="A18" s="280" t="s">
        <v>17</v>
      </c>
      <c r="B18" s="280"/>
      <c r="C18" s="286">
        <f>('Attainment 25+ by race &amp; gender'!GQ17/'Pop 25+ by race &amp; gender'!CU16)*100</f>
        <v>84.5</v>
      </c>
      <c r="D18" s="286">
        <f>('Attainment 25+ by race &amp; gender'!HP17/'Pop 25+ by race &amp; gender'!DT16)*100</f>
        <v>87.302988068519312</v>
      </c>
      <c r="E18" s="286">
        <f>('Attainment 25+ by race &amp; gender'!IO17/'Pop 25+ by race &amp; gender'!ES16)*100</f>
        <v>89.697420459664528</v>
      </c>
      <c r="F18" s="286"/>
      <c r="G18" s="287">
        <f>('Attainment 25+ by race &amp; gender'!YV17/'Pop 25+ by race &amp; gender'!CU16)*100</f>
        <v>26.599999999999994</v>
      </c>
      <c r="H18" s="286">
        <f>('Attainment 25+ by race &amp; gender'!ZU17/'Pop 25+ by race &amp; gender'!DT16)*100</f>
        <v>30.406409017643121</v>
      </c>
      <c r="I18" s="286">
        <f>('Attainment 25+ by race &amp; gender'!AAT17/'Pop 25+ by race &amp; gender'!ES16)*100</f>
        <v>34.91285508289684</v>
      </c>
      <c r="J18" s="329"/>
      <c r="L18" s="50"/>
      <c r="O18" s="49"/>
      <c r="Q18" s="50"/>
      <c r="T18" s="49"/>
    </row>
    <row r="19" spans="1:20" s="1" customFormat="1" ht="12.6">
      <c r="A19" s="280" t="s">
        <v>18</v>
      </c>
      <c r="B19" s="280"/>
      <c r="C19" s="286">
        <f>('Attainment 25+ by race &amp; gender'!GQ18/'Pop 25+ by race &amp; gender'!CU17)*100</f>
        <v>86.1</v>
      </c>
      <c r="D19" s="286">
        <f>('Attainment 25+ by race &amp; gender'!HP18/'Pop 25+ by race &amp; gender'!DT17)*100</f>
        <v>87.827748561616019</v>
      </c>
      <c r="E19" s="286">
        <f>('Attainment 25+ by race &amp; gender'!IO18/'Pop 25+ by race &amp; gender'!ES17)*100</f>
        <v>88.711116262842864</v>
      </c>
      <c r="F19" s="286"/>
      <c r="G19" s="287">
        <f>('Attainment 25+ by race &amp; gender'!YV18/'Pop 25+ by race &amp; gender'!CU17)*100</f>
        <v>23.1</v>
      </c>
      <c r="H19" s="286">
        <f>('Attainment 25+ by race &amp; gender'!ZU18/'Pop 25+ by race &amp; gender'!DT17)*100</f>
        <v>25.223826389115722</v>
      </c>
      <c r="I19" s="286">
        <f>('Attainment 25+ by race &amp; gender'!AAT18/'Pop 25+ by race &amp; gender'!ES17)*100</f>
        <v>27.924772594605301</v>
      </c>
      <c r="J19" s="329"/>
      <c r="L19" s="50"/>
      <c r="O19" s="49"/>
      <c r="Q19" s="50"/>
      <c r="T19" s="49"/>
    </row>
    <row r="20" spans="1:20" s="1" customFormat="1" ht="12.6">
      <c r="A20" s="280" t="s">
        <v>19</v>
      </c>
      <c r="B20" s="280"/>
      <c r="C20" s="286">
        <f>('Attainment 25+ by race &amp; gender'!GQ19/'Pop 25+ by race &amp; gender'!CU18)*100</f>
        <v>83.90000000000002</v>
      </c>
      <c r="D20" s="286">
        <f>('Attainment 25+ by race &amp; gender'!HP19/'Pop 25+ by race &amp; gender'!DT18)*100</f>
        <v>86.611857365966287</v>
      </c>
      <c r="E20" s="286">
        <f>('Attainment 25+ by race &amp; gender'!IO19/'Pop 25+ by race &amp; gender'!ES18)*100</f>
        <v>89.606569367813123</v>
      </c>
      <c r="F20" s="286"/>
      <c r="G20" s="287">
        <f>('Attainment 25+ by race &amp; gender'!YV19/'Pop 25+ by race &amp; gender'!CU18)*100</f>
        <v>24.3</v>
      </c>
      <c r="H20" s="286">
        <f>('Attainment 25+ by race &amp; gender'!ZU19/'Pop 25+ by race &amp; gender'!DT18)*100</f>
        <v>27.224805487776806</v>
      </c>
      <c r="I20" s="286">
        <f>('Attainment 25+ by race &amp; gender'!AAT19/'Pop 25+ by race &amp; gender'!ES18)*100</f>
        <v>31.531698272397886</v>
      </c>
      <c r="J20" s="329"/>
      <c r="L20" s="50"/>
      <c r="O20" s="49"/>
      <c r="Q20" s="50"/>
      <c r="T20" s="49"/>
    </row>
    <row r="21" spans="1:20" s="1" customFormat="1" ht="12.6">
      <c r="A21" s="37" t="s">
        <v>20</v>
      </c>
      <c r="B21" s="37"/>
      <c r="C21" s="13">
        <f>('Attainment 25+ by race &amp; gender'!GQ20/'Pop 25+ by race &amp; gender'!CU19)*100</f>
        <v>83.6</v>
      </c>
      <c r="D21" s="13">
        <f>('Attainment 25+ by race &amp; gender'!HP20/'Pop 25+ by race &amp; gender'!DT19)*100</f>
        <v>86.960742605028543</v>
      </c>
      <c r="E21" s="13">
        <f>('Attainment 25+ by race &amp; gender'!IO20/'Pop 25+ by race &amp; gender'!ES19)*100</f>
        <v>89.738402457725385</v>
      </c>
      <c r="F21" s="13"/>
      <c r="G21" s="112">
        <f>('Attainment 25+ by race &amp; gender'!YV20/'Pop 25+ by race &amp; gender'!CU19)*100</f>
        <v>23.2</v>
      </c>
      <c r="H21" s="13">
        <f>('Attainment 25+ by race &amp; gender'!ZU20/'Pop 25+ by race &amp; gender'!DT19)*100</f>
        <v>26.127750542388473</v>
      </c>
      <c r="I21" s="13">
        <f>('Attainment 25+ by race &amp; gender'!AAT20/'Pop 25+ by race &amp; gender'!ES19)*100</f>
        <v>30.480235570095793</v>
      </c>
      <c r="J21" s="18"/>
      <c r="L21" s="50"/>
      <c r="O21" s="49"/>
      <c r="Q21" s="50"/>
      <c r="T21" s="49"/>
    </row>
    <row r="22" spans="1:20" s="1" customFormat="1" ht="12.6">
      <c r="A22" s="37" t="s">
        <v>21</v>
      </c>
      <c r="B22" s="37"/>
      <c r="C22" s="13">
        <f>('Attainment 25+ by race &amp; gender'!GQ21/'Pop 25+ by race &amp; gender'!CU20)*100</f>
        <v>80.599999999999994</v>
      </c>
      <c r="D22" s="13">
        <f>('Attainment 25+ by race &amp; gender'!HP21/'Pop 25+ by race &amp; gender'!DT20)*100</f>
        <v>82.920055267765122</v>
      </c>
      <c r="E22" s="13">
        <f>('Attainment 25+ by race &amp; gender'!IO21/'Pop 25+ by race &amp; gender'!ES20)*100</f>
        <v>85.3890788760785</v>
      </c>
      <c r="F22" s="13"/>
      <c r="G22" s="112">
        <f>('Attainment 25+ by race &amp; gender'!YV21/'Pop 25+ by race &amp; gender'!CU20)*100</f>
        <v>25.999999999999996</v>
      </c>
      <c r="H22" s="13">
        <f>('Attainment 25+ by race &amp; gender'!ZU21/'Pop 25+ by race &amp; gender'!DT20)*100</f>
        <v>28.892298742973388</v>
      </c>
      <c r="I22" s="13">
        <f>('Attainment 25+ by race &amp; gender'!AAT21/'Pop 25+ by race &amp; gender'!ES20)*100</f>
        <v>33.11594445641979</v>
      </c>
      <c r="J22" s="18"/>
      <c r="L22" s="50"/>
      <c r="O22" s="49"/>
      <c r="Q22" s="50"/>
      <c r="T22" s="49"/>
    </row>
    <row r="23" spans="1:20" s="1" customFormat="1" ht="12.6">
      <c r="A23" s="37" t="s">
        <v>22</v>
      </c>
      <c r="B23" s="37"/>
      <c r="C23" s="13">
        <f>('Attainment 25+ by race &amp; gender'!GQ22/'Pop 25+ by race &amp; gender'!CU21)*100</f>
        <v>87</v>
      </c>
      <c r="D23" s="13">
        <f>('Attainment 25+ by race &amp; gender'!HP22/'Pop 25+ by race &amp; gender'!DT21)*100</f>
        <v>89.262446704548168</v>
      </c>
      <c r="E23" s="13">
        <f>('Attainment 25+ by race &amp; gender'!IO22/'Pop 25+ by race &amp; gender'!ES21)*100</f>
        <v>91.384818142411362</v>
      </c>
      <c r="F23" s="13"/>
      <c r="G23" s="112">
        <f>('Attainment 25+ by race &amp; gender'!YV22/'Pop 25+ by race &amp; gender'!CU21)*100</f>
        <v>34.5</v>
      </c>
      <c r="H23" s="13">
        <f>('Attainment 25+ by race &amp; gender'!ZU22/'Pop 25+ by race &amp; gender'!DT21)*100</f>
        <v>38.081089315075772</v>
      </c>
      <c r="I23" s="13">
        <f>('Attainment 25+ by race &amp; gender'!AAT22/'Pop 25+ by race &amp; gender'!ES21)*100</f>
        <v>41.807119760269458</v>
      </c>
      <c r="J23" s="18"/>
      <c r="L23" s="50"/>
      <c r="O23" s="49"/>
      <c r="Q23" s="50"/>
      <c r="T23" s="49"/>
    </row>
    <row r="24" spans="1:20" s="1" customFormat="1" ht="12.6">
      <c r="A24" s="265" t="s">
        <v>23</v>
      </c>
      <c r="B24" s="265"/>
      <c r="C24" s="284">
        <f>('Attainment 25+ by race &amp; gender'!GQ23/'Pop 25+ by race &amp; gender'!CU22)*100</f>
        <v>83.399999999999991</v>
      </c>
      <c r="D24" s="284">
        <f>('Attainment 25+ by race &amp; gender'!HP23/'Pop 25+ by race &amp; gender'!DT22)*100</f>
        <v>85.964775108631102</v>
      </c>
      <c r="E24" s="13">
        <f>('Attainment 25+ by race &amp; gender'!IO23/'Pop 25+ by race &amp; gender'!ES22)*100</f>
        <v>88.820638529395723</v>
      </c>
      <c r="F24" s="284"/>
      <c r="G24" s="285">
        <f>('Attainment 25+ by race &amp; gender'!YV23/'Pop 25+ by race &amp; gender'!CU22)*100</f>
        <v>17.900000000000002</v>
      </c>
      <c r="H24" s="284">
        <f>('Attainment 25+ by race &amp; gender'!ZU23/'Pop 25+ by race &amp; gender'!DT22)*100</f>
        <v>20.805538502984692</v>
      </c>
      <c r="I24" s="13">
        <f>('Attainment 25+ by race &amp; gender'!AAT23/'Pop 25+ by race &amp; gender'!ES22)*100</f>
        <v>24.117164082978316</v>
      </c>
      <c r="J24" s="135"/>
      <c r="L24" s="50"/>
      <c r="O24" s="49"/>
      <c r="Q24" s="50"/>
      <c r="T24" s="49"/>
    </row>
    <row r="25" spans="1:20" s="1" customFormat="1" ht="12.6">
      <c r="A25" s="37" t="s">
        <v>24</v>
      </c>
      <c r="B25" s="37"/>
      <c r="C25" s="13">
        <f>('Attainment 25+ by race &amp; gender'!GQ24/'Pop 25+ by race &amp; gender'!CU23)*100</f>
        <v>84.401283532913155</v>
      </c>
      <c r="D25" s="13">
        <f>('Attainment 25+ by race &amp; gender'!HP24/'Pop 25+ by race &amp; gender'!DT23)*100</f>
        <v>85.955470930549311</v>
      </c>
      <c r="E25" s="290">
        <f>('Attainment 25+ by race &amp; gender'!IO24/'Pop 25+ by race &amp; gender'!ES23)*100</f>
        <v>87.796336029121122</v>
      </c>
      <c r="F25" s="13"/>
      <c r="G25" s="112">
        <f>('Attainment 25+ by race &amp; gender'!YV24/'Pop 25+ by race &amp; gender'!CU23)*100</f>
        <v>29.579006092391513</v>
      </c>
      <c r="H25" s="13">
        <f>('Attainment 25+ by race &amp; gender'!ZU24/'Pop 25+ by race &amp; gender'!DT23)*100</f>
        <v>32.496459808705005</v>
      </c>
      <c r="I25" s="290">
        <f>('Attainment 25+ by race &amp; gender'!AAT24/'Pop 25+ by race &amp; gender'!ES23)*100</f>
        <v>36.005807660102519</v>
      </c>
      <c r="J25" s="18"/>
      <c r="L25" s="50"/>
      <c r="O25" s="49"/>
      <c r="Q25" s="50"/>
      <c r="T25" s="49"/>
    </row>
    <row r="26" spans="1:20" s="1" customFormat="1" ht="14.45">
      <c r="A26" s="37" t="s">
        <v>7</v>
      </c>
      <c r="B26" s="37"/>
      <c r="C26" s="13">
        <f>(C25/C$6)*100</f>
        <v>98.577656735772109</v>
      </c>
      <c r="D26" s="13">
        <f>(D25/D$6)*100</f>
        <v>98.287677841387705</v>
      </c>
      <c r="E26" s="13">
        <f>(E25/E$6)*100</f>
        <v>98.246633329504647</v>
      </c>
      <c r="F26" s="13"/>
      <c r="G26" s="112">
        <f t="shared" ref="G26:I26" si="1">(G25/G$6)*100</f>
        <v>104.71840062042989</v>
      </c>
      <c r="H26" s="13">
        <f t="shared" si="1"/>
        <v>103.89631626610367</v>
      </c>
      <c r="I26" s="13">
        <f t="shared" si="1"/>
        <v>102.8277081567357</v>
      </c>
      <c r="J26" s="18"/>
      <c r="L26" s="24"/>
      <c r="M26" s="2"/>
      <c r="N26" s="2"/>
      <c r="O26" s="137"/>
      <c r="Q26" s="24"/>
      <c r="R26" s="2"/>
      <c r="S26" s="2"/>
      <c r="T26" s="137"/>
    </row>
    <row r="27" spans="1:20" s="1" customFormat="1" ht="12.6">
      <c r="A27" s="280" t="s">
        <v>25</v>
      </c>
      <c r="B27" s="280"/>
      <c r="C27" s="286">
        <f>('Attainment 25+ by race &amp; gender'!GQ26/'Pop 25+ by race &amp; gender'!CU25)*100</f>
        <v>91.499999999999986</v>
      </c>
      <c r="D27" s="286">
        <f>('Attainment 25+ by race &amp; gender'!HP26/'Pop 25+ by race &amp; gender'!DT25)*100</f>
        <v>93.114744514574554</v>
      </c>
      <c r="E27" s="286">
        <f>('Attainment 25+ by race &amp; gender'!IO26/'Pop 25+ by race &amp; gender'!ES25)*100</f>
        <v>93.311773460771249</v>
      </c>
      <c r="F27" s="286"/>
      <c r="G27" s="287">
        <f>('Attainment 25+ by race &amp; gender'!YV26/'Pop 25+ by race &amp; gender'!CU25)*100</f>
        <v>27.3</v>
      </c>
      <c r="H27" s="286">
        <f>('Attainment 25+ by race &amp; gender'!ZU26/'Pop 25+ by race &amp; gender'!DT25)*100</f>
        <v>29.559808832218742</v>
      </c>
      <c r="I27" s="286">
        <f>('Attainment 25+ by race &amp; gender'!AAT26/'Pop 25+ by race &amp; gender'!ES25)*100</f>
        <v>32.790631130617008</v>
      </c>
      <c r="J27" s="329"/>
    </row>
    <row r="28" spans="1:20" s="1" customFormat="1" ht="12.6">
      <c r="A28" s="280" t="s">
        <v>26</v>
      </c>
      <c r="B28" s="280"/>
      <c r="C28" s="286">
        <f>('Attainment 25+ by race &amp; gender'!GQ27/'Pop 25+ by race &amp; gender'!CU26)*100</f>
        <v>85.4</v>
      </c>
      <c r="D28" s="286">
        <f>('Attainment 25+ by race &amp; gender'!HP27/'Pop 25+ by race &amp; gender'!DT26)*100</f>
        <v>86.718878508147469</v>
      </c>
      <c r="E28" s="286">
        <f>('Attainment 25+ by race &amp; gender'!IO27/'Pop 25+ by race &amp; gender'!ES26)*100</f>
        <v>88.969272314482453</v>
      </c>
      <c r="F28" s="286"/>
      <c r="G28" s="287">
        <f>('Attainment 25+ by race &amp; gender'!YV27/'Pop 25+ by race &amp; gender'!CU26)*100</f>
        <v>26.299999999999997</v>
      </c>
      <c r="H28" s="286">
        <f>('Attainment 25+ by race &amp; gender'!ZU27/'Pop 25+ by race &amp; gender'!DT26)*100</f>
        <v>28.875397743692787</v>
      </c>
      <c r="I28" s="286">
        <f>('Attainment 25+ by race &amp; gender'!AAT27/'Pop 25+ by race &amp; gender'!ES26)*100</f>
        <v>32.429411338319781</v>
      </c>
      <c r="J28" s="329"/>
    </row>
    <row r="29" spans="1:20" s="1" customFormat="1" ht="12.6">
      <c r="A29" s="280" t="s">
        <v>27</v>
      </c>
      <c r="B29" s="280"/>
      <c r="C29" s="286">
        <f>('Attainment 25+ by race &amp; gender'!GQ28/'Pop 25+ by race &amp; gender'!CU27)*100</f>
        <v>80.800000000000011</v>
      </c>
      <c r="D29" s="286">
        <f>('Attainment 25+ by race &amp; gender'!HP28/'Pop 25+ by race &amp; gender'!DT27)*100</f>
        <v>82.441375137948285</v>
      </c>
      <c r="E29" s="286">
        <f>('Attainment 25+ by race &amp; gender'!IO28/'Pop 25+ by race &amp; gender'!ES27)*100</f>
        <v>84.448534476329101</v>
      </c>
      <c r="F29" s="286"/>
      <c r="G29" s="287">
        <f>('Attainment 25+ by race &amp; gender'!YV28/'Pop 25+ by race &amp; gender'!CU27)*100</f>
        <v>30.099999999999998</v>
      </c>
      <c r="H29" s="286">
        <f>('Attainment 25+ by race &amp; gender'!ZU28/'Pop 25+ by race &amp; gender'!DT27)*100</f>
        <v>32.924234536932659</v>
      </c>
      <c r="I29" s="286">
        <f>('Attainment 25+ by race &amp; gender'!AAT28/'Pop 25+ by race &amp; gender'!ES27)*100</f>
        <v>36.186787085436947</v>
      </c>
      <c r="J29" s="329"/>
      <c r="L29" s="573"/>
    </row>
    <row r="30" spans="1:20" s="1" customFormat="1" ht="12.6">
      <c r="A30" s="280" t="s">
        <v>28</v>
      </c>
      <c r="B30" s="280"/>
      <c r="C30" s="286">
        <f>('Attainment 25+ by race &amp; gender'!GQ29/'Pop 25+ by race &amp; gender'!CU28)*100</f>
        <v>89.8</v>
      </c>
      <c r="D30" s="286">
        <f>('Attainment 25+ by race &amp; gender'!HP29/'Pop 25+ by race &amp; gender'!DT28)*100</f>
        <v>91.440782633908483</v>
      </c>
      <c r="E30" s="286">
        <f>('Attainment 25+ by race &amp; gender'!IO29/'Pop 25+ by race &amp; gender'!ES28)*100</f>
        <v>92.434217846773464</v>
      </c>
      <c r="F30" s="286"/>
      <c r="G30" s="287">
        <f>('Attainment 25+ by race &amp; gender'!YV29/'Pop 25+ by race &amp; gender'!CU28)*100</f>
        <v>36.4</v>
      </c>
      <c r="H30" s="286">
        <f>('Attainment 25+ by race &amp; gender'!ZU29/'Pop 25+ by race &amp; gender'!DT28)*100</f>
        <v>39.857925738204663</v>
      </c>
      <c r="I30" s="286">
        <f>('Attainment 25+ by race &amp; gender'!AAT29/'Pop 25+ by race &amp; gender'!ES28)*100</f>
        <v>44.415409593336797</v>
      </c>
      <c r="J30" s="329"/>
      <c r="L30" s="573"/>
    </row>
    <row r="31" spans="1:20" s="1" customFormat="1" ht="12.6">
      <c r="A31" s="37" t="s">
        <v>29</v>
      </c>
      <c r="B31" s="37"/>
      <c r="C31" s="13">
        <f>('Attainment 25+ by race &amp; gender'!GQ30/'Pop 25+ by race &amp; gender'!CU29)*100</f>
        <v>90.3</v>
      </c>
      <c r="D31" s="13">
        <f>('Attainment 25+ by race &amp; gender'!HP30/'Pop 25+ by race &amp; gender'!DT29)*100</f>
        <v>91.960841102915722</v>
      </c>
      <c r="E31" s="13">
        <f>('Attainment 25+ by race &amp; gender'!IO30/'Pop 25+ by race &amp; gender'!ES29)*100</f>
        <v>92.932179816323384</v>
      </c>
      <c r="F31" s="13"/>
      <c r="G31" s="112">
        <f>('Attainment 25+ by race &amp; gender'!YV30/'Pop 25+ by race &amp; gender'!CU29)*100</f>
        <v>29.4</v>
      </c>
      <c r="H31" s="13">
        <f>('Attainment 25+ by race &amp; gender'!ZU30/'Pop 25+ by race &amp; gender'!DT29)*100</f>
        <v>31.948852449752103</v>
      </c>
      <c r="I31" s="13">
        <f>('Attainment 25+ by race &amp; gender'!AAT30/'Pop 25+ by race &amp; gender'!ES29)*100</f>
        <v>35.302494795372752</v>
      </c>
      <c r="J31" s="18"/>
    </row>
    <row r="32" spans="1:20" s="1" customFormat="1" ht="12.6">
      <c r="A32" s="37" t="s">
        <v>30</v>
      </c>
      <c r="B32" s="37"/>
      <c r="C32" s="13">
        <f>('Attainment 25+ by race &amp; gender'!GQ31/'Pop 25+ by race &amp; gender'!CU30)*100</f>
        <v>88.6</v>
      </c>
      <c r="D32" s="13">
        <f>('Attainment 25+ by race &amp; gender'!HP31/'Pop 25+ by race &amp; gender'!DT30)*100</f>
        <v>90.422849995171376</v>
      </c>
      <c r="E32" s="13">
        <f>('Attainment 25+ by race &amp; gender'!IO31/'Pop 25+ by race &amp; gender'!ES30)*100</f>
        <v>91.25986230543765</v>
      </c>
      <c r="F32" s="13"/>
      <c r="G32" s="112">
        <f>('Attainment 25+ by race &amp; gender'!YV31/'Pop 25+ by race &amp; gender'!CU30)*100</f>
        <v>24.599999999999998</v>
      </c>
      <c r="H32" s="13">
        <f>('Attainment 25+ by race &amp; gender'!ZU31/'Pop 25+ by race &amp; gender'!DT30)*100</f>
        <v>27.629878640441841</v>
      </c>
      <c r="I32" s="13">
        <f>('Attainment 25+ by race &amp; gender'!AAT31/'Pop 25+ by race &amp; gender'!ES30)*100</f>
        <v>30.715206995100058</v>
      </c>
      <c r="J32" s="18"/>
    </row>
    <row r="33" spans="1:21" s="1" customFormat="1" ht="12.6">
      <c r="A33" s="37" t="s">
        <v>31</v>
      </c>
      <c r="B33" s="37"/>
      <c r="C33" s="13">
        <f>('Attainment 25+ by race &amp; gender'!GQ32/'Pop 25+ by race &amp; gender'!CU31)*100</f>
        <v>91.800000000000011</v>
      </c>
      <c r="D33" s="13">
        <f>('Attainment 25+ by race &amp; gender'!HP32/'Pop 25+ by race &amp; gender'!DT31)*100</f>
        <v>92.809872357623178</v>
      </c>
      <c r="E33" s="13">
        <f>('Attainment 25+ by race &amp; gender'!IO32/'Pop 25+ by race &amp; gender'!ES31)*100</f>
        <v>94.351803306910398</v>
      </c>
      <c r="F33" s="13"/>
      <c r="G33" s="112">
        <f>('Attainment 25+ by race &amp; gender'!YV32/'Pop 25+ by race &amp; gender'!CU31)*100</f>
        <v>28.299999999999997</v>
      </c>
      <c r="H33" s="13">
        <f>('Attainment 25+ by race &amp; gender'!ZU32/'Pop 25+ by race &amp; gender'!DT31)*100</f>
        <v>30.957205563725765</v>
      </c>
      <c r="I33" s="13">
        <f>('Attainment 25+ by race &amp; gender'!AAT32/'Pop 25+ by race &amp; gender'!ES31)*100</f>
        <v>34.798463139608586</v>
      </c>
      <c r="J33" s="18"/>
    </row>
    <row r="34" spans="1:21" s="1" customFormat="1" ht="12.6">
      <c r="A34" s="37" t="s">
        <v>32</v>
      </c>
      <c r="B34" s="37"/>
      <c r="C34" s="13">
        <f>('Attainment 25+ by race &amp; gender'!GQ33/'Pop 25+ by race &amp; gender'!CU32)*100</f>
        <v>84.3</v>
      </c>
      <c r="D34" s="13">
        <f>('Attainment 25+ by race &amp; gender'!HP33/'Pop 25+ by race &amp; gender'!DT32)*100</f>
        <v>86.047368708998761</v>
      </c>
      <c r="E34" s="13">
        <f>('Attainment 25+ by race &amp; gender'!IO33/'Pop 25+ by race &amp; gender'!ES32)*100</f>
        <v>87.155706836748564</v>
      </c>
      <c r="F34" s="13"/>
      <c r="G34" s="112">
        <f>('Attainment 25+ by race &amp; gender'!YV33/'Pop 25+ by race &amp; gender'!CU32)*100</f>
        <v>22.099999999999998</v>
      </c>
      <c r="H34" s="13">
        <f>('Attainment 25+ by race &amp; gender'!ZU33/'Pop 25+ by race &amp; gender'!DT32)*100</f>
        <v>23.464272036844537</v>
      </c>
      <c r="I34" s="13">
        <f>('Attainment 25+ by race &amp; gender'!AAT33/'Pop 25+ by race &amp; gender'!ES32)*100</f>
        <v>27.572912761888084</v>
      </c>
      <c r="J34" s="18"/>
    </row>
    <row r="35" spans="1:21" s="1" customFormat="1">
      <c r="A35" s="280" t="s">
        <v>33</v>
      </c>
      <c r="B35" s="280"/>
      <c r="C35" s="286">
        <f>('Attainment 25+ by race &amp; gender'!GQ34/'Pop 25+ by race &amp; gender'!CU33)*100</f>
        <v>83.199999999999989</v>
      </c>
      <c r="D35" s="286">
        <f>('Attainment 25+ by race &amp; gender'!HP34/'Pop 25+ by race &amp; gender'!DT33)*100</f>
        <v>85.414419199342234</v>
      </c>
      <c r="E35" s="286">
        <f>('Attainment 25+ by race &amp; gender'!IO34/'Pop 25+ by race &amp; gender'!ES33)*100</f>
        <v>87.481015808497332</v>
      </c>
      <c r="F35" s="286"/>
      <c r="G35" s="287">
        <f>('Attainment 25+ by race &amp; gender'!YV34/'Pop 25+ by race &amp; gender'!CU33)*100</f>
        <v>25.4</v>
      </c>
      <c r="H35" s="286">
        <f>('Attainment 25+ by race &amp; gender'!ZU34/'Pop 25+ by race &amp; gender'!DT33)*100</f>
        <v>27.183999206543714</v>
      </c>
      <c r="I35" s="286">
        <f>('Attainment 25+ by race &amp; gender'!AAT34/'Pop 25+ by race &amp; gender'!ES33)*100</f>
        <v>30.052759334569185</v>
      </c>
      <c r="J35" s="329"/>
      <c r="S35" s="520"/>
      <c r="T35" s="521"/>
      <c r="U35" s="522"/>
    </row>
    <row r="36" spans="1:21" s="1" customFormat="1">
      <c r="A36" s="280" t="s">
        <v>34</v>
      </c>
      <c r="B36" s="280"/>
      <c r="C36" s="286">
        <f>('Attainment 25+ by race &amp; gender'!GQ35/'Pop 25+ by race &amp; gender'!CU34)*100</f>
        <v>88.999999999999986</v>
      </c>
      <c r="D36" s="286">
        <f>('Attainment 25+ by race &amp; gender'!HP35/'Pop 25+ by race &amp; gender'!DT34)*100</f>
        <v>90.290879622890799</v>
      </c>
      <c r="E36" s="286">
        <f>('Attainment 25+ by race &amp; gender'!IO35/'Pop 25+ by race &amp; gender'!ES34)*100</f>
        <v>91.874244176550462</v>
      </c>
      <c r="F36" s="286"/>
      <c r="G36" s="287">
        <f>('Attainment 25+ by race &amp; gender'!YV35/'Pop 25+ by race &amp; gender'!CU34)*100</f>
        <v>29.100000000000005</v>
      </c>
      <c r="H36" s="286">
        <f>('Attainment 25+ by race &amp; gender'!ZU35/'Pop 25+ by race &amp; gender'!DT34)*100</f>
        <v>32.699289561196274</v>
      </c>
      <c r="I36" s="286">
        <f>('Attainment 25+ by race &amp; gender'!AAT35/'Pop 25+ by race &amp; gender'!ES34)*100</f>
        <v>36.331032935341931</v>
      </c>
      <c r="J36" s="329"/>
      <c r="S36" s="523"/>
      <c r="T36" s="524"/>
      <c r="U36" s="525"/>
    </row>
    <row r="37" spans="1:21" s="1" customFormat="1">
      <c r="A37" s="280" t="s">
        <v>35</v>
      </c>
      <c r="B37" s="280"/>
      <c r="C37" s="286">
        <f>('Attainment 25+ by race &amp; gender'!GQ36/'Pop 25+ by race &amp; gender'!CU35)*100</f>
        <v>90.4</v>
      </c>
      <c r="D37" s="286">
        <f>('Attainment 25+ by race &amp; gender'!HP36/'Pop 25+ by race &amp; gender'!DT35)*100</f>
        <v>91.733997142286754</v>
      </c>
      <c r="E37" s="286">
        <f>('Attainment 25+ by race &amp; gender'!IO36/'Pop 25+ by race &amp; gender'!ES35)*100</f>
        <v>93.174210123999927</v>
      </c>
      <c r="F37" s="286"/>
      <c r="G37" s="287">
        <f>('Attainment 25+ by race &amp; gender'!YV36/'Pop 25+ by race &amp; gender'!CU35)*100</f>
        <v>29.4</v>
      </c>
      <c r="H37" s="286">
        <f>('Attainment 25+ by race &amp; gender'!ZU36/'Pop 25+ by race &amp; gender'!DT35)*100</f>
        <v>32.577426308458065</v>
      </c>
      <c r="I37" s="286">
        <f>('Attainment 25+ by race &amp; gender'!AAT36/'Pop 25+ by race &amp; gender'!ES35)*100</f>
        <v>36.807433331327424</v>
      </c>
      <c r="J37" s="329"/>
      <c r="S37" s="523"/>
      <c r="T37" s="524"/>
      <c r="U37" s="525"/>
    </row>
    <row r="38" spans="1:21" s="1" customFormat="1">
      <c r="A38" s="280" t="s">
        <v>36</v>
      </c>
      <c r="B38" s="280"/>
      <c r="C38" s="286">
        <f>('Attainment 25+ by race &amp; gender'!GQ37/'Pop 25+ by race &amp; gender'!CU36)*100</f>
        <v>89.8</v>
      </c>
      <c r="D38" s="286">
        <f>('Attainment 25+ by race &amp; gender'!HP37/'Pop 25+ by race &amp; gender'!DT36)*100</f>
        <v>90.816932866745191</v>
      </c>
      <c r="E38" s="286">
        <f>('Attainment 25+ by race &amp; gender'!IO37/'Pop 25+ by race &amp; gender'!ES36)*100</f>
        <v>92.347831915024003</v>
      </c>
      <c r="F38" s="286"/>
      <c r="G38" s="287">
        <f>('Attainment 25+ by race &amp; gender'!YV37/'Pop 25+ by race &amp; gender'!CU36)*100</f>
        <v>31.300000000000004</v>
      </c>
      <c r="H38" s="286">
        <f>('Attainment 25+ by race &amp; gender'!ZU37/'Pop 25+ by race &amp; gender'!DT36)*100</f>
        <v>35.138410364741304</v>
      </c>
      <c r="I38" s="286">
        <f>('Attainment 25+ by race &amp; gender'!AAT37/'Pop 25+ by race &amp; gender'!ES36)*100</f>
        <v>38.966930925253131</v>
      </c>
      <c r="J38" s="329"/>
      <c r="S38" s="523"/>
      <c r="T38" s="524"/>
      <c r="U38" s="525"/>
    </row>
    <row r="39" spans="1:21" s="1" customFormat="1">
      <c r="A39" s="281" t="s">
        <v>37</v>
      </c>
      <c r="B39" s="281"/>
      <c r="C39" s="288">
        <f>('Attainment 25+ by race &amp; gender'!GQ38/'Pop 25+ by race &amp; gender'!CU37)*100</f>
        <v>92.199999999999989</v>
      </c>
      <c r="D39" s="288">
        <f>('Attainment 25+ by race &amp; gender'!HP38/'Pop 25+ by race &amp; gender'!DT37)*100</f>
        <v>93.170058905715038</v>
      </c>
      <c r="E39" s="286">
        <f>('Attainment 25+ by race &amp; gender'!IO38/'Pop 25+ by race &amp; gender'!ES37)*100</f>
        <v>93.586409947691649</v>
      </c>
      <c r="F39" s="288"/>
      <c r="G39" s="289">
        <f>('Attainment 25+ by race &amp; gender'!YV38/'Pop 25+ by race &amp; gender'!CU37)*100</f>
        <v>24.299999999999997</v>
      </c>
      <c r="H39" s="288">
        <f>('Attainment 25+ by race &amp; gender'!ZU38/'Pop 25+ by race &amp; gender'!DT37)*100</f>
        <v>27.10302614676786</v>
      </c>
      <c r="I39" s="286">
        <f>('Attainment 25+ by race &amp; gender'!AAT38/'Pop 25+ by race &amp; gender'!ES37)*100</f>
        <v>29.244614870949135</v>
      </c>
      <c r="J39" s="325"/>
      <c r="S39" s="523"/>
      <c r="T39" s="524"/>
      <c r="U39" s="525"/>
    </row>
    <row r="40" spans="1:21" s="1" customFormat="1">
      <c r="A40" s="37" t="s">
        <v>38</v>
      </c>
      <c r="B40" s="37"/>
      <c r="C40" s="13">
        <f>('Attainment 25+ by race &amp; gender'!GQ39/'Pop 25+ by race &amp; gender'!CU38)*100</f>
        <v>88.512984219450303</v>
      </c>
      <c r="D40" s="13">
        <f>('Attainment 25+ by race &amp; gender'!HP39/'Pop 25+ by race &amp; gender'!DT38)*100</f>
        <v>90.219620222170889</v>
      </c>
      <c r="E40" s="290">
        <f>('Attainment 25+ by race &amp; gender'!IO39/'Pop 25+ by race &amp; gender'!ES38)*100</f>
        <v>91.825078074394966</v>
      </c>
      <c r="F40" s="13"/>
      <c r="G40" s="112">
        <f>('Attainment 25+ by race &amp; gender'!YV39/'Pop 25+ by race &amp; gender'!CU38)*100</f>
        <v>26.934021331908053</v>
      </c>
      <c r="H40" s="13">
        <f>('Attainment 25+ by race &amp; gender'!ZU39/'Pop 25+ by race &amp; gender'!DT38)*100</f>
        <v>29.913815231297807</v>
      </c>
      <c r="I40" s="290">
        <f>('Attainment 25+ by race &amp; gender'!AAT39/'Pop 25+ by race &amp; gender'!ES38)*100</f>
        <v>33.109296799212814</v>
      </c>
      <c r="J40" s="18"/>
      <c r="S40" s="523"/>
      <c r="T40" s="524"/>
      <c r="U40" s="525"/>
    </row>
    <row r="41" spans="1:21" s="1" customFormat="1">
      <c r="A41" s="37" t="s">
        <v>7</v>
      </c>
      <c r="B41" s="37"/>
      <c r="C41" s="13">
        <f>(C40/C$6)*100</f>
        <v>103.3799749223153</v>
      </c>
      <c r="D41" s="13">
        <f>(D40/D$6)*100</f>
        <v>103.16361333804875</v>
      </c>
      <c r="E41" s="13">
        <f>(E40/E$6)*100</f>
        <v>102.75491192520701</v>
      </c>
      <c r="F41" s="13"/>
      <c r="G41" s="112">
        <f t="shared" ref="G41:I41" si="2">(G40/G$6)*100</f>
        <v>95.354374901712958</v>
      </c>
      <c r="H41" s="13">
        <f t="shared" si="2"/>
        <v>95.639193508831582</v>
      </c>
      <c r="I41" s="13">
        <f t="shared" si="2"/>
        <v>94.555665593823946</v>
      </c>
      <c r="J41" s="18"/>
      <c r="S41" s="523"/>
      <c r="T41" s="524"/>
      <c r="U41" s="525"/>
    </row>
    <row r="42" spans="1:21" s="1" customFormat="1">
      <c r="A42" s="280" t="s">
        <v>39</v>
      </c>
      <c r="B42" s="280"/>
      <c r="C42" s="286">
        <f>('Attainment 25+ by race &amp; gender'!GQ41/'Pop 25+ by race &amp; gender'!CU40)*100</f>
        <v>86.9</v>
      </c>
      <c r="D42" s="286">
        <f>('Attainment 25+ by race &amp; gender'!HP41/'Pop 25+ by race &amp; gender'!DT40)*100</f>
        <v>88.847056260205321</v>
      </c>
      <c r="E42" s="286">
        <f>('Attainment 25+ by race &amp; gender'!IO41/'Pop 25+ by race &amp; gender'!ES40)*100</f>
        <v>90.172560106025898</v>
      </c>
      <c r="F42" s="286"/>
      <c r="G42" s="287">
        <f>('Attainment 25+ by race &amp; gender'!YV41/'Pop 25+ by race &amp; gender'!CU40)*100</f>
        <v>30.9</v>
      </c>
      <c r="H42" s="286">
        <f>('Attainment 25+ by race &amp; gender'!ZU41/'Pop 25+ by race &amp; gender'!DT40)*100</f>
        <v>33.955114117715894</v>
      </c>
      <c r="I42" s="286">
        <f>('Attainment 25+ by race &amp; gender'!AAT41/'Pop 25+ by race &amp; gender'!ES40)*100</f>
        <v>37.139978629426722</v>
      </c>
      <c r="J42" s="329"/>
      <c r="S42" s="523"/>
      <c r="T42" s="524"/>
      <c r="U42" s="525"/>
    </row>
    <row r="43" spans="1:21" s="1" customFormat="1">
      <c r="A43" s="280" t="s">
        <v>40</v>
      </c>
      <c r="B43" s="280"/>
      <c r="C43" s="286">
        <f>('Attainment 25+ by race &amp; gender'!GQ42/'Pop 25+ by race &amp; gender'!CU41)*100</f>
        <v>87.000000000000014</v>
      </c>
      <c r="D43" s="286">
        <f>('Attainment 25+ by race &amp; gender'!HP42/'Pop 25+ by race &amp; gender'!DT41)*100</f>
        <v>88.355375069207682</v>
      </c>
      <c r="E43" s="286">
        <f>('Attainment 25+ by race &amp; gender'!IO42/'Pop 25+ by race &amp; gender'!ES41)*100</f>
        <v>90.641040908792831</v>
      </c>
      <c r="F43" s="286"/>
      <c r="G43" s="287">
        <f>('Attainment 25+ by race &amp; gender'!YV42/'Pop 25+ by race &amp; gender'!CU41)*100</f>
        <v>22.799999999999997</v>
      </c>
      <c r="H43" s="286">
        <f>('Attainment 25+ by race &amp; gender'!ZU42/'Pop 25+ by race &amp; gender'!DT41)*100</f>
        <v>25.607889311419996</v>
      </c>
      <c r="I43" s="286">
        <f>('Attainment 25+ by race &amp; gender'!AAT42/'Pop 25+ by race &amp; gender'!ES41)*100</f>
        <v>28.879244833627983</v>
      </c>
      <c r="J43" s="329"/>
      <c r="S43" s="523"/>
      <c r="T43" s="524"/>
      <c r="U43" s="525"/>
    </row>
    <row r="44" spans="1:21" s="1" customFormat="1">
      <c r="A44" s="280" t="s">
        <v>41</v>
      </c>
      <c r="B44" s="280"/>
      <c r="C44" s="286">
        <f>('Attainment 25+ by race &amp; gender'!GQ43/'Pop 25+ by race &amp; gender'!CU42)*100</f>
        <v>90.6</v>
      </c>
      <c r="D44" s="286">
        <f>('Attainment 25+ by race &amp; gender'!HP43/'Pop 25+ by race &amp; gender'!DT42)*100</f>
        <v>91.753888319230299</v>
      </c>
      <c r="E44" s="286">
        <f>('Attainment 25+ by race &amp; gender'!IO43/'Pop 25+ by race &amp; gender'!ES42)*100</f>
        <v>93.324820880556942</v>
      </c>
      <c r="F44" s="286"/>
      <c r="G44" s="287">
        <f>('Attainment 25+ by race &amp; gender'!YV43/'Pop 25+ by race &amp; gender'!CU42)*100</f>
        <v>25.299999999999994</v>
      </c>
      <c r="H44" s="286">
        <f>('Attainment 25+ by race &amp; gender'!ZU43/'Pop 25+ by race &amp; gender'!DT42)*100</f>
        <v>28.421481346609038</v>
      </c>
      <c r="I44" s="286">
        <f>('Attainment 25+ by race &amp; gender'!AAT43/'Pop 25+ by race &amp; gender'!ES42)*100</f>
        <v>30.541052309474605</v>
      </c>
      <c r="J44" s="329"/>
      <c r="S44" s="523"/>
      <c r="T44" s="524"/>
      <c r="U44" s="525"/>
    </row>
    <row r="45" spans="1:21" s="1" customFormat="1">
      <c r="A45" s="280" t="s">
        <v>42</v>
      </c>
      <c r="B45" s="280"/>
      <c r="C45" s="286">
        <f>('Attainment 25+ by race &amp; gender'!GQ44/'Pop 25+ by race &amp; gender'!CU43)*100</f>
        <v>89.500000000000014</v>
      </c>
      <c r="D45" s="286">
        <f>('Attainment 25+ by race &amp; gender'!HP44/'Pop 25+ by race &amp; gender'!DT43)*100</f>
        <v>90.547090387835524</v>
      </c>
      <c r="E45" s="286">
        <f>('Attainment 25+ by race &amp; gender'!IO44/'Pop 25+ by race &amp; gender'!ES43)*100</f>
        <v>91.894375925850596</v>
      </c>
      <c r="F45" s="286"/>
      <c r="G45" s="287">
        <f>('Attainment 25+ by race &amp; gender'!YV44/'Pop 25+ by race &amp; gender'!CU43)*100</f>
        <v>29.799999999999997</v>
      </c>
      <c r="H45" s="286">
        <f>('Attainment 25+ by race &amp; gender'!ZU44/'Pop 25+ by race &amp; gender'!DT43)*100</f>
        <v>32.846037075249903</v>
      </c>
      <c r="I45" s="286">
        <f>('Attainment 25+ by race &amp; gender'!AAT44/'Pop 25+ by race &amp; gender'!ES43)*100</f>
        <v>35.396751921727301</v>
      </c>
      <c r="J45" s="329"/>
      <c r="S45" s="523"/>
      <c r="T45" s="524"/>
      <c r="U45" s="525"/>
    </row>
    <row r="46" spans="1:21" s="1" customFormat="1">
      <c r="A46" s="37" t="s">
        <v>43</v>
      </c>
      <c r="B46" s="37"/>
      <c r="C46" s="13">
        <f>('Attainment 25+ by race &amp; gender'!GQ45/'Pop 25+ by race &amp; gender'!CU44)*100</f>
        <v>88.7</v>
      </c>
      <c r="D46" s="13">
        <f>('Attainment 25+ by race &amp; gender'!HP45/'Pop 25+ by race &amp; gender'!DT44)*100</f>
        <v>90.41611726639924</v>
      </c>
      <c r="E46" s="13">
        <f>('Attainment 25+ by race &amp; gender'!IO45/'Pop 25+ by race &amp; gender'!ES44)*100</f>
        <v>91.963476214142631</v>
      </c>
      <c r="F46" s="13"/>
      <c r="G46" s="112">
        <f>('Attainment 25+ by race &amp; gender'!YV45/'Pop 25+ by race &amp; gender'!CU44)*100</f>
        <v>25.3</v>
      </c>
      <c r="H46" s="13">
        <f>('Attainment 25+ by race &amp; gender'!ZU45/'Pop 25+ by race &amp; gender'!DT44)*100</f>
        <v>28.250243106844831</v>
      </c>
      <c r="I46" s="13">
        <f>('Attainment 25+ by race &amp; gender'!AAT45/'Pop 25+ by race &amp; gender'!ES44)*100</f>
        <v>31.6724506034586</v>
      </c>
      <c r="J46" s="18"/>
      <c r="S46" s="523"/>
      <c r="T46" s="524"/>
      <c r="U46" s="525"/>
    </row>
    <row r="47" spans="1:21" s="1" customFormat="1">
      <c r="A47" s="37" t="s">
        <v>44</v>
      </c>
      <c r="B47" s="37"/>
      <c r="C47" s="13">
        <f>('Attainment 25+ by race &amp; gender'!GQ46/'Pop 25+ by race &amp; gender'!CU45)*100</f>
        <v>91.7</v>
      </c>
      <c r="D47" s="13">
        <f>('Attainment 25+ by race &amp; gender'!HP46/'Pop 25+ by race &amp; gender'!DT45)*100</f>
        <v>92.916296560556617</v>
      </c>
      <c r="E47" s="13">
        <f>('Attainment 25+ by race &amp; gender'!IO46/'Pop 25+ by race &amp; gender'!ES45)*100</f>
        <v>94.130234829593746</v>
      </c>
      <c r="F47" s="13"/>
      <c r="G47" s="112">
        <f>('Attainment 25+ by race &amp; gender'!YV46/'Pop 25+ by race &amp; gender'!CU45)*100</f>
        <v>31.900000000000002</v>
      </c>
      <c r="H47" s="13">
        <f>('Attainment 25+ by race &amp; gender'!ZU46/'Pop 25+ by race &amp; gender'!DT45)*100</f>
        <v>34.815717356238437</v>
      </c>
      <c r="I47" s="13">
        <f>('Attainment 25+ by race &amp; gender'!AAT46/'Pop 25+ by race &amp; gender'!ES45)*100</f>
        <v>38.895264164697231</v>
      </c>
      <c r="J47" s="18"/>
      <c r="S47" s="523"/>
      <c r="T47" s="524"/>
      <c r="U47" s="525"/>
    </row>
    <row r="48" spans="1:21" s="1" customFormat="1">
      <c r="A48" s="37" t="s">
        <v>45</v>
      </c>
      <c r="B48" s="37"/>
      <c r="C48" s="13">
        <f>('Attainment 25+ by race &amp; gender'!GQ47/'Pop 25+ by race &amp; gender'!CU46)*100</f>
        <v>87.200000000000017</v>
      </c>
      <c r="D48" s="13">
        <f>('Attainment 25+ by race &amp; gender'!HP47/'Pop 25+ by race &amp; gender'!DT46)*100</f>
        <v>89.567155073969658</v>
      </c>
      <c r="E48" s="13">
        <f>('Attainment 25+ by race &amp; gender'!IO47/'Pop 25+ by race &amp; gender'!ES46)*100</f>
        <v>91.59177255470901</v>
      </c>
      <c r="F48" s="13"/>
      <c r="G48" s="112">
        <f>('Attainment 25+ by race &amp; gender'!YV47/'Pop 25+ by race &amp; gender'!CU46)*100</f>
        <v>25.7</v>
      </c>
      <c r="H48" s="13">
        <f>('Attainment 25+ by race &amp; gender'!ZU47/'Pop 25+ by race &amp; gender'!DT46)*100</f>
        <v>28.455375303262741</v>
      </c>
      <c r="I48" s="13">
        <f>('Attainment 25+ by race &amp; gender'!AAT47/'Pop 25+ by race &amp; gender'!ES46)*100</f>
        <v>31.718928111589506</v>
      </c>
      <c r="J48" s="18"/>
      <c r="S48" s="523"/>
      <c r="T48" s="524"/>
      <c r="U48" s="525"/>
    </row>
    <row r="49" spans="1:21" s="1" customFormat="1">
      <c r="A49" s="37" t="s">
        <v>46</v>
      </c>
      <c r="B49" s="37"/>
      <c r="C49" s="13">
        <f>('Attainment 25+ by race &amp; gender'!GQ48/'Pop 25+ by race &amp; gender'!CU47)*100</f>
        <v>90.5</v>
      </c>
      <c r="D49" s="13">
        <f>('Attainment 25+ by race &amp; gender'!HP48/'Pop 25+ by race &amp; gender'!DT47)*100</f>
        <v>90.887347043784473</v>
      </c>
      <c r="E49" s="13">
        <f>('Attainment 25+ by race &amp; gender'!IO48/'Pop 25+ by race &amp; gender'!ES47)*100</f>
        <v>92.161533605253538</v>
      </c>
      <c r="F49" s="13"/>
      <c r="G49" s="112">
        <f>('Attainment 25+ by race &amp; gender'!YV48/'Pop 25+ by race &amp; gender'!CU47)*100</f>
        <v>28.200000000000003</v>
      </c>
      <c r="H49" s="13">
        <f>('Attainment 25+ by race &amp; gender'!ZU48/'Pop 25+ by race &amp; gender'!DT47)*100</f>
        <v>31.43316557058095</v>
      </c>
      <c r="I49" s="13">
        <f>('Attainment 25+ by race &amp; gender'!AAT48/'Pop 25+ by race &amp; gender'!ES47)*100</f>
        <v>34.448634312699994</v>
      </c>
      <c r="J49" s="18"/>
      <c r="S49" s="523"/>
      <c r="T49" s="524"/>
      <c r="U49" s="525"/>
    </row>
    <row r="50" spans="1:21" s="1" customFormat="1">
      <c r="A50" s="280" t="s">
        <v>47</v>
      </c>
      <c r="B50" s="280"/>
      <c r="C50" s="286">
        <f>('Attainment 25+ by race &amp; gender'!GQ49/'Pop 25+ by race &amp; gender'!CU48)*100</f>
        <v>90.300000000000011</v>
      </c>
      <c r="D50" s="286">
        <f>('Attainment 25+ by race &amp; gender'!HP49/'Pop 25+ by race &amp; gender'!DT48)*100</f>
        <v>92.375180550084352</v>
      </c>
      <c r="E50" s="286">
        <f>('Attainment 25+ by race &amp; gender'!IO49/'Pop 25+ by race &amp; gender'!ES48)*100</f>
        <v>93.624528603482275</v>
      </c>
      <c r="F50" s="286"/>
      <c r="G50" s="287">
        <f>('Attainment 25+ by race &amp; gender'!YV49/'Pop 25+ by race &amp; gender'!CU48)*100</f>
        <v>26.599999999999994</v>
      </c>
      <c r="H50" s="286">
        <f>('Attainment 25+ by race &amp; gender'!ZU49/'Pop 25+ by race &amp; gender'!DT48)*100</f>
        <v>29.559306283647967</v>
      </c>
      <c r="I50" s="286">
        <f>('Attainment 25+ by race &amp; gender'!AAT49/'Pop 25+ by race &amp; gender'!ES48)*100</f>
        <v>31.741586891871361</v>
      </c>
      <c r="J50" s="329"/>
      <c r="S50" s="523"/>
      <c r="T50" s="524"/>
      <c r="U50" s="525"/>
    </row>
    <row r="51" spans="1:21" s="1" customFormat="1">
      <c r="A51" s="280" t="s">
        <v>48</v>
      </c>
      <c r="B51" s="280"/>
      <c r="C51" s="286">
        <f>('Attainment 25+ by race &amp; gender'!GQ50/'Pop 25+ by race &amp; gender'!CU49)*100</f>
        <v>88.1</v>
      </c>
      <c r="D51" s="286">
        <f>('Attainment 25+ by race &amp; gender'!HP50/'Pop 25+ by race &amp; gender'!DT49)*100</f>
        <v>90.023858690307989</v>
      </c>
      <c r="E51" s="286">
        <f>('Attainment 25+ by race &amp; gender'!IO50/'Pop 25+ by race &amp; gender'!ES49)*100</f>
        <v>91.742840238566941</v>
      </c>
      <c r="F51" s="286"/>
      <c r="G51" s="287">
        <f>('Attainment 25+ by race &amp; gender'!YV50/'Pop 25+ by race &amp; gender'!CU49)*100</f>
        <v>24.6</v>
      </c>
      <c r="H51" s="286">
        <f>('Attainment 25+ by race &amp; gender'!ZU50/'Pop 25+ by race &amp; gender'!DT49)*100</f>
        <v>27.514064837420467</v>
      </c>
      <c r="I51" s="286">
        <f>('Attainment 25+ by race &amp; gender'!AAT50/'Pop 25+ by race &amp; gender'!ES49)*100</f>
        <v>30.720846201385495</v>
      </c>
      <c r="J51" s="329"/>
      <c r="S51" s="523"/>
      <c r="T51" s="524"/>
      <c r="U51" s="525"/>
    </row>
    <row r="52" spans="1:21" s="1" customFormat="1">
      <c r="A52" s="280" t="s">
        <v>49</v>
      </c>
      <c r="B52" s="280"/>
      <c r="C52" s="286">
        <f>('Attainment 25+ by race &amp; gender'!GQ51/'Pop 25+ by race &amp; gender'!CU50)*100</f>
        <v>90</v>
      </c>
      <c r="D52" s="286">
        <f>('Attainment 25+ by race &amp; gender'!HP51/'Pop 25+ by race &amp; gender'!DT50)*100</f>
        <v>91.16247919221621</v>
      </c>
      <c r="E52" s="286">
        <f>('Attainment 25+ by race &amp; gender'!IO51/'Pop 25+ by race &amp; gender'!ES50)*100</f>
        <v>93.053083029996088</v>
      </c>
      <c r="F52" s="286"/>
      <c r="G52" s="287">
        <f>('Attainment 25+ by race &amp; gender'!YV51/'Pop 25+ by race &amp; gender'!CU50)*100</f>
        <v>26</v>
      </c>
      <c r="H52" s="286">
        <f>('Attainment 25+ by race &amp; gender'!ZU51/'Pop 25+ by race &amp; gender'!DT50)*100</f>
        <v>28.850102669404514</v>
      </c>
      <c r="I52" s="286">
        <f>('Attainment 25+ by race &amp; gender'!AAT51/'Pop 25+ by race &amp; gender'!ES50)*100</f>
        <v>31.66552897555291</v>
      </c>
      <c r="J52" s="329"/>
      <c r="S52" s="526"/>
      <c r="T52" s="527"/>
      <c r="U52" s="528"/>
    </row>
    <row r="53" spans="1:21" s="1" customFormat="1" ht="12.6">
      <c r="A53" s="280" t="s">
        <v>50</v>
      </c>
      <c r="B53" s="280"/>
      <c r="C53" s="286">
        <f>('Attainment 25+ by race &amp; gender'!GQ52/'Pop 25+ by race &amp; gender'!CU51)*100</f>
        <v>90.1</v>
      </c>
      <c r="D53" s="286">
        <f>('Attainment 25+ by race &amp; gender'!HP52/'Pop 25+ by race &amp; gender'!DT51)*100</f>
        <v>91.921753812101656</v>
      </c>
      <c r="E53" s="286">
        <f>('Attainment 25+ by race &amp; gender'!IO52/'Pop 25+ by race &amp; gender'!ES51)*100</f>
        <v>93.325530580258402</v>
      </c>
      <c r="F53" s="286"/>
      <c r="G53" s="287">
        <f>('Attainment 25+ by race &amp; gender'!YV52/'Pop 25+ by race &amp; gender'!CU51)*100</f>
        <v>26.200000000000003</v>
      </c>
      <c r="H53" s="286">
        <f>('Attainment 25+ by race &amp; gender'!ZU52/'Pop 25+ by race &amp; gender'!DT51)*100</f>
        <v>29.496007071872199</v>
      </c>
      <c r="I53" s="286">
        <f>('Attainment 25+ by race &amp; gender'!AAT52/'Pop 25+ by race &amp; gender'!ES51)*100</f>
        <v>32.540914776715084</v>
      </c>
      <c r="J53" s="329"/>
    </row>
    <row r="54" spans="1:21" s="1" customFormat="1" ht="12.6">
      <c r="A54" s="282" t="s">
        <v>51</v>
      </c>
      <c r="B54" s="282"/>
      <c r="C54" s="290">
        <f>('Attainment 25+ by race &amp; gender'!GQ53/'Pop 25+ by race &amp; gender'!CU52)*100</f>
        <v>87.304521492764849</v>
      </c>
      <c r="D54" s="290">
        <f>('Attainment 25+ by race &amp; gender'!HP53/'Pop 25+ by race &amp; gender'!DT52)*100</f>
        <v>88.837431565671665</v>
      </c>
      <c r="E54" s="290">
        <f>('Attainment 25+ by race &amp; gender'!IO53/'Pop 25+ by race &amp; gender'!ES52)*100</f>
        <v>90.369665942558413</v>
      </c>
      <c r="F54" s="290"/>
      <c r="G54" s="291">
        <f>('Attainment 25+ by race &amp; gender'!YV53/'Pop 25+ by race &amp; gender'!CU52)*100</f>
        <v>32.509047825341099</v>
      </c>
      <c r="H54" s="290">
        <f>('Attainment 25+ by race &amp; gender'!ZU53/'Pop 25+ by race &amp; gender'!DT52)*100</f>
        <v>35.914192541413406</v>
      </c>
      <c r="I54" s="290">
        <f>('Attainment 25+ by race &amp; gender'!AAT53/'Pop 25+ by race &amp; gender'!ES52)*100</f>
        <v>40.063476648413534</v>
      </c>
      <c r="J54" s="326"/>
    </row>
    <row r="55" spans="1:21" s="1" customFormat="1" ht="14.45">
      <c r="A55" s="37" t="s">
        <v>7</v>
      </c>
      <c r="B55" s="37"/>
      <c r="C55" s="13">
        <f>(C54/C$6)*100</f>
        <v>101.96853401925465</v>
      </c>
      <c r="D55" s="13">
        <f>(D54/D$6)*100</f>
        <v>101.58311925296854</v>
      </c>
      <c r="E55" s="13">
        <f>(E54/E$6)*100</f>
        <v>101.12626375459963</v>
      </c>
      <c r="F55" s="13"/>
      <c r="G55" s="112">
        <f t="shared" ref="G55:I55" si="3">(G54/G$6)*100</f>
        <v>115.09161204840001</v>
      </c>
      <c r="H55" s="13">
        <f t="shared" si="3"/>
        <v>114.82334779510018</v>
      </c>
      <c r="I55" s="13">
        <f t="shared" si="3"/>
        <v>114.41586100322829</v>
      </c>
      <c r="J55" s="18"/>
    </row>
    <row r="56" spans="1:21" s="1" customFormat="1" ht="12.6">
      <c r="A56" s="280" t="s">
        <v>52</v>
      </c>
      <c r="B56" s="280"/>
      <c r="C56" s="286">
        <f>('Attainment 25+ by race &amp; gender'!GQ55/'Pop 25+ by race &amp; gender'!CU54)*100</f>
        <v>88.8</v>
      </c>
      <c r="D56" s="286">
        <f>('Attainment 25+ by race &amp; gender'!HP55/'Pop 25+ by race &amp; gender'!DT54)*100</f>
        <v>90.520262086275807</v>
      </c>
      <c r="E56" s="286">
        <f>('Attainment 25+ by race &amp; gender'!IO55/'Pop 25+ by race &amp; gender'!ES54)*100</f>
        <v>91.114538647777593</v>
      </c>
      <c r="F56" s="286"/>
      <c r="G56" s="287">
        <f>('Attainment 25+ by race &amp; gender'!YV55/'Pop 25+ by race &amp; gender'!CU54)*100</f>
        <v>35.799999999999997</v>
      </c>
      <c r="H56" s="286">
        <f>('Attainment 25+ by race &amp; gender'!ZU55/'Pop 25+ by race &amp; gender'!DT54)*100</f>
        <v>38.642205388985943</v>
      </c>
      <c r="I56" s="286">
        <f>('Attainment 25+ by race &amp; gender'!AAT55/'Pop 25+ by race &amp; gender'!ES54)*100</f>
        <v>42.127569074202093</v>
      </c>
      <c r="J56" s="329"/>
    </row>
    <row r="57" spans="1:21" s="1" customFormat="1" ht="12.6">
      <c r="A57" s="280" t="s">
        <v>53</v>
      </c>
      <c r="B57" s="280"/>
      <c r="C57" s="286">
        <f>('Attainment 25+ by race &amp; gender'!GQ56/'Pop 25+ by race &amp; gender'!CU55)*100</f>
        <v>90.7</v>
      </c>
      <c r="D57" s="286">
        <f>('Attainment 25+ by race &amp; gender'!HP56/'Pop 25+ by race &amp; gender'!DT55)*100</f>
        <v>92.329776767100952</v>
      </c>
      <c r="E57" s="286">
        <f>('Attainment 25+ by race &amp; gender'!IO56/'Pop 25+ by race &amp; gender'!ES55)*100</f>
        <v>94.528006714754937</v>
      </c>
      <c r="F57" s="286"/>
      <c r="G57" s="287">
        <f>('Attainment 25+ by race &amp; gender'!YV56/'Pop 25+ by race &amp; gender'!CU55)*100</f>
        <v>27.699999999999996</v>
      </c>
      <c r="H57" s="286">
        <f>('Attainment 25+ by race &amp; gender'!ZU56/'Pop 25+ by race &amp; gender'!DT55)*100</f>
        <v>30.12076737408297</v>
      </c>
      <c r="I57" s="286">
        <f>('Attainment 25+ by race &amp; gender'!AAT56/'Pop 25+ by race &amp; gender'!ES55)*100</f>
        <v>35.987874823412582</v>
      </c>
      <c r="J57" s="329"/>
    </row>
    <row r="58" spans="1:21" s="1" customFormat="1" ht="12.6">
      <c r="A58" s="280" t="s">
        <v>54</v>
      </c>
      <c r="B58" s="280"/>
      <c r="C58" s="286">
        <f>('Attainment 25+ by race &amp; gender'!GQ57/'Pop 25+ by race &amp; gender'!CU56)*100</f>
        <v>89.1</v>
      </c>
      <c r="D58" s="286">
        <f>('Attainment 25+ by race &amp; gender'!HP57/'Pop 25+ by race &amp; gender'!DT56)*100</f>
        <v>90.424461900173768</v>
      </c>
      <c r="E58" s="286">
        <f>('Attainment 25+ by race &amp; gender'!IO57/'Pop 25+ by race &amp; gender'!ES56)*100</f>
        <v>91.100024215994509</v>
      </c>
      <c r="F58" s="286"/>
      <c r="G58" s="287">
        <f>('Attainment 25+ by race &amp; gender'!YV57/'Pop 25+ by race &amp; gender'!CU56)*100</f>
        <v>38.799999999999997</v>
      </c>
      <c r="H58" s="286">
        <f>('Attainment 25+ by race &amp; gender'!ZU57/'Pop 25+ by race &amp; gender'!DT56)*100</f>
        <v>42.735898246753315</v>
      </c>
      <c r="I58" s="286">
        <f>('Attainment 25+ by race &amp; gender'!AAT57/'Pop 25+ by race &amp; gender'!ES56)*100</f>
        <v>46.616762129021602</v>
      </c>
      <c r="J58" s="329"/>
    </row>
    <row r="59" spans="1:21" s="1" customFormat="1" ht="12.6">
      <c r="A59" s="280" t="s">
        <v>55</v>
      </c>
      <c r="B59" s="280"/>
      <c r="C59" s="286">
        <f>('Attainment 25+ by race &amp; gender'!GQ58/'Pop 25+ by race &amp; gender'!CU57)*100</f>
        <v>91.499999999999986</v>
      </c>
      <c r="D59" s="286">
        <f>('Attainment 25+ by race &amp; gender'!HP58/'Pop 25+ by race &amp; gender'!DT57)*100</f>
        <v>92.834634534490803</v>
      </c>
      <c r="E59" s="286">
        <f>('Attainment 25+ by race &amp; gender'!IO58/'Pop 25+ by race &amp; gender'!ES57)*100</f>
        <v>94.438262532256687</v>
      </c>
      <c r="F59" s="286"/>
      <c r="G59" s="287">
        <f>('Attainment 25+ by race &amp; gender'!YV58/'Pop 25+ by race &amp; gender'!CU57)*100</f>
        <v>32.9</v>
      </c>
      <c r="H59" s="286">
        <f>('Attainment 25+ by race &amp; gender'!ZU58/'Pop 25+ by race &amp; gender'!DT57)*100</f>
        <v>36.58538644513532</v>
      </c>
      <c r="I59" s="286">
        <f>('Attainment 25+ by race &amp; gender'!AAT58/'Pop 25+ by race &amp; gender'!ES57)*100</f>
        <v>40.246727718834734</v>
      </c>
      <c r="J59" s="329"/>
    </row>
    <row r="60" spans="1:21" s="1" customFormat="1" ht="12.6">
      <c r="A60" s="37" t="s">
        <v>56</v>
      </c>
      <c r="B60" s="37"/>
      <c r="C60" s="13">
        <f>('Attainment 25+ by race &amp; gender'!GQ59/'Pop 25+ by race &amp; gender'!CU58)*100</f>
        <v>87.9</v>
      </c>
      <c r="D60" s="13">
        <f>('Attainment 25+ by race &amp; gender'!HP59/'Pop 25+ by race &amp; gender'!DT58)*100</f>
        <v>89.294156766332236</v>
      </c>
      <c r="E60" s="13">
        <f>('Attainment 25+ by race &amp; gender'!IO59/'Pop 25+ by race &amp; gender'!ES58)*100</f>
        <v>90.980931594409824</v>
      </c>
      <c r="F60" s="13"/>
      <c r="G60" s="112">
        <f>('Attainment 25+ by race &amp; gender'!YV59/'Pop 25+ by race &amp; gender'!CU58)*100</f>
        <v>35.200000000000003</v>
      </c>
      <c r="H60" s="13">
        <f>('Attainment 25+ by race &amp; gender'!ZU59/'Pop 25+ by race &amp; gender'!DT58)*100</f>
        <v>38.563209711218548</v>
      </c>
      <c r="I60" s="13">
        <f>('Attainment 25+ by race &amp; gender'!AAT59/'Pop 25+ by race &amp; gender'!ES58)*100</f>
        <v>43.102594252742364</v>
      </c>
      <c r="J60" s="18"/>
    </row>
    <row r="61" spans="1:21" s="1" customFormat="1" ht="12.6">
      <c r="A61" s="37" t="s">
        <v>57</v>
      </c>
      <c r="B61" s="37"/>
      <c r="C61" s="13">
        <f>('Attainment 25+ by race &amp; gender'!GQ60/'Pop 25+ by race &amp; gender'!CU59)*100</f>
        <v>84.9</v>
      </c>
      <c r="D61" s="13">
        <f>('Attainment 25+ by race &amp; gender'!HP60/'Pop 25+ by race &amp; gender'!DT59)*100</f>
        <v>86.316479941688613</v>
      </c>
      <c r="E61" s="13">
        <f>('Attainment 25+ by race &amp; gender'!IO60/'Pop 25+ by race &amp; gender'!ES59)*100</f>
        <v>88.034826962627122</v>
      </c>
      <c r="F61" s="13"/>
      <c r="G61" s="112">
        <f>('Attainment 25+ by race &amp; gender'!YV60/'Pop 25+ by race &amp; gender'!CU59)*100</f>
        <v>32.6</v>
      </c>
      <c r="H61" s="13">
        <f>('Attainment 25+ by race &amp; gender'!ZU60/'Pop 25+ by race &amp; gender'!DT59)*100</f>
        <v>35.652244478962018</v>
      </c>
      <c r="I61" s="13">
        <f>('Attainment 25+ by race &amp; gender'!AAT60/'Pop 25+ by race &amp; gender'!ES59)*100</f>
        <v>39.920279366107067</v>
      </c>
      <c r="J61" s="18"/>
    </row>
    <row r="62" spans="1:21" s="1" customFormat="1" ht="12.6">
      <c r="A62" s="37" t="s">
        <v>58</v>
      </c>
      <c r="B62" s="37"/>
      <c r="C62" s="13">
        <f>('Attainment 25+ by race &amp; gender'!GQ61/'Pop 25+ by race &amp; gender'!CU60)*100</f>
        <v>88.399999999999991</v>
      </c>
      <c r="D62" s="13">
        <f>('Attainment 25+ by race &amp; gender'!HP61/'Pop 25+ by race &amp; gender'!DT60)*100</f>
        <v>90.132834938452532</v>
      </c>
      <c r="E62" s="13">
        <f>('Attainment 25+ by race &amp; gender'!IO61/'Pop 25+ by race &amp; gender'!ES60)*100</f>
        <v>91.887268478472635</v>
      </c>
      <c r="F62" s="13"/>
      <c r="G62" s="112">
        <f>('Attainment 25+ by race &amp; gender'!YV61/'Pop 25+ by race &amp; gender'!CU60)*100</f>
        <v>26.900000000000002</v>
      </c>
      <c r="H62" s="13">
        <f>('Attainment 25+ by race &amp; gender'!ZU61/'Pop 25+ by race &amp; gender'!DT60)*100</f>
        <v>30.797407524679233</v>
      </c>
      <c r="I62" s="13">
        <f>('Attainment 25+ by race &amp; gender'!AAT61/'Pop 25+ by race &amp; gender'!ES60)*100</f>
        <v>34.544902856325812</v>
      </c>
      <c r="J62" s="18"/>
    </row>
    <row r="63" spans="1:21" s="1" customFormat="1" ht="12.6">
      <c r="A63" s="37" t="s">
        <v>59</v>
      </c>
      <c r="B63" s="37"/>
      <c r="C63" s="13">
        <f>('Attainment 25+ by race &amp; gender'!GQ62/'Pop 25+ by race &amp; gender'!CU61)*100</f>
        <v>84.6</v>
      </c>
      <c r="D63" s="13">
        <f>('Attainment 25+ by race &amp; gender'!HP62/'Pop 25+ by race &amp; gender'!DT61)*100</f>
        <v>88.531629532249383</v>
      </c>
      <c r="E63" s="13">
        <f>('Attainment 25+ by race &amp; gender'!IO62/'Pop 25+ by race &amp; gender'!ES61)*100</f>
        <v>89.137697423538782</v>
      </c>
      <c r="F63" s="13"/>
      <c r="G63" s="112">
        <f>('Attainment 25+ by race &amp; gender'!YV62/'Pop 25+ by race &amp; gender'!CU61)*100</f>
        <v>30.8</v>
      </c>
      <c r="H63" s="13">
        <f>('Attainment 25+ by race &amp; gender'!ZU62/'Pop 25+ by race &amp; gender'!DT61)*100</f>
        <v>34.093958817238722</v>
      </c>
      <c r="I63" s="13">
        <f>('Attainment 25+ by race &amp; gender'!AAT62/'Pop 25+ by race &amp; gender'!ES61)*100</f>
        <v>36.501504918134522</v>
      </c>
      <c r="J63" s="18"/>
    </row>
    <row r="64" spans="1:21" s="1" customFormat="1" ht="12.6">
      <c r="A64" s="265" t="s">
        <v>60</v>
      </c>
      <c r="B64" s="265"/>
      <c r="C64" s="284">
        <f>('Attainment 25+ by race &amp; gender'!GQ63/'Pop 25+ by race &amp; gender'!CU62)*100</f>
        <v>91.300000000000011</v>
      </c>
      <c r="D64" s="284">
        <f>('Attainment 25+ by race &amp; gender'!HP63/'Pop 25+ by race &amp; gender'!DT62)*100</f>
        <v>92.135370811465023</v>
      </c>
      <c r="E64" s="13">
        <f>('Attainment 25+ by race &amp; gender'!IO63/'Pop 25+ by race &amp; gender'!ES62)*100</f>
        <v>94.547930106655429</v>
      </c>
      <c r="F64" s="284"/>
      <c r="G64" s="285">
        <f>('Attainment 25+ by race &amp; gender'!YV63/'Pop 25+ by race &amp; gender'!CU62)*100</f>
        <v>34</v>
      </c>
      <c r="H64" s="284">
        <f>('Attainment 25+ by race &amp; gender'!ZU63/'Pop 25+ by race &amp; gender'!DT62)*100</f>
        <v>36.366800663386137</v>
      </c>
      <c r="I64" s="13">
        <f>('Attainment 25+ by race &amp; gender'!AAT63/'Pop 25+ by race &amp; gender'!ES62)*100</f>
        <v>44.438897353605427</v>
      </c>
      <c r="J64" s="135"/>
    </row>
    <row r="65" spans="1:79" s="1" customFormat="1" ht="12.6">
      <c r="A65" s="283" t="s">
        <v>61</v>
      </c>
      <c r="B65" s="283"/>
      <c r="C65" s="288">
        <f>('Attainment 25+ by race &amp; gender'!GQ64/'Pop 25+ by race &amp; gender'!CU63)*100</f>
        <v>87.3</v>
      </c>
      <c r="D65" s="288">
        <f>('Attainment 25+ by race &amp; gender'!HP64/'Pop 25+ by race &amp; gender'!DT63)*100</f>
        <v>90.473344190870506</v>
      </c>
      <c r="E65" s="292">
        <f>('Attainment 25+ by race &amp; gender'!IO64/'Pop 25+ by race &amp; gender'!ES63)*100</f>
        <v>92.785531378061464</v>
      </c>
      <c r="F65" s="292"/>
      <c r="G65" s="289">
        <f>('Attainment 25+ by race &amp; gender'!YV64/'Pop 25+ by race &amp; gender'!CU63)*100</f>
        <v>50.7</v>
      </c>
      <c r="H65" s="288">
        <f>('Attainment 25+ by race &amp; gender'!ZU64/'Pop 25+ by race &amp; gender'!DT63)*100</f>
        <v>56.830251708812519</v>
      </c>
      <c r="I65" s="292">
        <f>('Attainment 25+ by race &amp; gender'!AAT64/'Pop 25+ by race &amp; gender'!ES63)*100</f>
        <v>63.046865535722496</v>
      </c>
      <c r="J65" s="327"/>
    </row>
    <row r="66" spans="1:79" s="1" customFormat="1" ht="15.75" customHeight="1">
      <c r="A66" s="134" t="s">
        <v>62</v>
      </c>
      <c r="J66" s="16"/>
      <c r="M66" s="16"/>
    </row>
    <row r="67" spans="1:79" s="1" customFormat="1" ht="15.75" customHeight="1">
      <c r="A67" s="794" t="s">
        <v>63</v>
      </c>
      <c r="J67" s="16"/>
      <c r="M67" s="16"/>
    </row>
    <row r="68" spans="1:79" s="1" customFormat="1" ht="15.75" customHeight="1">
      <c r="A68" s="120" t="s">
        <v>64</v>
      </c>
      <c r="J68" s="16"/>
    </row>
    <row r="69" spans="1:79" s="498" customFormat="1" ht="51.75" customHeight="1">
      <c r="A69" s="499" t="s">
        <v>65</v>
      </c>
      <c r="B69" s="797" t="s">
        <v>66</v>
      </c>
      <c r="C69" s="797"/>
      <c r="D69" s="797"/>
      <c r="E69" s="797"/>
      <c r="F69" s="797"/>
      <c r="G69" s="797"/>
      <c r="H69" s="797"/>
      <c r="I69" s="797"/>
      <c r="J69" s="797"/>
      <c r="K69" s="790"/>
      <c r="L69" s="790"/>
      <c r="M69" s="790"/>
      <c r="N69" s="790"/>
      <c r="O69" s="790"/>
      <c r="P69" s="790"/>
      <c r="Q69" s="790"/>
      <c r="R69" s="790"/>
      <c r="S69" s="790"/>
      <c r="T69" s="790"/>
      <c r="U69" s="790"/>
      <c r="V69" s="790"/>
      <c r="W69" s="790"/>
      <c r="X69" s="790"/>
      <c r="Y69" s="790"/>
      <c r="Z69" s="790"/>
      <c r="AA69" s="790"/>
      <c r="AB69" s="790"/>
      <c r="AC69" s="790"/>
      <c r="AD69" s="790"/>
      <c r="AE69" s="790"/>
      <c r="AF69" s="790"/>
      <c r="AG69" s="790"/>
      <c r="AH69" s="790"/>
      <c r="AI69" s="790"/>
      <c r="AJ69" s="790"/>
      <c r="AK69" s="790"/>
      <c r="AL69" s="790"/>
      <c r="AM69" s="790"/>
      <c r="AN69" s="790"/>
      <c r="AO69" s="790"/>
      <c r="AP69" s="790"/>
      <c r="AQ69" s="790"/>
      <c r="AR69" s="790"/>
      <c r="AS69" s="790"/>
      <c r="AT69" s="790"/>
      <c r="AU69" s="790"/>
      <c r="AV69" s="790"/>
      <c r="AW69" s="790"/>
      <c r="AX69" s="790"/>
      <c r="AY69" s="790"/>
      <c r="AZ69" s="790"/>
      <c r="BA69" s="790"/>
      <c r="BB69" s="790"/>
      <c r="BC69" s="790"/>
      <c r="BD69" s="790"/>
      <c r="BE69" s="790"/>
      <c r="BF69" s="790"/>
      <c r="BG69" s="790"/>
      <c r="BH69" s="790"/>
      <c r="BI69" s="790"/>
      <c r="BJ69" s="790"/>
      <c r="BK69" s="790"/>
      <c r="BL69" s="790"/>
      <c r="BM69" s="790"/>
      <c r="BN69" s="790"/>
      <c r="BO69" s="790"/>
      <c r="BP69" s="790"/>
      <c r="BQ69" s="790"/>
      <c r="BR69" s="790"/>
      <c r="BS69" s="790"/>
      <c r="BT69" s="790"/>
      <c r="BU69" s="790"/>
      <c r="BV69" s="790"/>
      <c r="BW69" s="790"/>
      <c r="BX69" s="790"/>
      <c r="BY69" s="790"/>
      <c r="BZ69" s="790"/>
      <c r="CA69" s="790"/>
    </row>
    <row r="70" spans="1:79">
      <c r="A70" s="1"/>
      <c r="B70" s="1"/>
      <c r="C70" s="1"/>
      <c r="D70" s="1"/>
      <c r="E70" s="1"/>
      <c r="F70" s="1"/>
      <c r="G70" s="1"/>
      <c r="H70" s="1"/>
      <c r="I70" s="519">
        <v>45505</v>
      </c>
      <c r="J70" s="333"/>
    </row>
    <row r="71" spans="1:79">
      <c r="A71" s="1"/>
      <c r="B71" s="1"/>
      <c r="C71" s="1"/>
      <c r="D71" s="1"/>
      <c r="E71" s="1"/>
      <c r="F71" s="1"/>
      <c r="G71" s="1"/>
      <c r="H71" s="1"/>
      <c r="I71" s="1"/>
      <c r="J71" s="16"/>
    </row>
    <row r="72" spans="1:79">
      <c r="A72" s="1"/>
      <c r="B72" s="1"/>
      <c r="C72" s="1"/>
      <c r="D72" s="1"/>
      <c r="E72" s="1"/>
      <c r="F72" s="1"/>
      <c r="G72" s="1"/>
      <c r="H72" s="1"/>
      <c r="I72" s="1"/>
      <c r="J72" s="16"/>
    </row>
    <row r="73" spans="1:79">
      <c r="A73" s="1"/>
      <c r="B73" s="1"/>
      <c r="C73" s="1"/>
      <c r="D73" s="1"/>
      <c r="E73" s="1"/>
      <c r="F73" s="1"/>
      <c r="G73" s="1"/>
      <c r="H73" s="1"/>
      <c r="I73" s="1"/>
      <c r="J73" s="16"/>
    </row>
    <row r="74" spans="1:79">
      <c r="A74" s="1"/>
      <c r="B74" s="1"/>
      <c r="C74" s="1"/>
      <c r="D74" s="1"/>
      <c r="E74" s="1"/>
      <c r="F74" s="1"/>
      <c r="G74" s="1"/>
      <c r="H74" s="1"/>
      <c r="I74" s="1"/>
      <c r="J74" s="16"/>
    </row>
    <row r="75" spans="1:79">
      <c r="A75" s="1"/>
      <c r="B75" s="1"/>
      <c r="C75" s="1"/>
      <c r="D75" s="1"/>
      <c r="E75" s="1"/>
      <c r="F75" s="1"/>
      <c r="G75" s="1"/>
      <c r="H75" s="1"/>
      <c r="I75" s="1"/>
      <c r="J75" s="16"/>
    </row>
    <row r="76" spans="1:79">
      <c r="A76" s="1"/>
      <c r="B76" s="1"/>
      <c r="C76" s="1"/>
      <c r="D76" s="1"/>
      <c r="E76" s="1"/>
      <c r="F76" s="1"/>
      <c r="G76" s="1"/>
      <c r="H76" s="1"/>
      <c r="I76" s="1"/>
      <c r="J76" s="16"/>
    </row>
    <row r="77" spans="1:79">
      <c r="A77" s="1"/>
      <c r="B77" s="1"/>
      <c r="C77" s="1"/>
      <c r="D77" s="1"/>
      <c r="E77" s="1"/>
      <c r="F77" s="1"/>
      <c r="G77" s="1"/>
      <c r="H77" s="1"/>
      <c r="I77" s="1"/>
      <c r="J77" s="16"/>
    </row>
    <row r="78" spans="1:79">
      <c r="A78" s="1"/>
      <c r="B78" s="1"/>
      <c r="C78" s="1"/>
      <c r="D78" s="1"/>
      <c r="E78" s="1"/>
      <c r="F78" s="1"/>
      <c r="G78" s="1"/>
      <c r="H78" s="1"/>
      <c r="I78" s="1"/>
      <c r="J78" s="16"/>
    </row>
    <row r="79" spans="1:79">
      <c r="A79" s="1"/>
      <c r="B79" s="1"/>
      <c r="C79" s="1"/>
      <c r="D79" s="1"/>
      <c r="E79" s="1"/>
      <c r="F79" s="1"/>
      <c r="G79" s="1"/>
      <c r="H79" s="1"/>
      <c r="I79" s="1"/>
      <c r="J79" s="16"/>
    </row>
    <row r="80" spans="1:79">
      <c r="A80" s="1"/>
      <c r="B80" s="1"/>
      <c r="C80" s="1"/>
      <c r="D80" s="1"/>
      <c r="E80" s="1"/>
      <c r="F80" s="1"/>
      <c r="G80" s="1"/>
      <c r="H80" s="1"/>
      <c r="I80" s="1"/>
      <c r="J80" s="16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6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6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6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6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6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6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6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6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6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6"/>
    </row>
  </sheetData>
  <mergeCells count="1">
    <mergeCell ref="B69:J69"/>
  </mergeCells>
  <phoneticPr fontId="8" type="noConversion"/>
  <pageMargins left="0.75" right="0.75" top="1" bottom="1" header="0.5" footer="0.5"/>
  <pageSetup scale="68" orientation="portrait" r:id="rId1"/>
  <headerFooter alignWithMargins="0">
    <oddFooter>&amp;LSREB Fact Book&amp;R&amp;D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6"/>
  </sheetPr>
  <dimension ref="A1:AW79"/>
  <sheetViews>
    <sheetView showGridLines="0" view="pageBreakPreview" topLeftCell="A58" zoomScale="80" zoomScaleNormal="100" zoomScaleSheetLayoutView="80" workbookViewId="0">
      <selection activeCell="AC76" sqref="AC76"/>
    </sheetView>
  </sheetViews>
  <sheetFormatPr defaultColWidth="8.77734375" defaultRowHeight="12.6"/>
  <cols>
    <col min="1" max="1" width="6.5546875" style="529" customWidth="1"/>
    <col min="2" max="2" width="10.21875" style="529" customWidth="1"/>
    <col min="3" max="4" width="5.88671875" style="529" customWidth="1"/>
    <col min="5" max="10" width="7.109375" style="529" customWidth="1"/>
    <col min="11" max="12" width="5.88671875" style="529" customWidth="1"/>
    <col min="13" max="18" width="7.21875" style="529" customWidth="1"/>
    <col min="19" max="19" width="5.88671875" style="529" customWidth="1"/>
    <col min="20" max="20" width="8.109375" style="529" customWidth="1"/>
    <col min="21" max="26" width="7.21875" style="529" customWidth="1"/>
    <col min="27" max="27" width="5.88671875" style="529" customWidth="1"/>
    <col min="28" max="28" width="7.33203125" style="529" customWidth="1"/>
    <col min="29" max="29" width="7.21875" style="529" bestFit="1" customWidth="1"/>
    <col min="30" max="30" width="7.21875" style="709" customWidth="1"/>
    <col min="31" max="31" width="5.88671875" style="709" customWidth="1"/>
    <col min="32" max="34" width="7.21875" style="709" customWidth="1"/>
    <col min="35" max="35" width="7.21875" style="529" customWidth="1"/>
    <col min="36" max="38" width="11.33203125" style="529" customWidth="1"/>
    <col min="39" max="39" width="68.77734375" style="529" customWidth="1"/>
    <col min="40" max="43" width="11.33203125" style="529" customWidth="1"/>
    <col min="44" max="16384" width="8.77734375" style="529"/>
  </cols>
  <sheetData>
    <row r="1" spans="1:49">
      <c r="A1" s="1" t="s">
        <v>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702"/>
      <c r="AE1" s="702"/>
      <c r="AF1" s="702"/>
      <c r="AG1" s="702"/>
      <c r="AH1" s="702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49" ht="15">
      <c r="A2" s="784" t="s">
        <v>68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702"/>
      <c r="AE2" s="702"/>
      <c r="AF2" s="702"/>
      <c r="AG2" s="702"/>
      <c r="AH2" s="702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49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702"/>
      <c r="AE3" s="702"/>
      <c r="AF3" s="702"/>
      <c r="AG3" s="702"/>
      <c r="AH3" s="702"/>
      <c r="AI3" s="1"/>
      <c r="AJ3" s="798" t="s">
        <v>69</v>
      </c>
      <c r="AK3" s="798"/>
      <c r="AL3" s="798"/>
      <c r="AM3" s="798"/>
      <c r="AN3" s="798" t="s">
        <v>70</v>
      </c>
      <c r="AO3" s="798"/>
      <c r="AP3" s="798"/>
      <c r="AQ3" s="798"/>
      <c r="AR3" s="798"/>
      <c r="AS3" s="798"/>
      <c r="AT3" s="798"/>
      <c r="AU3" s="798"/>
      <c r="AV3" s="798"/>
      <c r="AW3" s="798"/>
    </row>
    <row r="4" spans="1:49" ht="15" customHeight="1">
      <c r="A4" s="565"/>
      <c r="B4" s="565"/>
      <c r="C4" s="538" t="s">
        <v>71</v>
      </c>
      <c r="D4" s="566"/>
      <c r="E4" s="566"/>
      <c r="F4" s="566"/>
      <c r="G4" s="566"/>
      <c r="H4" s="566"/>
      <c r="I4" s="566"/>
      <c r="J4" s="566"/>
      <c r="K4" s="567"/>
      <c r="L4" s="568"/>
      <c r="M4" s="566"/>
      <c r="N4" s="566"/>
      <c r="O4" s="566"/>
      <c r="P4" s="566"/>
      <c r="Q4" s="566"/>
      <c r="R4" s="566"/>
      <c r="S4" s="539" t="s">
        <v>72</v>
      </c>
      <c r="T4" s="568"/>
      <c r="U4" s="566"/>
      <c r="V4" s="566"/>
      <c r="W4" s="566"/>
      <c r="X4" s="566"/>
      <c r="Y4" s="566"/>
      <c r="Z4" s="570"/>
      <c r="AA4" s="567"/>
      <c r="AB4" s="568"/>
      <c r="AC4" s="566"/>
      <c r="AD4" s="703"/>
      <c r="AE4" s="768"/>
      <c r="AF4" s="768"/>
      <c r="AG4" s="768"/>
      <c r="AH4" s="768"/>
      <c r="AI4" s="1"/>
      <c r="AJ4" s="1"/>
      <c r="AK4" s="1"/>
      <c r="AL4" s="1"/>
      <c r="AM4" s="1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ht="39.75" customHeight="1">
      <c r="A5" s="1"/>
      <c r="B5" s="1"/>
      <c r="C5" s="567" t="s">
        <v>2</v>
      </c>
      <c r="D5" s="568"/>
      <c r="E5" s="566"/>
      <c r="F5" s="566"/>
      <c r="G5" s="566"/>
      <c r="H5" s="566"/>
      <c r="I5" s="566"/>
      <c r="J5" s="566"/>
      <c r="K5" s="569" t="s">
        <v>3</v>
      </c>
      <c r="L5" s="568"/>
      <c r="M5" s="570"/>
      <c r="N5" s="566"/>
      <c r="O5" s="566"/>
      <c r="P5" s="566"/>
      <c r="Q5" s="566"/>
      <c r="R5" s="570"/>
      <c r="S5" s="804" t="s">
        <v>2</v>
      </c>
      <c r="T5" s="805"/>
      <c r="U5" s="805"/>
      <c r="V5" s="805"/>
      <c r="W5" s="805"/>
      <c r="X5" s="805"/>
      <c r="Y5" s="805"/>
      <c r="Z5" s="806"/>
      <c r="AA5" s="802" t="s">
        <v>3</v>
      </c>
      <c r="AB5" s="803"/>
      <c r="AC5" s="803"/>
      <c r="AD5" s="803"/>
      <c r="AE5" s="803"/>
      <c r="AF5" s="803"/>
      <c r="AG5" s="803"/>
      <c r="AH5" s="803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1:49" ht="46.5" customHeight="1">
      <c r="A6" s="2"/>
      <c r="B6" s="2"/>
      <c r="C6" s="563" t="s">
        <v>73</v>
      </c>
      <c r="D6" s="563" t="s">
        <v>74</v>
      </c>
      <c r="E6" s="563" t="s">
        <v>75</v>
      </c>
      <c r="F6" s="563" t="s">
        <v>76</v>
      </c>
      <c r="G6" s="563" t="s">
        <v>77</v>
      </c>
      <c r="H6" s="563" t="s">
        <v>78</v>
      </c>
      <c r="I6" s="563" t="s">
        <v>79</v>
      </c>
      <c r="J6" s="563" t="s">
        <v>80</v>
      </c>
      <c r="K6" s="785" t="s">
        <v>73</v>
      </c>
      <c r="L6" s="563" t="s">
        <v>74</v>
      </c>
      <c r="M6" s="563" t="s">
        <v>75</v>
      </c>
      <c r="N6" s="563" t="s">
        <v>76</v>
      </c>
      <c r="O6" s="563" t="s">
        <v>77</v>
      </c>
      <c r="P6" s="563" t="s">
        <v>78</v>
      </c>
      <c r="Q6" s="563" t="s">
        <v>79</v>
      </c>
      <c r="R6" s="564" t="s">
        <v>80</v>
      </c>
      <c r="S6" s="563" t="s">
        <v>73</v>
      </c>
      <c r="T6" s="563" t="s">
        <v>74</v>
      </c>
      <c r="U6" s="563" t="s">
        <v>75</v>
      </c>
      <c r="V6" s="563" t="s">
        <v>76</v>
      </c>
      <c r="W6" s="563" t="s">
        <v>77</v>
      </c>
      <c r="X6" s="563" t="s">
        <v>78</v>
      </c>
      <c r="Y6" s="563" t="s">
        <v>79</v>
      </c>
      <c r="Z6" s="564" t="s">
        <v>80</v>
      </c>
      <c r="AA6" s="563" t="s">
        <v>73</v>
      </c>
      <c r="AB6" s="563" t="s">
        <v>74</v>
      </c>
      <c r="AC6" s="563" t="s">
        <v>75</v>
      </c>
      <c r="AD6" s="704" t="s">
        <v>76</v>
      </c>
      <c r="AE6" s="704" t="s">
        <v>77</v>
      </c>
      <c r="AF6" s="563" t="s">
        <v>78</v>
      </c>
      <c r="AG6" s="704" t="s">
        <v>79</v>
      </c>
      <c r="AH6" s="704" t="s">
        <v>80</v>
      </c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49" ht="12.75">
      <c r="A7" s="265" t="s">
        <v>5</v>
      </c>
      <c r="B7" s="265"/>
      <c r="C7" s="571">
        <f>+'Attainment by Race Trends'!CU6</f>
        <v>94.037214946465724</v>
      </c>
      <c r="D7" s="571">
        <f>+'Attainment by Race Trends'!CW6</f>
        <v>87.969000275111142</v>
      </c>
      <c r="E7" s="571">
        <f>+'Attainment by Race Trends'!CY6</f>
        <v>72.392589877470215</v>
      </c>
      <c r="F7" s="571">
        <f>+'Attainment by Race Trends'!DA6</f>
        <v>87.777615929514894</v>
      </c>
      <c r="G7" s="571">
        <f>+'Attainment by Race Trends'!DC6</f>
        <v>86.659513021438656</v>
      </c>
      <c r="H7" s="571">
        <f>+'Attainment by Race Trends'!DE6</f>
        <v>77.137214654952444</v>
      </c>
      <c r="I7" s="571">
        <f>+'Attainment by Race Trends'!DG6</f>
        <v>80.583263454237525</v>
      </c>
      <c r="J7" s="571">
        <f>+'Attainment by Race Trends'!DI6</f>
        <v>66.97266315199353</v>
      </c>
      <c r="K7" s="786">
        <f>+'Attainment by Race Trends'!DK6</f>
        <v>38.873581850161507</v>
      </c>
      <c r="L7" s="571">
        <f>+'Attainment by Race Trends'!DM6</f>
        <v>24.859897632553128</v>
      </c>
      <c r="M7" s="572">
        <f>+'Attainment by Race Trends'!DO6</f>
        <v>19.71391181500077</v>
      </c>
      <c r="N7" s="771">
        <f>+'Attainment by Race Trends'!DQ6</f>
        <v>56.253561136500608</v>
      </c>
      <c r="O7" s="774">
        <f>+'Attainment by Race Trends'!DS6</f>
        <v>16.868804906084524</v>
      </c>
      <c r="P7" s="775">
        <f>+'Attainment by Race Trends'!DU6</f>
        <v>15.995021402955963</v>
      </c>
      <c r="Q7" s="771">
        <f>+'Attainment by Race Trends'!DW6</f>
        <v>27.049971204810564</v>
      </c>
      <c r="R7" s="775">
        <f>+'Attainment by Race Trends'!DY6</f>
        <v>15.558176356135467</v>
      </c>
      <c r="S7" s="572">
        <f>IFERROR(('Attainment by Race Trends'!CU6-'Attainment by Race Trends'!CT6), "-")</f>
        <v>1.5785497611807813</v>
      </c>
      <c r="T7" s="572">
        <f>IFERROR(('Attainment by Race Trends'!CW6-'Attainment by Race Trends'!CV6), "-")</f>
        <v>2.725308437526067</v>
      </c>
      <c r="U7" s="572">
        <f>IFERROR(('Attainment by Race Trends'!CY6-'Attainment by Race Trends'!CX6), "-")</f>
        <v>5.2792837029993223</v>
      </c>
      <c r="V7" s="774">
        <f>IFERROR(('Attainment by Race Trends'!DA6-'Attainment by Race Trends'!CZ6), "-")</f>
        <v>1.1839157602556867</v>
      </c>
      <c r="W7" s="774">
        <f>IFERROR(('Attainment by Race Trends'!DC6-'Attainment by Race Trends'!DB6), "-")</f>
        <v>15.89819706575112</v>
      </c>
      <c r="X7" s="774">
        <f>IFERROR(('Attainment by Race Trends'!DE6-'Attainment by Race Trends'!DD6), "-")</f>
        <v>-3.7098948284722866</v>
      </c>
      <c r="Y7" s="774">
        <f>IFERROR(('Attainment by Race Trends'!DG6-'Attainment by Race Trends'!DF6), "-")</f>
        <v>-10.292578665284893</v>
      </c>
      <c r="Z7" s="783">
        <f>IFERROR(('Attainment by Race Trends'!DI6-'Attainment by Race Trends'!DH6), "-")</f>
        <v>-8.4361968040677198</v>
      </c>
      <c r="AA7" s="572">
        <f>IFERROR(('Attainment by Race Trends'!DK6-'Attainment by Race Trends'!DJ6), "-")</f>
        <v>3.9063094428781184</v>
      </c>
      <c r="AB7" s="572">
        <f>IFERROR(('Attainment by Race Trends'!DM6-'Attainment by Race Trends'!DL6), "-")</f>
        <v>3.9889082348958276</v>
      </c>
      <c r="AC7" s="572">
        <f>IFERROR(('Attainment by Race Trends'!DO6-'Attainment by Race Trends'!DN6), "-")</f>
        <v>4.3675348706344579</v>
      </c>
      <c r="AD7" s="774">
        <f>IFERROR(('Attainment by Race Trends'!DQ6-'Attainment by Race Trends'!DP6), "-")</f>
        <v>3.0867295809758417</v>
      </c>
      <c r="AE7" s="774">
        <f>IFERROR(('Attainment by Race Trends'!DS6-'Attainment by Race Trends'!DR6), "-")</f>
        <v>7.3173022708709414</v>
      </c>
      <c r="AF7" s="774">
        <f>IFERROR(('Attainment by Race Trends'!DU6-'Attainment by Race Trends'!DT6), "-")</f>
        <v>1.3871241215339829</v>
      </c>
      <c r="AG7" s="774">
        <f>IFERROR(('Attainment by Race Trends'!DW6-'Attainment by Race Trends'!DV6), "-")</f>
        <v>-3.9192823330976125</v>
      </c>
      <c r="AH7" s="774">
        <f>IFERROR(('Attainment by Race Trends'!DY6-'Attainment by Race Trends'!DX6), "-")</f>
        <v>2.0664492792489355</v>
      </c>
      <c r="AI7" s="573"/>
      <c r="AJ7" s="572"/>
      <c r="AK7" s="572"/>
      <c r="AL7" s="572"/>
      <c r="AM7" s="705"/>
      <c r="AN7" s="1"/>
      <c r="AO7" s="1"/>
      <c r="AP7" s="1"/>
      <c r="AQ7" s="1"/>
      <c r="AR7" s="1"/>
      <c r="AS7" s="1"/>
      <c r="AT7" s="1"/>
      <c r="AU7" s="1"/>
      <c r="AV7" s="1"/>
      <c r="AW7" s="1"/>
    </row>
    <row r="8" spans="1:49" ht="12.75">
      <c r="A8" s="37" t="s">
        <v>6</v>
      </c>
      <c r="B8" s="37"/>
      <c r="C8" s="573">
        <f>+'Attainment by Race Trends'!CU7</f>
        <v>92.825056754905219</v>
      </c>
      <c r="D8" s="573">
        <f>+'Attainment by Race Trends'!CW7</f>
        <v>87.801541356036964</v>
      </c>
      <c r="E8" s="573">
        <f>+'Attainment by Race Trends'!CY7</f>
        <v>73.258368980584194</v>
      </c>
      <c r="F8" s="573">
        <f>+'Attainment by Race Trends'!DA7</f>
        <v>88.203708073068668</v>
      </c>
      <c r="G8" s="769">
        <f>+'Attainment by Race Trends'!DC7</f>
        <v>83.988903904971906</v>
      </c>
      <c r="H8" s="769">
        <f>+'Attainment by Race Trends'!DE7</f>
        <v>75.707447223267536</v>
      </c>
      <c r="I8" s="769">
        <f>+'Attainment by Race Trends'!DG7</f>
        <v>79.881382325296897</v>
      </c>
      <c r="J8" s="769">
        <f>+'Attainment by Race Trends'!DI7</f>
        <v>66.474975890384741</v>
      </c>
      <c r="K8" s="787">
        <f>+'Attainment by Race Trends'!DK7</f>
        <v>36.852621888924233</v>
      </c>
      <c r="L8" s="13">
        <f>+'Attainment by Race Trends'!DM7</f>
        <v>24.691608510476311</v>
      </c>
      <c r="M8" s="290">
        <f>+'Attainment by Race Trends'!DO7</f>
        <v>21.582100014908772</v>
      </c>
      <c r="N8" s="769">
        <f>+'Attainment by Race Trends'!DQ7</f>
        <v>59.278627044345377</v>
      </c>
      <c r="O8" s="769">
        <f>+'Attainment by Race Trends'!DS7</f>
        <v>26.356782132441854</v>
      </c>
      <c r="P8" s="769">
        <f>+'Attainment by Race Trends'!DU7</f>
        <v>18.572121138153499</v>
      </c>
      <c r="Q8" s="769">
        <f>+'Attainment by Race Trends'!DW7</f>
        <v>26.849974167433839</v>
      </c>
      <c r="R8" s="776">
        <f>+'Attainment by Race Trends'!DY7</f>
        <v>16.654568781107777</v>
      </c>
      <c r="S8" s="573">
        <f>('Attainment by Race Trends'!CU7-'Attainment by Race Trends'!CT7)</f>
        <v>2.0800228173959283</v>
      </c>
      <c r="T8" s="573">
        <f>IFERROR(('Attainment by Race Trends'!CW7-'Attainment by Race Trends'!CV7), "-")</f>
        <v>3.1777109421118297</v>
      </c>
      <c r="U8" s="766">
        <f>IFERROR(('Attainment by Race Trends'!CY7-'Attainment by Race Trends'!CX7), "-")</f>
        <v>4.9837890255797532</v>
      </c>
      <c r="V8" s="769">
        <f>IFERROR(('Attainment by Race Trends'!DA7-'Attainment by Race Trends'!CZ7), "-")</f>
        <v>0.73626020336664055</v>
      </c>
      <c r="W8" s="769">
        <f>IFERROR(('Attainment by Race Trends'!DC7-'Attainment by Race Trends'!DB7), "-")</f>
        <v>-0.67770277189302419</v>
      </c>
      <c r="X8" s="769">
        <f>IFERROR(('Attainment by Race Trends'!DE7-'Attainment by Race Trends'!DD7), "-")</f>
        <v>-4.0011504766210066</v>
      </c>
      <c r="Y8" s="769">
        <f>IFERROR(('Attainment by Race Trends'!DG7-'Attainment by Race Trends'!DF7), "-")</f>
        <v>2.8958666848268138</v>
      </c>
      <c r="Z8" s="776">
        <f>IFERROR(('Attainment by Race Trends'!DI7-'Attainment by Race Trends'!DH7), "-")</f>
        <v>5.4549439420561043</v>
      </c>
      <c r="AA8" s="573">
        <f>IFERROR(('Attainment by Race Trends'!DK7-'Attainment by Race Trends'!DJ7), "-")</f>
        <v>4.2234097334566627</v>
      </c>
      <c r="AB8" s="573">
        <f>IFERROR(('Attainment by Race Trends'!DM7-'Attainment by Race Trends'!DL7), "-")</f>
        <v>4.1119000391883169</v>
      </c>
      <c r="AC8" s="573">
        <f>IFERROR(('Attainment by Race Trends'!DO7-'Attainment by Race Trends'!DN7), "-")</f>
        <v>4.3336735212548376</v>
      </c>
      <c r="AD8" s="769">
        <f>IFERROR(('Attainment by Race Trends'!DQ7-'Attainment by Race Trends'!DP7), "-")</f>
        <v>3.534447473449184</v>
      </c>
      <c r="AE8" s="769">
        <f>IFERROR(('Attainment by Race Trends'!DS7-'Attainment by Race Trends'!DR7), "-")</f>
        <v>14.859736630177238</v>
      </c>
      <c r="AF8" s="769">
        <f>IFERROR(('Attainment by Race Trends'!DU7-'Attainment by Race Trends'!DT7), "-")</f>
        <v>1.8325516597824212</v>
      </c>
      <c r="AG8" s="769">
        <f>IFERROR(('Attainment by Race Trends'!DW7-'Attainment by Race Trends'!DV7), "-")</f>
        <v>0.92663983845556785</v>
      </c>
      <c r="AH8" s="769">
        <f>IFERROR(('Attainment by Race Trends'!DY7-'Attainment by Race Trends'!DX7), "-")</f>
        <v>4.132527988213317</v>
      </c>
      <c r="AI8" s="573"/>
      <c r="AJ8" s="573"/>
      <c r="AK8" s="573"/>
      <c r="AL8" s="573"/>
      <c r="AM8" s="705"/>
      <c r="AN8" s="1"/>
      <c r="AO8" s="1"/>
      <c r="AP8" s="1"/>
      <c r="AQ8" s="1"/>
      <c r="AR8" s="1"/>
      <c r="AS8" s="1"/>
      <c r="AT8" s="1"/>
      <c r="AU8" s="1"/>
      <c r="AV8" s="1"/>
      <c r="AW8" s="1"/>
    </row>
    <row r="9" spans="1:49" ht="15">
      <c r="A9" s="37" t="s">
        <v>81</v>
      </c>
      <c r="B9" s="37"/>
      <c r="C9" s="573">
        <f>(C8/C$7)*100</f>
        <v>98.710980336614</v>
      </c>
      <c r="D9" s="573">
        <f>(D8/D$7)*100</f>
        <v>99.80963871528553</v>
      </c>
      <c r="E9" s="573">
        <f t="shared" ref="E9:M9" si="0">(E8/E$7)*100</f>
        <v>101.19594989567216</v>
      </c>
      <c r="F9" s="573">
        <f>(F8/F$7)*100</f>
        <v>100.48542232440663</v>
      </c>
      <c r="G9" s="769">
        <f>(G8/G$7)*100</f>
        <v>96.918273570489518</v>
      </c>
      <c r="H9" s="769">
        <f>(H8/H$7)*100</f>
        <v>98.146462199755987</v>
      </c>
      <c r="I9" s="769">
        <f>(I8/I$7)*100</f>
        <v>99.128998877863495</v>
      </c>
      <c r="J9" s="769">
        <f>(J8/J$7)*100</f>
        <v>99.256879989258763</v>
      </c>
      <c r="K9" s="795">
        <f t="shared" si="0"/>
        <v>94.801199516352568</v>
      </c>
      <c r="L9" s="573">
        <f t="shared" si="0"/>
        <v>99.323049818771381</v>
      </c>
      <c r="M9" s="573">
        <f t="shared" si="0"/>
        <v>109.47649668639814</v>
      </c>
      <c r="N9" s="769">
        <f>(N8/N$7)*100</f>
        <v>105.37755449917985</v>
      </c>
      <c r="O9" s="769">
        <f>(O8/O$7)*100</f>
        <v>156.24569896433533</v>
      </c>
      <c r="P9" s="769">
        <f>(P8/P$7)*100</f>
        <v>116.11188675697097</v>
      </c>
      <c r="Q9" s="769">
        <f>(Q8/Q$7)*100</f>
        <v>99.26063863113778</v>
      </c>
      <c r="R9" s="776">
        <f>(R8/R$7)*100</f>
        <v>107.04704973047782</v>
      </c>
      <c r="S9" s="573"/>
      <c r="T9" s="573"/>
      <c r="U9" s="573"/>
      <c r="V9" s="769"/>
      <c r="W9" s="769"/>
      <c r="X9" s="769"/>
      <c r="Y9" s="769"/>
      <c r="Z9" s="776"/>
      <c r="AA9" s="573"/>
      <c r="AB9" s="573"/>
      <c r="AC9" s="573"/>
      <c r="AD9" s="769"/>
      <c r="AE9" s="769"/>
      <c r="AF9" s="769"/>
      <c r="AG9" s="769"/>
      <c r="AH9" s="769"/>
      <c r="AI9" s="573"/>
      <c r="AJ9" s="573"/>
      <c r="AK9" s="573"/>
      <c r="AL9" s="573"/>
      <c r="AM9" s="705"/>
      <c r="AN9" s="1"/>
      <c r="AO9" s="1"/>
      <c r="AP9" s="1"/>
      <c r="AQ9" s="1"/>
      <c r="AR9" s="1"/>
      <c r="AS9" s="1"/>
      <c r="AT9" s="1"/>
      <c r="AU9" s="1"/>
      <c r="AV9" s="1"/>
      <c r="AW9" s="1"/>
    </row>
    <row r="10" spans="1:49" ht="12.75">
      <c r="A10" s="280" t="s">
        <v>8</v>
      </c>
      <c r="B10" s="280"/>
      <c r="C10" s="574">
        <f>+'Attainment by Race Trends'!CU9</f>
        <v>90.023225328553949</v>
      </c>
      <c r="D10" s="574">
        <f>+'Attainment by Race Trends'!CW9</f>
        <v>84.966699281990202</v>
      </c>
      <c r="E10" s="574">
        <f>+'Attainment by Race Trends'!CY9</f>
        <v>67.465825817361889</v>
      </c>
      <c r="F10" s="574">
        <f>+'Attainment by Race Trends'!DA9</f>
        <v>86.418046946448541</v>
      </c>
      <c r="G10" s="770" t="str">
        <f>+'Attainment by Race Trends'!DC9</f>
        <v>-</v>
      </c>
      <c r="H10" s="770">
        <f>+'Attainment by Race Trends'!DE9</f>
        <v>78.615695740100463</v>
      </c>
      <c r="I10" s="770">
        <f>+'Attainment by Race Trends'!DG9</f>
        <v>84.395263815126299</v>
      </c>
      <c r="J10" s="770">
        <f>+'Attainment by Race Trends'!DI9</f>
        <v>61.6690510252742</v>
      </c>
      <c r="K10" s="788">
        <f>+'Attainment by Race Trends'!DK9</f>
        <v>30.365766774491405</v>
      </c>
      <c r="L10" s="286">
        <f>+'Attainment by Race Trends'!DM9</f>
        <v>18.743293769527831</v>
      </c>
      <c r="M10" s="286">
        <f>+'Attainment by Race Trends'!DO9</f>
        <v>19.537415445321308</v>
      </c>
      <c r="N10" s="770">
        <f>+'Attainment by Race Trends'!DQ9</f>
        <v>60.453205975002547</v>
      </c>
      <c r="O10" s="770" t="str">
        <f>+'Attainment by Race Trends'!DS9</f>
        <v>-</v>
      </c>
      <c r="P10" s="770">
        <f>+'Attainment by Race Trends'!DU9</f>
        <v>19.538130341183376</v>
      </c>
      <c r="Q10" s="770">
        <f>+'Attainment by Race Trends'!DW9</f>
        <v>25.81807513502941</v>
      </c>
      <c r="R10" s="777">
        <f>+'Attainment by Race Trends'!DY9</f>
        <v>15.193133047210299</v>
      </c>
      <c r="S10" s="574">
        <f>IFERROR(('Attainment by Race Trends'!CU9-'Attainment by Race Trends'!CT9), "-")</f>
        <v>2.6702649805365866</v>
      </c>
      <c r="T10" s="574">
        <f>IFERROR(('Attainment by Race Trends'!CW9-'Attainment by Race Trends'!CV9), "-")</f>
        <v>3.0143080676538005</v>
      </c>
      <c r="U10" s="574">
        <f>IFERROR(('Attainment by Race Trends'!CY9-'Attainment by Race Trends'!CX9), "-")</f>
        <v>9.1693735185288574</v>
      </c>
      <c r="V10" s="770">
        <f>IFERROR(('Attainment by Race Trends'!DA9-'Attainment by Race Trends'!CZ9), "-")</f>
        <v>0.66049986591480092</v>
      </c>
      <c r="W10" s="770" t="str">
        <f>IFERROR(('Attainment by Race Trends'!DC9-'Attainment by Race Trends'!DB9), "-")</f>
        <v>-</v>
      </c>
      <c r="X10" s="770">
        <f>IFERROR(('Attainment by Race Trends'!DE9-'Attainment by Race Trends'!DD9), "-")</f>
        <v>-1.424235805820814</v>
      </c>
      <c r="Y10" s="770">
        <f>IFERROR(('Attainment by Race Trends'!DG9-'Attainment by Race Trends'!DF9), "-")</f>
        <v>-1.5229804180183919</v>
      </c>
      <c r="Z10" s="777">
        <f>IFERROR(('Attainment by Race Trends'!DI9-'Attainment by Race Trends'!DH9), "-")</f>
        <v>11.75807520539022</v>
      </c>
      <c r="AA10" s="574">
        <f>IFERROR(('Attainment by Race Trends'!DK9-'Attainment by Race Trends'!DJ9), "-")</f>
        <v>3.1147897911813835</v>
      </c>
      <c r="AB10" s="574">
        <f>IFERROR(('Attainment by Race Trends'!DM9-'Attainment by Race Trends'!DL9), "-")</f>
        <v>1.1019892374678122</v>
      </c>
      <c r="AC10" s="574">
        <f>IFERROR(('Attainment by Race Trends'!DO9-'Attainment by Race Trends'!DN9), "-")</f>
        <v>6.585813536664185</v>
      </c>
      <c r="AD10" s="770">
        <f>IFERROR(('Attainment by Race Trends'!DQ9-'Attainment by Race Trends'!DP9), "-")</f>
        <v>11.936597666116391</v>
      </c>
      <c r="AE10" s="770" t="str">
        <f>IFERROR(('Attainment by Race Trends'!DS9-'Attainment by Race Trends'!DR9), "-")</f>
        <v>-</v>
      </c>
      <c r="AF10" s="770">
        <f>IFERROR(('Attainment by Race Trends'!DU9-'Attainment by Race Trends'!DT9), "-")</f>
        <v>0.68473615978006919</v>
      </c>
      <c r="AG10" s="770">
        <f>IFERROR(('Attainment by Race Trends'!DW9-'Attainment by Race Trends'!DV9), "-")</f>
        <v>-3.6955843404237534</v>
      </c>
      <c r="AH10" s="770">
        <f>IFERROR(('Attainment by Race Trends'!DY9-'Attainment by Race Trends'!DX9), "-")</f>
        <v>3.7721922626488151</v>
      </c>
      <c r="AI10" s="573"/>
      <c r="AJ10" s="573"/>
      <c r="AK10" s="573"/>
      <c r="AL10" s="573"/>
      <c r="AM10" s="705"/>
      <c r="AN10" s="1"/>
      <c r="AO10" s="1"/>
      <c r="AP10" s="1"/>
      <c r="AQ10" s="1"/>
      <c r="AR10" s="1"/>
      <c r="AS10" s="1"/>
      <c r="AT10" s="1"/>
      <c r="AU10" s="1"/>
      <c r="AV10" s="1"/>
      <c r="AW10" s="1"/>
    </row>
    <row r="11" spans="1:49" ht="12.75">
      <c r="A11" s="280" t="s">
        <v>9</v>
      </c>
      <c r="B11" s="280"/>
      <c r="C11" s="574">
        <f>+'Attainment by Race Trends'!CU10</f>
        <v>91.47949911018334</v>
      </c>
      <c r="D11" s="574">
        <f>+'Attainment by Race Trends'!CW10</f>
        <v>87.201048496577229</v>
      </c>
      <c r="E11" s="574">
        <f>+'Attainment by Race Trends'!CY10</f>
        <v>61.164487760431498</v>
      </c>
      <c r="F11" s="574">
        <f>+'Attainment by Race Trends'!DA10</f>
        <v>85.329695615015439</v>
      </c>
      <c r="G11" s="770" t="str">
        <f>+'Attainment by Race Trends'!DC10</f>
        <v>-</v>
      </c>
      <c r="H11" s="770">
        <f>+'Attainment by Race Trends'!DE10</f>
        <v>73.347287633001926</v>
      </c>
      <c r="I11" s="770">
        <f>+'Attainment by Race Trends'!DG10</f>
        <v>80.145711597504203</v>
      </c>
      <c r="J11" s="770">
        <f>+'Attainment by Race Trends'!DI10</f>
        <v>57.327612626417412</v>
      </c>
      <c r="K11" s="788">
        <f>+'Attainment by Race Trends'!DK10</f>
        <v>27.571084064045198</v>
      </c>
      <c r="L11" s="286">
        <f>+'Attainment by Race Trends'!DM10</f>
        <v>19.109788856474395</v>
      </c>
      <c r="M11" s="286">
        <f>+'Attainment by Race Trends'!DO10</f>
        <v>12.65772325314633</v>
      </c>
      <c r="N11" s="770">
        <f>+'Attainment by Race Trends'!DQ10</f>
        <v>45.638025113404773</v>
      </c>
      <c r="O11" s="770" t="str">
        <f>+'Attainment by Race Trends'!DS10</f>
        <v>-</v>
      </c>
      <c r="P11" s="770">
        <f>+'Attainment by Race Trends'!DU10</f>
        <v>24.960753532182103</v>
      </c>
      <c r="Q11" s="770">
        <f>+'Attainment by Race Trends'!DW10</f>
        <v>17.586907002079826</v>
      </c>
      <c r="R11" s="777">
        <f>+'Attainment by Race Trends'!DY10</f>
        <v>11.173766472571254</v>
      </c>
      <c r="S11" s="574">
        <f>IFERROR(('Attainment by Race Trends'!CU10-'Attainment by Race Trends'!CT10), "-")</f>
        <v>2.9207526524577361</v>
      </c>
      <c r="T11" s="574">
        <f>IFERROR(('Attainment by Race Trends'!CW10-'Attainment by Race Trends'!CV10), "-")</f>
        <v>4.6980763724400276</v>
      </c>
      <c r="U11" s="574">
        <f>IFERROR(('Attainment by Race Trends'!CY10-'Attainment by Race Trends'!CX10), "-")</f>
        <v>4.8784736220976015</v>
      </c>
      <c r="V11" s="770">
        <f>IFERROR(('Attainment by Race Trends'!DA10-'Attainment by Race Trends'!CZ10), "-")</f>
        <v>-1.4845319702237987</v>
      </c>
      <c r="W11" s="770" t="str">
        <f>IFERROR(('Attainment by Race Trends'!DC10-'Attainment by Race Trends'!DB10), "-")</f>
        <v>-</v>
      </c>
      <c r="X11" s="770">
        <f>IFERROR(('Attainment by Race Trends'!DE10-'Attainment by Race Trends'!DD10), "-")</f>
        <v>-14.119838511915091</v>
      </c>
      <c r="Y11" s="770">
        <f>IFERROR(('Attainment by Race Trends'!DG10-'Attainment by Race Trends'!DF10), "-")</f>
        <v>-4.4817987275375799</v>
      </c>
      <c r="Z11" s="777">
        <f>IFERROR(('Attainment by Race Trends'!DI10-'Attainment by Race Trends'!DH10), "-")</f>
        <v>11.474432799231501</v>
      </c>
      <c r="AA11" s="574">
        <f>IFERROR(('Attainment by Race Trends'!DK10-'Attainment by Race Trends'!DJ10), "-")</f>
        <v>3.5728093370833172</v>
      </c>
      <c r="AB11" s="574">
        <f>IFERROR(('Attainment by Race Trends'!DM10-'Attainment by Race Trends'!DL10), "-")</f>
        <v>3.1075176213128373</v>
      </c>
      <c r="AC11" s="574">
        <f>IFERROR(('Attainment by Race Trends'!DO10-'Attainment by Race Trends'!DN10), "-")</f>
        <v>3.0103895369822933</v>
      </c>
      <c r="AD11" s="770">
        <f>IFERROR(('Attainment by Race Trends'!DQ10-'Attainment by Race Trends'!DP10), "-")</f>
        <v>-1.6855331860199527</v>
      </c>
      <c r="AE11" s="770" t="str">
        <f>IFERROR(('Attainment by Race Trends'!DS10-'Attainment by Race Trends'!DR10), "-")</f>
        <v>-</v>
      </c>
      <c r="AF11" s="770">
        <f>IFERROR(('Attainment by Race Trends'!DU10-'Attainment by Race Trends'!DT10), "-")</f>
        <v>6.2067859979479501</v>
      </c>
      <c r="AG11" s="770">
        <f>IFERROR(('Attainment by Race Trends'!DW10-'Attainment by Race Trends'!DV10), "-")</f>
        <v>-1.562498716889877</v>
      </c>
      <c r="AH11" s="770">
        <f>IFERROR(('Attainment by Race Trends'!DY10-'Attainment by Race Trends'!DX10), "-")</f>
        <v>2.2219007026868631</v>
      </c>
      <c r="AI11" s="573"/>
      <c r="AJ11" s="573"/>
      <c r="AK11" s="573"/>
      <c r="AL11" s="573"/>
      <c r="AM11" s="705"/>
      <c r="AN11" s="1"/>
      <c r="AO11" s="1"/>
      <c r="AP11" s="1"/>
      <c r="AQ11" s="1"/>
      <c r="AR11" s="1"/>
      <c r="AS11" s="1"/>
      <c r="AT11" s="1"/>
      <c r="AU11" s="1"/>
      <c r="AV11" s="1"/>
      <c r="AW11" s="1"/>
    </row>
    <row r="12" spans="1:49">
      <c r="A12" s="280" t="s">
        <v>10</v>
      </c>
      <c r="B12" s="280"/>
      <c r="C12" s="574">
        <f>+'Attainment by Race Trends'!CU11</f>
        <v>94.39617231552252</v>
      </c>
      <c r="D12" s="574">
        <f>+'Attainment by Race Trends'!CW11</f>
        <v>90.27837939299431</v>
      </c>
      <c r="E12" s="574">
        <f>+'Attainment by Race Trends'!CY11</f>
        <v>66.557304530541529</v>
      </c>
      <c r="F12" s="574">
        <f>+'Attainment by Race Trends'!DA11</f>
        <v>91.41652960526315</v>
      </c>
      <c r="G12" s="770" t="str">
        <f>+'Attainment by Race Trends'!DC11</f>
        <v>-</v>
      </c>
      <c r="H12" s="770" t="str">
        <f>+'Attainment by Race Trends'!DE11</f>
        <v>-</v>
      </c>
      <c r="I12" s="770">
        <f>+'Attainment by Race Trends'!DG11</f>
        <v>86.993139841688645</v>
      </c>
      <c r="J12" s="770">
        <f>+'Attainment by Race Trends'!DI11</f>
        <v>55.619307179229715</v>
      </c>
      <c r="K12" s="287">
        <f>+'Attainment by Race Trends'!DK11</f>
        <v>37.79315513800406</v>
      </c>
      <c r="L12" s="286">
        <f>+'Attainment by Race Trends'!DM11</f>
        <v>27.053914349244852</v>
      </c>
      <c r="M12" s="286">
        <f>+'Attainment by Race Trends'!DO11</f>
        <v>18.732259372580824</v>
      </c>
      <c r="N12" s="770">
        <f>+'Attainment by Race Trends'!DQ11</f>
        <v>73.043448464912288</v>
      </c>
      <c r="O12" s="770" t="str">
        <f>+'Attainment by Race Trends'!DS11</f>
        <v>-</v>
      </c>
      <c r="P12" s="770" t="str">
        <f>+'Attainment by Race Trends'!DU11</f>
        <v>-</v>
      </c>
      <c r="Q12" s="770">
        <f>+'Attainment by Race Trends'!DW11</f>
        <v>30.486543535620054</v>
      </c>
      <c r="R12" s="777">
        <f>+'Attainment by Race Trends'!DY11</f>
        <v>12.020368643763895</v>
      </c>
      <c r="S12" s="574">
        <f>IFERROR(('Attainment by Race Trends'!CU11-'Attainment by Race Trends'!CT11), "-")</f>
        <v>2.4648582672964068</v>
      </c>
      <c r="T12" s="574">
        <f>IFERROR(('Attainment by Race Trends'!CW11-'Attainment by Race Trends'!CV11), "-")</f>
        <v>2.8461721516672327</v>
      </c>
      <c r="U12" s="574">
        <f>IFERROR(('Attainment by Race Trends'!CY11-'Attainment by Race Trends'!CX11), "-")</f>
        <v>-1.2414183525935272</v>
      </c>
      <c r="V12" s="770">
        <f>IFERROR(('Attainment by Race Trends'!DA11-'Attainment by Race Trends'!CZ11), "-")</f>
        <v>-1.676104367060347</v>
      </c>
      <c r="W12" s="770" t="str">
        <f>IFERROR(('Attainment by Race Trends'!DC11-'Attainment by Race Trends'!DB11), "-")</f>
        <v>-</v>
      </c>
      <c r="X12" s="770" t="str">
        <f>IFERROR(('Attainment by Race Trends'!DE11-'Attainment by Race Trends'!DD11), "-")</f>
        <v>-</v>
      </c>
      <c r="Y12" s="770">
        <f>IFERROR(('Attainment by Race Trends'!DG11-'Attainment by Race Trends'!DF11), "-")</f>
        <v>3.3853866111759316</v>
      </c>
      <c r="Z12" s="777">
        <f>IFERROR(('Attainment by Race Trends'!DI11-'Attainment by Race Trends'!DH11), "-")</f>
        <v>-20.530268603738755</v>
      </c>
      <c r="AA12" s="574">
        <f>IFERROR(('Attainment by Race Trends'!DK11-'Attainment by Race Trends'!DJ11), "-")</f>
        <v>4.007284794084832</v>
      </c>
      <c r="AB12" s="574">
        <f>IFERROR(('Attainment by Race Trends'!DM11-'Attainment by Race Trends'!DL11), "-")</f>
        <v>6.2191923374284599</v>
      </c>
      <c r="AC12" s="574">
        <f>IFERROR(('Attainment by Race Trends'!DO11-'Attainment by Race Trends'!DN11), "-")</f>
        <v>2.6108457966536029</v>
      </c>
      <c r="AD12" s="770">
        <f>IFERROR(('Attainment by Race Trends'!DQ11-'Attainment by Race Trends'!DP11), "-")</f>
        <v>9.073869100766295</v>
      </c>
      <c r="AE12" s="770" t="str">
        <f>IFERROR(('Attainment by Race Trends'!DS11-'Attainment by Race Trends'!DR11), "-")</f>
        <v>-</v>
      </c>
      <c r="AF12" s="770" t="str">
        <f>IFERROR(('Attainment by Race Trends'!DU11-'Attainment by Race Trends'!DT11), "-")</f>
        <v>-</v>
      </c>
      <c r="AG12" s="770">
        <f>IFERROR(('Attainment by Race Trends'!DW11-'Attainment by Race Trends'!DV11), "-")</f>
        <v>2.9125543734691561</v>
      </c>
      <c r="AH12" s="770">
        <f>IFERROR(('Attainment by Race Trends'!DY11-'Attainment by Race Trends'!DX11), "-")</f>
        <v>-5.1892259932948654</v>
      </c>
      <c r="AI12" s="573"/>
      <c r="AJ12" s="573"/>
      <c r="AK12" s="573"/>
      <c r="AL12" s="573"/>
      <c r="AM12" s="705"/>
      <c r="AN12" s="1"/>
      <c r="AO12" s="1"/>
      <c r="AP12" s="1"/>
      <c r="AQ12" s="1"/>
      <c r="AR12" s="1"/>
      <c r="AS12" s="1"/>
      <c r="AT12" s="1"/>
      <c r="AU12" s="1"/>
      <c r="AV12" s="1"/>
      <c r="AW12" s="1"/>
    </row>
    <row r="13" spans="1:49">
      <c r="A13" s="280" t="s">
        <v>11</v>
      </c>
      <c r="B13" s="280"/>
      <c r="C13" s="574">
        <f>+'Attainment by Race Trends'!CU12</f>
        <v>94.370571585857036</v>
      </c>
      <c r="D13" s="574">
        <f>+'Attainment by Race Trends'!CW12</f>
        <v>85.924219080467637</v>
      </c>
      <c r="E13" s="574">
        <f>+'Attainment by Race Trends'!CY12</f>
        <v>81.821432383392036</v>
      </c>
      <c r="F13" s="574">
        <f>+'Attainment by Race Trends'!DA12</f>
        <v>86.953959678713801</v>
      </c>
      <c r="G13" s="770">
        <f>+'Attainment by Race Trends'!DC12</f>
        <v>95.565749235474001</v>
      </c>
      <c r="H13" s="770">
        <f>+'Attainment by Race Trends'!DE12</f>
        <v>74.514441664771439</v>
      </c>
      <c r="I13" s="770">
        <f>+'Attainment by Race Trends'!DG12</f>
        <v>84.507539419029143</v>
      </c>
      <c r="J13" s="770">
        <f>+'Attainment by Race Trends'!DI12</f>
        <v>77.774273299451892</v>
      </c>
      <c r="K13" s="287">
        <f>+'Attainment by Race Trends'!DK12</f>
        <v>37.053137246253193</v>
      </c>
      <c r="L13" s="286">
        <f>+'Attainment by Race Trends'!DM12</f>
        <v>22.833959243174522</v>
      </c>
      <c r="M13" s="286">
        <f>+'Attainment by Race Trends'!DO12</f>
        <v>27.524256794189551</v>
      </c>
      <c r="N13" s="770">
        <f>+'Attainment by Race Trends'!DQ12</f>
        <v>52.042999404129752</v>
      </c>
      <c r="O13" s="770">
        <f>+'Attainment by Race Trends'!DS12</f>
        <v>26.55845683368619</v>
      </c>
      <c r="P13" s="770">
        <f>+'Attainment by Race Trends'!DU12</f>
        <v>22.836024562201501</v>
      </c>
      <c r="Q13" s="770">
        <f>+'Attainment by Race Trends'!DW12</f>
        <v>30.175809282102247</v>
      </c>
      <c r="R13" s="777">
        <f>+'Attainment by Race Trends'!DY12</f>
        <v>22.963509709753325</v>
      </c>
      <c r="S13" s="574">
        <f>IFERROR(('Attainment by Race Trends'!CU12-'Attainment by Race Trends'!CT12), "-")</f>
        <v>2.0023162280420195</v>
      </c>
      <c r="T13" s="574">
        <f>IFERROR(('Attainment by Race Trends'!CW12-'Attainment by Race Trends'!CV12), "-")</f>
        <v>4.6008967867448547</v>
      </c>
      <c r="U13" s="574">
        <f>IFERROR(('Attainment by Race Trends'!CY12-'Attainment by Race Trends'!CX12), "-")</f>
        <v>3.6692166589846664</v>
      </c>
      <c r="V13" s="770">
        <f>IFERROR(('Attainment by Race Trends'!DA12-'Attainment by Race Trends'!CZ12), "-")</f>
        <v>0.71636913164175553</v>
      </c>
      <c r="W13" s="770">
        <f>IFERROR(('Attainment by Race Trends'!DC12-'Attainment by Race Trends'!DB12), "-")</f>
        <v>13.966794614423861</v>
      </c>
      <c r="X13" s="770">
        <f>IFERROR(('Attainment by Race Trends'!DE12-'Attainment by Race Trends'!DD12), "-")</f>
        <v>-2.2922184410880817</v>
      </c>
      <c r="Y13" s="770">
        <f>IFERROR(('Attainment by Race Trends'!DG12-'Attainment by Race Trends'!DF12), "-")</f>
        <v>-0.48952329852703258</v>
      </c>
      <c r="Z13" s="777">
        <f>IFERROR(('Attainment by Race Trends'!DI12-'Attainment by Race Trends'!DH12), "-")</f>
        <v>3.0402521879423006</v>
      </c>
      <c r="AA13" s="574">
        <f>IFERROR(('Attainment by Race Trends'!DK12-'Attainment by Race Trends'!DJ12), "-")</f>
        <v>4.8360528532545217</v>
      </c>
      <c r="AB13" s="574">
        <f>IFERROR(('Attainment by Race Trends'!DM12-'Attainment by Race Trends'!DL12), "-")</f>
        <v>4.5799944191480293</v>
      </c>
      <c r="AC13" s="574">
        <f>IFERROR(('Attainment by Race Trends'!DO12-'Attainment by Race Trends'!DN12), "-")</f>
        <v>4.6173190964381554</v>
      </c>
      <c r="AD13" s="770">
        <f>IFERROR(('Attainment by Race Trends'!DQ12-'Attainment by Race Trends'!DP12), "-")</f>
        <v>1.9491907737357508</v>
      </c>
      <c r="AE13" s="770">
        <f>IFERROR(('Attainment by Race Trends'!DS12-'Attainment by Race Trends'!DR12), "-")</f>
        <v>12.707185747917599</v>
      </c>
      <c r="AF13" s="770">
        <f>IFERROR(('Attainment by Race Trends'!DU12-'Attainment by Race Trends'!DT12), "-")</f>
        <v>5.3745249744684358</v>
      </c>
      <c r="AG13" s="770">
        <f>IFERROR(('Attainment by Race Trends'!DW12-'Attainment by Race Trends'!DV12), "-")</f>
        <v>2.0993347224754118</v>
      </c>
      <c r="AH13" s="770">
        <f>IFERROR(('Attainment by Race Trends'!DY12-'Attainment by Race Trends'!DX12), "-")</f>
        <v>4.4877417973574687</v>
      </c>
      <c r="AI13" s="573"/>
      <c r="AJ13" s="573"/>
      <c r="AK13" s="573"/>
      <c r="AL13" s="573"/>
      <c r="AM13" s="705"/>
      <c r="AN13" s="1"/>
      <c r="AO13" s="1"/>
      <c r="AP13" s="1"/>
      <c r="AQ13" s="1"/>
      <c r="AR13" s="1"/>
      <c r="AS13" s="1"/>
      <c r="AT13" s="1"/>
      <c r="AU13" s="1"/>
      <c r="AV13" s="1"/>
      <c r="AW13" s="1"/>
    </row>
    <row r="14" spans="1:49">
      <c r="A14" s="37" t="s">
        <v>12</v>
      </c>
      <c r="B14" s="37"/>
      <c r="C14" s="573">
        <f>+'Attainment by Race Trends'!CU13</f>
        <v>92.183039835851915</v>
      </c>
      <c r="D14" s="573">
        <f>+'Attainment by Race Trends'!CW13</f>
        <v>88.666596856115817</v>
      </c>
      <c r="E14" s="573">
        <f>+'Attainment by Race Trends'!CY13</f>
        <v>68.32906504454283</v>
      </c>
      <c r="F14" s="573">
        <f>+'Attainment by Race Trends'!DA13</f>
        <v>88.013084375440187</v>
      </c>
      <c r="G14" s="769" t="str">
        <f>+'Attainment by Race Trends'!DC13</f>
        <v>-</v>
      </c>
      <c r="H14" s="769">
        <f>+'Attainment by Race Trends'!DE13</f>
        <v>59.135102288839377</v>
      </c>
      <c r="I14" s="769">
        <f>+'Attainment by Race Trends'!DG13</f>
        <v>81.333458379560525</v>
      </c>
      <c r="J14" s="769">
        <f>+'Attainment by Race Trends'!DI13</f>
        <v>62.736898260334918</v>
      </c>
      <c r="K14" s="112">
        <f>+'Attainment by Race Trends'!DK13</f>
        <v>38.081560060840246</v>
      </c>
      <c r="L14" s="13">
        <f>+'Attainment by Race Trends'!DM13</f>
        <v>27.794128685556906</v>
      </c>
      <c r="M14" s="13">
        <f>+'Attainment by Race Trends'!DO13</f>
        <v>22.748615490145216</v>
      </c>
      <c r="N14" s="769">
        <f>+'Attainment by Race Trends'!DQ13</f>
        <v>58.505000547790843</v>
      </c>
      <c r="O14" s="769" t="str">
        <f>+'Attainment by Race Trends'!DS13</f>
        <v>-</v>
      </c>
      <c r="P14" s="769">
        <f>+'Attainment by Race Trends'!DU13</f>
        <v>17.871852001890488</v>
      </c>
      <c r="Q14" s="769">
        <f>+'Attainment by Race Trends'!DW13</f>
        <v>31.040131857255744</v>
      </c>
      <c r="R14" s="776">
        <f>+'Attainment by Race Trends'!DY13</f>
        <v>19.228543527794855</v>
      </c>
      <c r="S14" s="573">
        <f>IFERROR(('Attainment by Race Trends'!CU13-'Attainment by Race Trends'!CT13), "-")</f>
        <v>2.3738752288047209</v>
      </c>
      <c r="T14" s="573">
        <f>IFERROR(('Attainment by Race Trends'!CW13-'Attainment by Race Trends'!CV13), "-")</f>
        <v>2.5467563682426118</v>
      </c>
      <c r="U14" s="573">
        <f>IFERROR(('Attainment by Race Trends'!CY13-'Attainment by Race Trends'!CX13), "-")</f>
        <v>8.4769942755831451</v>
      </c>
      <c r="V14" s="769">
        <f>IFERROR(('Attainment by Race Trends'!DA13-'Attainment by Race Trends'!CZ13), "-")</f>
        <v>1.2191904006568706</v>
      </c>
      <c r="W14" s="769" t="str">
        <f>IFERROR(('Attainment by Race Trends'!DC13-'Attainment by Race Trends'!DB13), "-")</f>
        <v>-</v>
      </c>
      <c r="X14" s="769">
        <f>IFERROR(('Attainment by Race Trends'!DE13-'Attainment by Race Trends'!DD13), "-")</f>
        <v>-7.4745745790012847</v>
      </c>
      <c r="Y14" s="769">
        <f>IFERROR(('Attainment by Race Trends'!DG13-'Attainment by Race Trends'!DF13), "-")</f>
        <v>-6.877999180449379</v>
      </c>
      <c r="Z14" s="776">
        <f>IFERROR(('Attainment by Race Trends'!DI13-'Attainment by Race Trends'!DH13), "-")</f>
        <v>8.4990004545379776</v>
      </c>
      <c r="AA14" s="573">
        <f>IFERROR(('Attainment by Race Trends'!DK13-'Attainment by Race Trends'!DJ13), "-")</f>
        <v>4.1769759602039898</v>
      </c>
      <c r="AB14" s="573">
        <f>IFERROR(('Attainment by Race Trends'!DM13-'Attainment by Race Trends'!DL13), "-")</f>
        <v>4.3758221382376767</v>
      </c>
      <c r="AC14" s="573">
        <f>IFERROR(('Attainment by Race Trends'!DO13-'Attainment by Race Trends'!DN13), "-")</f>
        <v>5.9339795466258316</v>
      </c>
      <c r="AD14" s="769">
        <f>IFERROR(('Attainment by Race Trends'!DQ13-'Attainment by Race Trends'!DP13), "-")</f>
        <v>0.78889308351817533</v>
      </c>
      <c r="AE14" s="769" t="str">
        <f>IFERROR(('Attainment by Race Trends'!DS13-'Attainment by Race Trends'!DR13), "-")</f>
        <v>-</v>
      </c>
      <c r="AF14" s="769">
        <f>IFERROR(('Attainment by Race Trends'!DU13-'Attainment by Race Trends'!DT13), "-")</f>
        <v>3.4035668249371636</v>
      </c>
      <c r="AG14" s="769">
        <f>IFERROR(('Attainment by Race Trends'!DW13-'Attainment by Race Trends'!DV13), "-")</f>
        <v>-2.1725630202498252</v>
      </c>
      <c r="AH14" s="769">
        <f>IFERROR(('Attainment by Race Trends'!DY13-'Attainment by Race Trends'!DX13), "-")</f>
        <v>8.3774300186476083</v>
      </c>
      <c r="AI14" s="573"/>
      <c r="AJ14" s="573"/>
      <c r="AK14" s="573"/>
      <c r="AL14" s="573"/>
      <c r="AM14" s="705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1:49">
      <c r="A15" s="37" t="s">
        <v>13</v>
      </c>
      <c r="B15" s="37"/>
      <c r="C15" s="573">
        <f>+'Attainment by Race Trends'!CU14</f>
        <v>88.779596663714585</v>
      </c>
      <c r="D15" s="573">
        <f>+'Attainment by Race Trends'!CW14</f>
        <v>87.963137387097092</v>
      </c>
      <c r="E15" s="573">
        <f>+'Attainment by Race Trends'!CY14</f>
        <v>69.850648470333041</v>
      </c>
      <c r="F15" s="573">
        <f>+'Attainment by Race Trends'!DA14</f>
        <v>82.195683658206505</v>
      </c>
      <c r="G15" s="769" t="str">
        <f>+'Attainment by Race Trends'!DC14</f>
        <v>-</v>
      </c>
      <c r="H15" s="769">
        <f>+'Attainment by Race Trends'!DE14</f>
        <v>0</v>
      </c>
      <c r="I15" s="769">
        <f>+'Attainment by Race Trends'!DG14</f>
        <v>81.62681070788679</v>
      </c>
      <c r="J15" s="769">
        <f>+'Attainment by Race Trends'!DI14</f>
        <v>66.880501268088906</v>
      </c>
      <c r="K15" s="112">
        <f>+'Attainment by Race Trends'!DK14</f>
        <v>27.53631024134231</v>
      </c>
      <c r="L15" s="13">
        <f>+'Attainment by Race Trends'!DM14</f>
        <v>20.106879765221443</v>
      </c>
      <c r="M15" s="13">
        <f>+'Attainment by Race Trends'!DO14</f>
        <v>20.137602241402686</v>
      </c>
      <c r="N15" s="769">
        <f>+'Attainment by Race Trends'!DQ14</f>
        <v>51.214416296683204</v>
      </c>
      <c r="O15" s="769" t="str">
        <f>+'Attainment by Race Trends'!DS14</f>
        <v>-</v>
      </c>
      <c r="P15" s="769">
        <f>+'Attainment by Race Trends'!DU14</f>
        <v>0</v>
      </c>
      <c r="Q15" s="769">
        <f>+'Attainment by Race Trends'!DW14</f>
        <v>23.365486965547792</v>
      </c>
      <c r="R15" s="776">
        <f>+'Attainment by Race Trends'!DY14</f>
        <v>16.461285991347157</v>
      </c>
      <c r="S15" s="573">
        <f>IFERROR(('Attainment by Race Trends'!CU14-'Attainment by Race Trends'!CT14), "-")</f>
        <v>2.5546437960292252</v>
      </c>
      <c r="T15" s="573">
        <f>IFERROR(('Attainment by Race Trends'!CW14-'Attainment by Race Trends'!CV14), "-")</f>
        <v>2.5934676958873979</v>
      </c>
      <c r="U15" s="573">
        <f>IFERROR(('Attainment by Race Trends'!CY14-'Attainment by Race Trends'!CX14), "-")</f>
        <v>2.2083090690161526</v>
      </c>
      <c r="V15" s="769">
        <f>IFERROR(('Attainment by Race Trends'!DA14-'Attainment by Race Trends'!CZ14), "-")</f>
        <v>-3.6816416308834903</v>
      </c>
      <c r="W15" s="769" t="str">
        <f>IFERROR(('Attainment by Race Trends'!DC14-'Attainment by Race Trends'!DB14), "-")</f>
        <v>-</v>
      </c>
      <c r="X15" s="769">
        <f>IFERROR(('Attainment by Race Trends'!DE14-'Attainment by Race Trends'!DD14), "-")</f>
        <v>-83.004694835680752</v>
      </c>
      <c r="Y15" s="769">
        <f>IFERROR(('Attainment by Race Trends'!DG14-'Attainment by Race Trends'!DF14), "-")</f>
        <v>81.62681070788679</v>
      </c>
      <c r="Z15" s="776">
        <f>IFERROR(('Attainment by Race Trends'!DI14-'Attainment by Race Trends'!DH14), "-")</f>
        <v>12.272555880774981</v>
      </c>
      <c r="AA15" s="573">
        <f>IFERROR(('Attainment by Race Trends'!DK14-'Attainment by Race Trends'!DJ14), "-")</f>
        <v>3.6698842870461874</v>
      </c>
      <c r="AB15" s="573">
        <f>IFERROR(('Attainment by Race Trends'!DM14-'Attainment by Race Trends'!DL14), "-")</f>
        <v>5.5630717101341141</v>
      </c>
      <c r="AC15" s="573">
        <f>IFERROR(('Attainment by Race Trends'!DO14-'Attainment by Race Trends'!DN14), "-")</f>
        <v>-0.5133688204022171</v>
      </c>
      <c r="AD15" s="769">
        <f>IFERROR(('Attainment by Race Trends'!DQ14-'Attainment by Race Trends'!DP14), "-")</f>
        <v>-0.47990245645908658</v>
      </c>
      <c r="AE15" s="769" t="str">
        <f>IFERROR(('Attainment by Race Trends'!DS14-'Attainment by Race Trends'!DR14), "-")</f>
        <v>-</v>
      </c>
      <c r="AF15" s="769">
        <f>IFERROR(('Attainment by Race Trends'!DU14-'Attainment by Race Trends'!DT14), "-")</f>
        <v>-11.408450704225352</v>
      </c>
      <c r="AG15" s="769">
        <f>IFERROR(('Attainment by Race Trends'!DW14-'Attainment by Race Trends'!DV14), "-")</f>
        <v>23.365486965547792</v>
      </c>
      <c r="AH15" s="769">
        <f>IFERROR(('Attainment by Race Trends'!DY14-'Attainment by Race Trends'!DX14), "-")</f>
        <v>2.6990787286184208</v>
      </c>
      <c r="AI15" s="573"/>
      <c r="AJ15" s="573"/>
      <c r="AK15" s="573"/>
      <c r="AL15" s="573"/>
      <c r="AM15" s="705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1:49">
      <c r="A16" s="37" t="s">
        <v>14</v>
      </c>
      <c r="B16" s="37"/>
      <c r="C16" s="573">
        <f>+'Attainment by Race Trends'!CU15</f>
        <v>90.306859684182072</v>
      </c>
      <c r="D16" s="573">
        <f>+'Attainment by Race Trends'!CW15</f>
        <v>81.981261325932991</v>
      </c>
      <c r="E16" s="573">
        <f>+'Attainment by Race Trends'!CY15</f>
        <v>75.138601946340003</v>
      </c>
      <c r="F16" s="573">
        <f>+'Attainment by Race Trends'!DA15</f>
        <v>77.365857029333512</v>
      </c>
      <c r="G16" s="769" t="str">
        <f>+'Attainment by Race Trends'!DC15</f>
        <v>-</v>
      </c>
      <c r="H16" s="769">
        <f>+'Attainment by Race Trends'!DE15</f>
        <v>69.4963393082555</v>
      </c>
      <c r="I16" s="769">
        <f>+'Attainment by Race Trends'!DG15</f>
        <v>82.315391378708142</v>
      </c>
      <c r="J16" s="769">
        <f>+'Attainment by Race Trends'!DI15</f>
        <v>66.784317657675729</v>
      </c>
      <c r="K16" s="112">
        <f>+'Attainment by Race Trends'!DK15</f>
        <v>31.327092598580464</v>
      </c>
      <c r="L16" s="13">
        <f>+'Attainment by Race Trends'!DM15</f>
        <v>16.472393175113151</v>
      </c>
      <c r="M16" s="13">
        <f>+'Attainment by Race Trends'!DO15</f>
        <v>23.212782681886797</v>
      </c>
      <c r="N16" s="769">
        <f>+'Attainment by Race Trends'!DQ15</f>
        <v>39.895656980962578</v>
      </c>
      <c r="O16" s="769" t="str">
        <f>+'Attainment by Race Trends'!DS15</f>
        <v>-</v>
      </c>
      <c r="P16" s="769">
        <f>+'Attainment by Race Trends'!DU15</f>
        <v>13.961120929058318</v>
      </c>
      <c r="Q16" s="769">
        <f>+'Attainment by Race Trends'!DW15</f>
        <v>25.190600647981981</v>
      </c>
      <c r="R16" s="776">
        <f>+'Attainment by Race Trends'!DY15</f>
        <v>16.855509876667004</v>
      </c>
      <c r="S16" s="573">
        <f>IFERROR(('Attainment by Race Trends'!CU15-'Attainment by Race Trends'!CT15), "-")</f>
        <v>2.07632443213123</v>
      </c>
      <c r="T16" s="573">
        <f>IFERROR(('Attainment by Race Trends'!CW15-'Attainment by Race Trends'!CV15), "-")</f>
        <v>3.6469556803982783</v>
      </c>
      <c r="U16" s="573">
        <f>IFERROR(('Attainment by Race Trends'!CY15-'Attainment by Race Trends'!CX15), "-")</f>
        <v>2.6319386082829794</v>
      </c>
      <c r="V16" s="769">
        <f>IFERROR(('Attainment by Race Trends'!DA15-'Attainment by Race Trends'!CZ15), "-")</f>
        <v>-3.3232963604653776</v>
      </c>
      <c r="W16" s="769" t="str">
        <f>IFERROR(('Attainment by Race Trends'!DC15-'Attainment by Race Trends'!DB15), "-")</f>
        <v>-</v>
      </c>
      <c r="X16" s="769">
        <f>IFERROR(('Attainment by Race Trends'!DE15-'Attainment by Race Trends'!DD15), "-")</f>
        <v>-1.5549872476582038</v>
      </c>
      <c r="Y16" s="769">
        <f>IFERROR(('Attainment by Race Trends'!DG15-'Attainment by Race Trends'!DF15), "-")</f>
        <v>-3.7336240625724884</v>
      </c>
      <c r="Z16" s="776">
        <f>IFERROR(('Attainment by Race Trends'!DI15-'Attainment by Race Trends'!DH15), "-")</f>
        <v>4.6787708133009716</v>
      </c>
      <c r="AA16" s="573">
        <f>IFERROR(('Attainment by Race Trends'!DK15-'Attainment by Race Trends'!DJ15), "-")</f>
        <v>3.8362810844297606</v>
      </c>
      <c r="AB16" s="573">
        <f>IFERROR(('Attainment by Race Trends'!DM15-'Attainment by Race Trends'!DL15), "-")</f>
        <v>1.7086113211447742</v>
      </c>
      <c r="AC16" s="573">
        <f>IFERROR(('Attainment by Race Trends'!DO15-'Attainment by Race Trends'!DN15), "-")</f>
        <v>6.7501157313093074</v>
      </c>
      <c r="AD16" s="769">
        <f>IFERROR(('Attainment by Race Trends'!DQ15-'Attainment by Race Trends'!DP15), "-")</f>
        <v>-3.2463899575844906</v>
      </c>
      <c r="AE16" s="769" t="str">
        <f>IFERROR(('Attainment by Race Trends'!DS15-'Attainment by Race Trends'!DR15), "-")</f>
        <v>-</v>
      </c>
      <c r="AF16" s="769">
        <f>IFERROR(('Attainment by Race Trends'!DU15-'Attainment by Race Trends'!DT15), "-")</f>
        <v>5.1153485511758472</v>
      </c>
      <c r="AG16" s="769">
        <f>IFERROR(('Attainment by Race Trends'!DW15-'Attainment by Race Trends'!DV15), "-")</f>
        <v>1.6235231582525564</v>
      </c>
      <c r="AH16" s="769">
        <f>IFERROR(('Attainment by Race Trends'!DY15-'Attainment by Race Trends'!DX15), "-")</f>
        <v>8.444592589328705</v>
      </c>
      <c r="AI16" s="573"/>
      <c r="AJ16" s="573"/>
      <c r="AK16" s="573"/>
      <c r="AL16" s="573"/>
      <c r="AM16" s="705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pans="1:42">
      <c r="A17" s="37" t="s">
        <v>15</v>
      </c>
      <c r="B17" s="37"/>
      <c r="C17" s="573">
        <f>+'Attainment by Race Trends'!CU16</f>
        <v>95.053134269528101</v>
      </c>
      <c r="D17" s="573">
        <f>+'Attainment by Race Trends'!CW16</f>
        <v>91.254221234996649</v>
      </c>
      <c r="E17" s="573">
        <f>+'Attainment by Race Trends'!CY16</f>
        <v>68.40403057969651</v>
      </c>
      <c r="F17" s="573">
        <f>+'Attainment by Race Trends'!DA16</f>
        <v>89.438042912339355</v>
      </c>
      <c r="G17" s="769" t="str">
        <f>+'Attainment by Race Trends'!DC16</f>
        <v>-</v>
      </c>
      <c r="H17" s="769">
        <f>+'Attainment by Race Trends'!DE16</f>
        <v>73.505754238336834</v>
      </c>
      <c r="I17" s="769">
        <f>+'Attainment by Race Trends'!DG16</f>
        <v>87.661457000194844</v>
      </c>
      <c r="J17" s="769">
        <f>+'Attainment by Race Trends'!DI16</f>
        <v>60.471726904128701</v>
      </c>
      <c r="K17" s="112">
        <f>+'Attainment by Race Trends'!DK16</f>
        <v>48.42595372067624</v>
      </c>
      <c r="L17" s="13">
        <f>+'Attainment by Race Trends'!DM16</f>
        <v>32.523462938905752</v>
      </c>
      <c r="M17" s="13">
        <f>+'Attainment by Race Trends'!DO16</f>
        <v>24.649651219945827</v>
      </c>
      <c r="N17" s="769">
        <f>+'Attainment by Race Trends'!DQ16</f>
        <v>62.865823582604882</v>
      </c>
      <c r="O17" s="769" t="str">
        <f>+'Attainment by Race Trends'!DS16</f>
        <v>-</v>
      </c>
      <c r="P17" s="769">
        <f>+'Attainment by Race Trends'!DU16</f>
        <v>19.978962999628756</v>
      </c>
      <c r="Q17" s="769">
        <f>+'Attainment by Race Trends'!DW16</f>
        <v>42.733527661151371</v>
      </c>
      <c r="R17" s="776">
        <f>+'Attainment by Race Trends'!DY16</f>
        <v>16.946854427344466</v>
      </c>
      <c r="S17" s="573">
        <f>IFERROR(('Attainment by Race Trends'!CU16-'Attainment by Race Trends'!CT16), "-")</f>
        <v>1.5723754753539367</v>
      </c>
      <c r="T17" s="573">
        <f>IFERROR(('Attainment by Race Trends'!CW16-'Attainment by Race Trends'!CV16), "-")</f>
        <v>0.90742250249292056</v>
      </c>
      <c r="U17" s="573">
        <f>IFERROR(('Attainment by Race Trends'!CY16-'Attainment by Race Trends'!CX16), "-")</f>
        <v>3.53924776509038</v>
      </c>
      <c r="V17" s="769">
        <f>IFERROR(('Attainment by Race Trends'!DA16-'Attainment by Race Trends'!CZ16), "-")</f>
        <v>-1.1214731818494528</v>
      </c>
      <c r="W17" s="769" t="str">
        <f>IFERROR(('Attainment by Race Trends'!DC16-'Attainment by Race Trends'!DB16), "-")</f>
        <v>-</v>
      </c>
      <c r="X17" s="769">
        <f>IFERROR(('Attainment by Race Trends'!DE16-'Attainment by Race Trends'!DD16), "-")</f>
        <v>-5.6426131475711259</v>
      </c>
      <c r="Y17" s="769">
        <f>IFERROR(('Attainment by Race Trends'!DG16-'Attainment by Race Trends'!DF16), "-")</f>
        <v>-3.4612917544353792</v>
      </c>
      <c r="Z17" s="776">
        <f>IFERROR(('Attainment by Race Trends'!DI16-'Attainment by Race Trends'!DH16), "-")</f>
        <v>6.4785382504753457</v>
      </c>
      <c r="AA17" s="573">
        <f>IFERROR(('Attainment by Race Trends'!DK16-'Attainment by Race Trends'!DJ16), "-")</f>
        <v>4.216479223295174</v>
      </c>
      <c r="AB17" s="573">
        <f>IFERROR(('Attainment by Race Trends'!DM16-'Attainment by Race Trends'!DL16), "-")</f>
        <v>2.9894566853645301</v>
      </c>
      <c r="AC17" s="573">
        <f>IFERROR(('Attainment by Race Trends'!DO16-'Attainment by Race Trends'!DN16), "-")</f>
        <v>3.7022201643167385</v>
      </c>
      <c r="AD17" s="769">
        <f>IFERROR(('Attainment by Race Trends'!DQ16-'Attainment by Race Trends'!DP16), "-")</f>
        <v>0.33276736282105901</v>
      </c>
      <c r="AE17" s="769" t="str">
        <f>IFERROR(('Attainment by Race Trends'!DS16-'Attainment by Race Trends'!DR16), "-")</f>
        <v>-</v>
      </c>
      <c r="AF17" s="769">
        <f>IFERROR(('Attainment by Race Trends'!DU16-'Attainment by Race Trends'!DT16), "-")</f>
        <v>-6.3051691370907399</v>
      </c>
      <c r="AG17" s="769">
        <f>IFERROR(('Attainment by Race Trends'!DW16-'Attainment by Race Trends'!DV16), "-")</f>
        <v>0.44332457007971726</v>
      </c>
      <c r="AH17" s="769">
        <f>IFERROR(('Attainment by Race Trends'!DY16-'Attainment by Race Trends'!DX16), "-")</f>
        <v>4.2787822447650008</v>
      </c>
      <c r="AI17" s="573"/>
      <c r="AJ17" s="573"/>
      <c r="AK17" s="573"/>
      <c r="AL17" s="573"/>
      <c r="AM17" s="705"/>
      <c r="AN17" s="1"/>
      <c r="AO17" s="1"/>
      <c r="AP17" s="1"/>
    </row>
    <row r="18" spans="1:42">
      <c r="A18" s="280" t="s">
        <v>16</v>
      </c>
      <c r="B18" s="280"/>
      <c r="C18" s="574">
        <f>+'Attainment by Race Trends'!CU17</f>
        <v>89.928043857333861</v>
      </c>
      <c r="D18" s="574">
        <f>+'Attainment by Race Trends'!CW17</f>
        <v>82.034295430040643</v>
      </c>
      <c r="E18" s="574">
        <f>+'Attainment by Race Trends'!CY17</f>
        <v>66.315937713756895</v>
      </c>
      <c r="F18" s="574">
        <f>+'Attainment by Race Trends'!DA17</f>
        <v>83.6289602855868</v>
      </c>
      <c r="G18" s="770" t="str">
        <f>+'Attainment by Race Trends'!DC17</f>
        <v>-</v>
      </c>
      <c r="H18" s="770">
        <f>+'Attainment by Race Trends'!DE17</f>
        <v>80.461265523358961</v>
      </c>
      <c r="I18" s="770">
        <f>+'Attainment by Race Trends'!DG17</f>
        <v>83.478878587088317</v>
      </c>
      <c r="J18" s="770">
        <f>+'Attainment by Race Trends'!DI17</f>
        <v>65.190676890265578</v>
      </c>
      <c r="K18" s="287">
        <f>+'Attainment by Race Trends'!DK17</f>
        <v>28.554862772756184</v>
      </c>
      <c r="L18" s="286">
        <f>+'Attainment by Race Trends'!DM17</f>
        <v>18.229037073898979</v>
      </c>
      <c r="M18" s="286">
        <f>+'Attainment by Race Trends'!DO17</f>
        <v>21.566812859614533</v>
      </c>
      <c r="N18" s="770">
        <f>+'Attainment by Race Trends'!DQ17</f>
        <v>44.249219098616685</v>
      </c>
      <c r="O18" s="770" t="str">
        <f>+'Attainment by Race Trends'!DS17</f>
        <v>-</v>
      </c>
      <c r="P18" s="770">
        <f>+'Attainment by Race Trends'!DU17</f>
        <v>10.798344175044353</v>
      </c>
      <c r="Q18" s="770">
        <f>+'Attainment by Race Trends'!DW17</f>
        <v>23.949440885764329</v>
      </c>
      <c r="R18" s="777">
        <f>+'Attainment by Race Trends'!DY17</f>
        <v>23.190981567054283</v>
      </c>
      <c r="S18" s="574">
        <f>IFERROR(('Attainment by Race Trends'!CU17-'Attainment by Race Trends'!CT17), "-")</f>
        <v>2.2316325369243799</v>
      </c>
      <c r="T18" s="574">
        <f>IFERROR(('Attainment by Race Trends'!CW17-'Attainment by Race Trends'!CV17), "-")</f>
        <v>2.846586157500397</v>
      </c>
      <c r="U18" s="574">
        <f>IFERROR(('Attainment by Race Trends'!CY17-'Attainment by Race Trends'!CX17), "-")</f>
        <v>1.6793719944175507</v>
      </c>
      <c r="V18" s="770">
        <f>IFERROR(('Attainment by Race Trends'!DA17-'Attainment by Race Trends'!CZ17), "-")</f>
        <v>-1.0599058161995885</v>
      </c>
      <c r="W18" s="770" t="str">
        <f>IFERROR(('Attainment by Race Trends'!DC17-'Attainment by Race Trends'!DB17), "-")</f>
        <v>-</v>
      </c>
      <c r="X18" s="770">
        <f>IFERROR(('Attainment by Race Trends'!DE17-'Attainment by Race Trends'!DD17), "-")</f>
        <v>5.792868752886065</v>
      </c>
      <c r="Y18" s="770">
        <f>IFERROR(('Attainment by Race Trends'!DG17-'Attainment by Race Trends'!DF17), "-")</f>
        <v>4.2822219815624294</v>
      </c>
      <c r="Z18" s="777">
        <f>IFERROR(('Attainment by Race Trends'!DI17-'Attainment by Race Trends'!DH17), "-")</f>
        <v>8.8607651308562581</v>
      </c>
      <c r="AA18" s="574">
        <f>IFERROR(('Attainment by Race Trends'!DK17-'Attainment by Race Trends'!DJ17), "-")</f>
        <v>3.0340018992425151</v>
      </c>
      <c r="AB18" s="574">
        <f>IFERROR(('Attainment by Race Trends'!DM17-'Attainment by Race Trends'!DL17), "-")</f>
        <v>3.0139580858091186</v>
      </c>
      <c r="AC18" s="574">
        <f>IFERROR(('Attainment by Race Trends'!DO17-'Attainment by Race Trends'!DN17), "-")</f>
        <v>8.7241138133158032</v>
      </c>
      <c r="AD18" s="770">
        <f>IFERROR(('Attainment by Race Trends'!DQ17-'Attainment by Race Trends'!DP17), "-")</f>
        <v>1.1114350843687504</v>
      </c>
      <c r="AE18" s="770" t="str">
        <f>IFERROR(('Attainment by Race Trends'!DS17-'Attainment by Race Trends'!DR17), "-")</f>
        <v>-</v>
      </c>
      <c r="AF18" s="770">
        <f>IFERROR(('Attainment by Race Trends'!DU17-'Attainment by Race Trends'!DT17), "-")</f>
        <v>-2.5522901963512652</v>
      </c>
      <c r="AG18" s="770">
        <f>IFERROR(('Attainment by Race Trends'!DW17-'Attainment by Race Trends'!DV17), "-")</f>
        <v>1.9929359712840231</v>
      </c>
      <c r="AH18" s="770">
        <f>IFERROR(('Attainment by Race Trends'!DY17-'Attainment by Race Trends'!DX17), "-")</f>
        <v>13.052317781713027</v>
      </c>
      <c r="AI18" s="573"/>
      <c r="AJ18" s="573"/>
      <c r="AK18" s="573"/>
      <c r="AL18" s="573"/>
      <c r="AM18" s="705"/>
      <c r="AN18" s="1"/>
      <c r="AO18" s="1"/>
      <c r="AP18" s="1"/>
    </row>
    <row r="19" spans="1:42">
      <c r="A19" s="280" t="s">
        <v>17</v>
      </c>
      <c r="B19" s="280"/>
      <c r="C19" s="574">
        <f>+'Attainment by Race Trends'!CU18</f>
        <v>93.110611916257298</v>
      </c>
      <c r="D19" s="574">
        <f>+'Attainment by Race Trends'!CW18</f>
        <v>88.399550714416321</v>
      </c>
      <c r="E19" s="574">
        <f>+'Attainment by Race Trends'!CY18</f>
        <v>64.469056557623105</v>
      </c>
      <c r="F19" s="574">
        <f>+'Attainment by Race Trends'!DA18</f>
        <v>87.812247911510951</v>
      </c>
      <c r="G19" s="770" t="str">
        <f>+'Attainment by Race Trends'!DC18</f>
        <v>-</v>
      </c>
      <c r="H19" s="770">
        <f>+'Attainment by Race Trends'!DE18</f>
        <v>74.587428631019108</v>
      </c>
      <c r="I19" s="770">
        <f>+'Attainment by Race Trends'!DG18</f>
        <v>82.358727359066549</v>
      </c>
      <c r="J19" s="770">
        <f>+'Attainment by Race Trends'!DI18</f>
        <v>57.869427345644468</v>
      </c>
      <c r="K19" s="287">
        <f>+'Attainment by Race Trends'!DK18</f>
        <v>38.922295859555476</v>
      </c>
      <c r="L19" s="286">
        <f>+'Attainment by Race Trends'!DM18</f>
        <v>24.661994491945123</v>
      </c>
      <c r="M19" s="286">
        <f>+'Attainment by Race Trends'!DO18</f>
        <v>18.275142589250308</v>
      </c>
      <c r="N19" s="770">
        <f>+'Attainment by Race Trends'!DQ18</f>
        <v>63.112247455757753</v>
      </c>
      <c r="O19" s="770" t="str">
        <f>+'Attainment by Race Trends'!DS18</f>
        <v>-</v>
      </c>
      <c r="P19" s="770">
        <f>+'Attainment by Race Trends'!DU18</f>
        <v>14.192976510154601</v>
      </c>
      <c r="Q19" s="770">
        <f>+'Attainment by Race Trends'!DW18</f>
        <v>28.228749745607491</v>
      </c>
      <c r="R19" s="777">
        <f>+'Attainment by Race Trends'!DY18</f>
        <v>15.069203506808432</v>
      </c>
      <c r="S19" s="574">
        <f>IFERROR(('Attainment by Race Trends'!CU18-'Attainment by Race Trends'!CT18), "-")</f>
        <v>2.1547391247136858</v>
      </c>
      <c r="T19" s="574">
        <f>IFERROR(('Attainment by Race Trends'!CW18-'Attainment by Race Trends'!CV18), "-")</f>
        <v>3.7415303975539445</v>
      </c>
      <c r="U19" s="574">
        <f>IFERROR(('Attainment by Race Trends'!CY18-'Attainment by Race Trends'!CX18), "-")</f>
        <v>4.9656625270410615</v>
      </c>
      <c r="V19" s="770">
        <f>IFERROR(('Attainment by Race Trends'!DA18-'Attainment by Race Trends'!CZ18), "-")</f>
        <v>0.81161414556346756</v>
      </c>
      <c r="W19" s="770" t="str">
        <f>IFERROR(('Attainment by Race Trends'!DC18-'Attainment by Race Trends'!DB18), "-")</f>
        <v>-</v>
      </c>
      <c r="X19" s="770">
        <f>IFERROR(('Attainment by Race Trends'!DE18-'Attainment by Race Trends'!DD18), "-")</f>
        <v>-1.0824259880932203</v>
      </c>
      <c r="Y19" s="770">
        <f>IFERROR(('Attainment by Race Trends'!DG18-'Attainment by Race Trends'!DF18), "-")</f>
        <v>-6.5066387867721573</v>
      </c>
      <c r="Z19" s="777">
        <f>IFERROR(('Attainment by Race Trends'!DI18-'Attainment by Race Trends'!DH18), "-")</f>
        <v>4.3504606457596466</v>
      </c>
      <c r="AA19" s="574">
        <f>IFERROR(('Attainment by Race Trends'!DK18-'Attainment by Race Trends'!DJ18), "-")</f>
        <v>4.7861389415220117</v>
      </c>
      <c r="AB19" s="574">
        <f>IFERROR(('Attainment by Race Trends'!DM18-'Attainment by Race Trends'!DL18), "-")</f>
        <v>4.3487542982793883</v>
      </c>
      <c r="AC19" s="574">
        <f>IFERROR(('Attainment by Race Trends'!DO18-'Attainment by Race Trends'!DN18), "-")</f>
        <v>3.4808115200493752</v>
      </c>
      <c r="AD19" s="770">
        <f>IFERROR(('Attainment by Race Trends'!DQ18-'Attainment by Race Trends'!DP18), "-")</f>
        <v>5.9774206391916636</v>
      </c>
      <c r="AE19" s="770" t="str">
        <f>IFERROR(('Attainment by Race Trends'!DS18-'Attainment by Race Trends'!DR18), "-")</f>
        <v>-</v>
      </c>
      <c r="AF19" s="770">
        <f>IFERROR(('Attainment by Race Trends'!DU18-'Attainment by Race Trends'!DT18), "-")</f>
        <v>0.32538337151713037</v>
      </c>
      <c r="AG19" s="770">
        <f>IFERROR(('Attainment by Race Trends'!DW18-'Attainment by Race Trends'!DV18), "-")</f>
        <v>-1.7145547063871831</v>
      </c>
      <c r="AH19" s="770">
        <f>IFERROR(('Attainment by Race Trends'!DY18-'Attainment by Race Trends'!DX18), "-")</f>
        <v>5.1619986198579859</v>
      </c>
      <c r="AI19" s="573"/>
      <c r="AJ19" s="573"/>
      <c r="AK19" s="573"/>
      <c r="AL19" s="573"/>
      <c r="AM19" s="705"/>
      <c r="AN19" s="1"/>
      <c r="AO19" s="1"/>
      <c r="AP19" s="1"/>
    </row>
    <row r="20" spans="1:42">
      <c r="A20" s="280" t="s">
        <v>18</v>
      </c>
      <c r="B20" s="280"/>
      <c r="C20" s="574">
        <f>+'Attainment by Race Trends'!CU19</f>
        <v>91.496740201172059</v>
      </c>
      <c r="D20" s="574">
        <f>+'Attainment by Race Trends'!CW19</f>
        <v>89.731256293845945</v>
      </c>
      <c r="E20" s="574">
        <f>+'Attainment by Race Trends'!CY19</f>
        <v>66.321778490304652</v>
      </c>
      <c r="F20" s="574">
        <f>+'Attainment by Race Trends'!DA19</f>
        <v>82.266056946192705</v>
      </c>
      <c r="G20" s="770">
        <f>+'Attainment by Race Trends'!DC19</f>
        <v>0</v>
      </c>
      <c r="H20" s="770">
        <f>+'Attainment by Race Trends'!DE19</f>
        <v>86.659875442780077</v>
      </c>
      <c r="I20" s="770">
        <f>+'Attainment by Race Trends'!DG19</f>
        <v>83.561026550698102</v>
      </c>
      <c r="J20" s="770">
        <f>+'Attainment by Race Trends'!DI19</f>
        <v>63.260154228730755</v>
      </c>
      <c r="K20" s="287">
        <f>+'Attainment by Race Trends'!DK19</f>
        <v>30.390299376705077</v>
      </c>
      <c r="L20" s="286">
        <f>+'Attainment by Race Trends'!DM19</f>
        <v>23.053900637401338</v>
      </c>
      <c r="M20" s="286">
        <f>+'Attainment by Race Trends'!DO19</f>
        <v>14.426490897130384</v>
      </c>
      <c r="N20" s="770">
        <f>+'Attainment by Race Trends'!DQ19</f>
        <v>43.617851850671599</v>
      </c>
      <c r="O20" s="770">
        <f>+'Attainment by Race Trends'!DS19</f>
        <v>0</v>
      </c>
      <c r="P20" s="770">
        <f>+'Attainment by Race Trends'!DU19</f>
        <v>18.915680781608131</v>
      </c>
      <c r="Q20" s="770">
        <f>+'Attainment by Race Trends'!DW19</f>
        <v>24.128089951934083</v>
      </c>
      <c r="R20" s="777">
        <f>+'Attainment by Race Trends'!DY19</f>
        <v>11.170279570972847</v>
      </c>
      <c r="S20" s="574">
        <f>IFERROR(('Attainment by Race Trends'!CU19-'Attainment by Race Trends'!CT19), "-")</f>
        <v>0.63213451682381105</v>
      </c>
      <c r="T20" s="574">
        <f>IFERROR(('Attainment by Race Trends'!CW19-'Attainment by Race Trends'!CV19), "-")</f>
        <v>1.4753827920708034</v>
      </c>
      <c r="U20" s="574">
        <f>IFERROR(('Attainment by Race Trends'!CY19-'Attainment by Race Trends'!CX19), "-")</f>
        <v>5.1660676226557385</v>
      </c>
      <c r="V20" s="770">
        <f>IFERROR(('Attainment by Race Trends'!DA19-'Attainment by Race Trends'!CZ19), "-")</f>
        <v>-2.6757932567922467</v>
      </c>
      <c r="W20" s="770">
        <f>IFERROR(('Attainment by Race Trends'!DC19-'Attainment by Race Trends'!DB19), "-")</f>
        <v>-84.975433152314451</v>
      </c>
      <c r="X20" s="770">
        <f>IFERROR(('Attainment by Race Trends'!DE19-'Attainment by Race Trends'!DD19), "-")</f>
        <v>1.5700648805437538</v>
      </c>
      <c r="Y20" s="770">
        <f>IFERROR(('Attainment by Race Trends'!DG19-'Attainment by Race Trends'!DF19), "-")</f>
        <v>-3.1539094685140583</v>
      </c>
      <c r="Z20" s="777">
        <f>IFERROR(('Attainment by Race Trends'!DI19-'Attainment by Race Trends'!DH19), "-")</f>
        <v>7.9586511341242172</v>
      </c>
      <c r="AA20" s="574">
        <f>IFERROR(('Attainment by Race Trends'!DK19-'Attainment by Race Trends'!DJ19), "-")</f>
        <v>2.8612436181862257</v>
      </c>
      <c r="AB20" s="574">
        <f>IFERROR(('Attainment by Race Trends'!DM19-'Attainment by Race Trends'!DL19), "-")</f>
        <v>3.8110256568214389</v>
      </c>
      <c r="AC20" s="574">
        <f>IFERROR(('Attainment by Race Trends'!DO19-'Attainment by Race Trends'!DN19), "-")</f>
        <v>2.9097843530343415</v>
      </c>
      <c r="AD20" s="770">
        <f>IFERROR(('Attainment by Race Trends'!DQ19-'Attainment by Race Trends'!DP19), "-")</f>
        <v>-9.35368802311487E-2</v>
      </c>
      <c r="AE20" s="770">
        <f>IFERROR(('Attainment by Race Trends'!DS19-'Attainment by Race Trends'!DR19), "-")</f>
        <v>-5.4047064908197573</v>
      </c>
      <c r="AF20" s="770">
        <f>IFERROR(('Attainment by Race Trends'!DU19-'Attainment by Race Trends'!DT19), "-")</f>
        <v>1.4987424043920825</v>
      </c>
      <c r="AG20" s="770">
        <f>IFERROR(('Attainment by Race Trends'!DW19-'Attainment by Race Trends'!DV19), "-")</f>
        <v>1.5702921814046746</v>
      </c>
      <c r="AH20" s="770">
        <f>IFERROR(('Attainment by Race Trends'!DY19-'Attainment by Race Trends'!DX19), "-")</f>
        <v>4.1976889432098057</v>
      </c>
      <c r="AI20" s="573"/>
      <c r="AJ20" s="573"/>
      <c r="AK20" s="573"/>
      <c r="AL20" s="573"/>
      <c r="AM20" s="705"/>
      <c r="AN20" s="1"/>
      <c r="AO20" s="1"/>
      <c r="AP20" s="1"/>
    </row>
    <row r="21" spans="1:42">
      <c r="A21" s="280" t="s">
        <v>19</v>
      </c>
      <c r="B21" s="280"/>
      <c r="C21" s="574">
        <f>+'Attainment by Race Trends'!CU20</f>
        <v>92.441292547470283</v>
      </c>
      <c r="D21" s="574">
        <f>+'Attainment by Race Trends'!CW20</f>
        <v>86.119539526183516</v>
      </c>
      <c r="E21" s="574">
        <f>+'Attainment by Race Trends'!CY20</f>
        <v>68.572216192002202</v>
      </c>
      <c r="F21" s="574">
        <f>+'Attainment by Race Trends'!DA20</f>
        <v>87.977868879778683</v>
      </c>
      <c r="G21" s="770" t="str">
        <f>+'Attainment by Race Trends'!DC20</f>
        <v>-</v>
      </c>
      <c r="H21" s="770">
        <f>+'Attainment by Race Trends'!DE20</f>
        <v>64.348468675589132</v>
      </c>
      <c r="I21" s="770">
        <f>+'Attainment by Race Trends'!DG20</f>
        <v>81.007834491333711</v>
      </c>
      <c r="J21" s="770">
        <f>+'Attainment by Race Trends'!DI20</f>
        <v>67.319960702871427</v>
      </c>
      <c r="K21" s="287">
        <f>+'Attainment by Race Trends'!DK20</f>
        <v>35.771891570651924</v>
      </c>
      <c r="L21" s="286">
        <f>+'Attainment by Race Trends'!DM20</f>
        <v>20.801471198187642</v>
      </c>
      <c r="M21" s="286">
        <f>+'Attainment by Race Trends'!DO20</f>
        <v>20.800813218242279</v>
      </c>
      <c r="N21" s="770">
        <f>+'Attainment by Race Trends'!DQ20</f>
        <v>51.896477018964774</v>
      </c>
      <c r="O21" s="770" t="str">
        <f>+'Attainment by Race Trends'!DS20</f>
        <v>-</v>
      </c>
      <c r="P21" s="770">
        <f>+'Attainment by Race Trends'!DU20</f>
        <v>12.349125543969128</v>
      </c>
      <c r="Q21" s="770">
        <f>+'Attainment by Race Trends'!DW20</f>
        <v>27.256661620202742</v>
      </c>
      <c r="R21" s="777">
        <f>+'Attainment by Race Trends'!DY20</f>
        <v>17.818014500143011</v>
      </c>
      <c r="S21" s="574">
        <f>IFERROR(('Attainment by Race Trends'!CU20-'Attainment by Race Trends'!CT20), "-")</f>
        <v>2.2663591894765318</v>
      </c>
      <c r="T21" s="574">
        <f>IFERROR(('Attainment by Race Trends'!CW20-'Attainment by Race Trends'!CV20), "-")</f>
        <v>4.8180791350641954</v>
      </c>
      <c r="U21" s="574">
        <f>IFERROR(('Attainment by Race Trends'!CY20-'Attainment by Race Trends'!CX20), "-")</f>
        <v>7.6334810845055685</v>
      </c>
      <c r="V21" s="770">
        <f>IFERROR(('Attainment by Race Trends'!DA20-'Attainment by Race Trends'!CZ20), "-")</f>
        <v>0.76580478929800222</v>
      </c>
      <c r="W21" s="770" t="str">
        <f>IFERROR(('Attainment by Race Trends'!DC20-'Attainment by Race Trends'!DB20), "-")</f>
        <v>-</v>
      </c>
      <c r="X21" s="770">
        <f>IFERROR(('Attainment by Race Trends'!DE20-'Attainment by Race Trends'!DD20), "-")</f>
        <v>-16.865608162164222</v>
      </c>
      <c r="Y21" s="770">
        <f>IFERROR(('Attainment by Race Trends'!DG20-'Attainment by Race Trends'!DF20), "-")</f>
        <v>-2.4772670766386966</v>
      </c>
      <c r="Z21" s="777">
        <f>IFERROR(('Attainment by Race Trends'!DI20-'Attainment by Race Trends'!DH20), "-")</f>
        <v>6.6275478871605458</v>
      </c>
      <c r="AA21" s="574">
        <f>IFERROR(('Attainment by Race Trends'!DK20-'Attainment by Race Trends'!DJ20), "-")</f>
        <v>3.7374902930796239</v>
      </c>
      <c r="AB21" s="574">
        <f>IFERROR(('Attainment by Race Trends'!DM20-'Attainment by Race Trends'!DL20), "-")</f>
        <v>5.1096191878975965</v>
      </c>
      <c r="AC21" s="574">
        <f>IFERROR(('Attainment by Race Trends'!DO20-'Attainment by Race Trends'!DN20), "-")</f>
        <v>6.5716627229530467</v>
      </c>
      <c r="AD21" s="770">
        <f>IFERROR(('Attainment by Race Trends'!DQ20-'Attainment by Race Trends'!DP20), "-")</f>
        <v>7.5062790924803267</v>
      </c>
      <c r="AE21" s="770" t="str">
        <f>IFERROR(('Attainment by Race Trends'!DS20-'Attainment by Race Trends'!DR20), "-")</f>
        <v>-</v>
      </c>
      <c r="AF21" s="770">
        <f>IFERROR(('Attainment by Race Trends'!DU20-'Attainment by Race Trends'!DT20), "-")</f>
        <v>-2.1108926066812685</v>
      </c>
      <c r="AG21" s="770">
        <f>IFERROR(('Attainment by Race Trends'!DW20-'Attainment by Race Trends'!DV20), "-")</f>
        <v>5.8034583226112773</v>
      </c>
      <c r="AH21" s="770">
        <f>IFERROR(('Attainment by Race Trends'!DY20-'Attainment by Race Trends'!DX20), "-")</f>
        <v>3.4813237070063998</v>
      </c>
      <c r="AI21" s="573"/>
      <c r="AJ21" s="573"/>
      <c r="AK21" s="573"/>
      <c r="AL21" s="573"/>
      <c r="AM21" s="705"/>
      <c r="AN21" s="1"/>
      <c r="AO21" s="1"/>
      <c r="AP21" s="1"/>
    </row>
    <row r="22" spans="1:42">
      <c r="A22" s="37" t="s">
        <v>20</v>
      </c>
      <c r="B22" s="37"/>
      <c r="C22" s="573">
        <f>+'Attainment by Race Trends'!CU21</f>
        <v>91.374000002195686</v>
      </c>
      <c r="D22" s="573">
        <f>+'Attainment by Race Trends'!CW21</f>
        <v>88.226683277648789</v>
      </c>
      <c r="E22" s="573">
        <f>+'Attainment by Race Trends'!CY21</f>
        <v>67.214883738540692</v>
      </c>
      <c r="F22" s="573">
        <f>+'Attainment by Race Trends'!DA21</f>
        <v>86.954569177924242</v>
      </c>
      <c r="G22" s="769" t="str">
        <f>+'Attainment by Race Trends'!DC21</f>
        <v>-</v>
      </c>
      <c r="H22" s="769">
        <f>+'Attainment by Race Trends'!DE21</f>
        <v>79.076896874733876</v>
      </c>
      <c r="I22" s="769">
        <f>+'Attainment by Race Trends'!DG21</f>
        <v>83.932042060499342</v>
      </c>
      <c r="J22" s="769">
        <f>+'Attainment by Race Trends'!DI21</f>
        <v>60.674656977059492</v>
      </c>
      <c r="K22" s="112">
        <f>+'Attainment by Race Trends'!DK21</f>
        <v>32.22191360633763</v>
      </c>
      <c r="L22" s="13">
        <f>+'Attainment by Race Trends'!DM21</f>
        <v>22.173254431168242</v>
      </c>
      <c r="M22" s="13">
        <f>+'Attainment by Race Trends'!DO21</f>
        <v>20.125798069960386</v>
      </c>
      <c r="N22" s="769">
        <f>+'Attainment by Race Trends'!DQ21</f>
        <v>55.151779970627146</v>
      </c>
      <c r="O22" s="769" t="str">
        <f>+'Attainment by Race Trends'!DS21</f>
        <v>-</v>
      </c>
      <c r="P22" s="769">
        <f>+'Attainment by Race Trends'!DU21</f>
        <v>17.048454398364985</v>
      </c>
      <c r="Q22" s="769">
        <f>+'Attainment by Race Trends'!DW21</f>
        <v>26.645791458329871</v>
      </c>
      <c r="R22" s="776">
        <f>+'Attainment by Race Trends'!DY21</f>
        <v>17.641954552849938</v>
      </c>
      <c r="S22" s="573">
        <f>IFERROR(('Attainment by Race Trends'!CU21-'Attainment by Race Trends'!CT21), "-")</f>
        <v>2.8892995044685392</v>
      </c>
      <c r="T22" s="573">
        <f>IFERROR(('Attainment by Race Trends'!CW21-'Attainment by Race Trends'!CV21), "-")</f>
        <v>3.374997029595562</v>
      </c>
      <c r="U22" s="573">
        <f>IFERROR(('Attainment by Race Trends'!CY21-'Attainment by Race Trends'!CX21), "-")</f>
        <v>3.7039220036650349</v>
      </c>
      <c r="V22" s="769">
        <f>IFERROR(('Attainment by Race Trends'!DA21-'Attainment by Race Trends'!CZ21), "-")</f>
        <v>0.67972585928865215</v>
      </c>
      <c r="W22" s="769" t="str">
        <f>IFERROR(('Attainment by Race Trends'!DC21-'Attainment by Race Trends'!DB21), "-")</f>
        <v>-</v>
      </c>
      <c r="X22" s="769">
        <f>IFERROR(('Attainment by Race Trends'!DE21-'Attainment by Race Trends'!DD21), "-")</f>
        <v>-0.3668848133066831</v>
      </c>
      <c r="Y22" s="769">
        <f>IFERROR(('Attainment by Race Trends'!DG21-'Attainment by Race Trends'!DF21), "-")</f>
        <v>-3.1581632267009496</v>
      </c>
      <c r="Z22" s="776">
        <f>IFERROR(('Attainment by Race Trends'!DI21-'Attainment by Race Trends'!DH21), "-")</f>
        <v>4.3751141910302138</v>
      </c>
      <c r="AA22" s="573">
        <f>IFERROR(('Attainment by Race Trends'!DK21-'Attainment by Race Trends'!DJ21), "-")</f>
        <v>4.8902478813680794</v>
      </c>
      <c r="AB22" s="573">
        <f>IFERROR(('Attainment by Race Trends'!DM21-'Attainment by Race Trends'!DL21), "-")</f>
        <v>2.7357916621185545</v>
      </c>
      <c r="AC22" s="573">
        <f>IFERROR(('Attainment by Race Trends'!DO21-'Attainment by Race Trends'!DN21), "-")</f>
        <v>5.245510190812622</v>
      </c>
      <c r="AD22" s="769">
        <f>IFERROR(('Attainment by Race Trends'!DQ21-'Attainment by Race Trends'!DP21), "-")</f>
        <v>8.4985952649674346E-2</v>
      </c>
      <c r="AE22" s="769" t="str">
        <f>IFERROR(('Attainment by Race Trends'!DS21-'Attainment by Race Trends'!DR21), "-")</f>
        <v>-</v>
      </c>
      <c r="AF22" s="769">
        <f>IFERROR(('Attainment by Race Trends'!DU21-'Attainment by Race Trends'!DT21), "-")</f>
        <v>2.4123076640971668</v>
      </c>
      <c r="AG22" s="769">
        <f>IFERROR(('Attainment by Race Trends'!DW21-'Attainment by Race Trends'!DV21), "-")</f>
        <v>-0.77720290957267579</v>
      </c>
      <c r="AH22" s="769">
        <f>IFERROR(('Attainment by Race Trends'!DY21-'Attainment by Race Trends'!DX21), "-")</f>
        <v>6.0303429412383256</v>
      </c>
      <c r="AI22" s="573"/>
      <c r="AJ22" s="573"/>
      <c r="AK22" s="573"/>
      <c r="AL22" s="573"/>
      <c r="AM22" s="705"/>
      <c r="AN22" s="1"/>
      <c r="AO22" s="1"/>
      <c r="AP22" s="1"/>
    </row>
    <row r="23" spans="1:42">
      <c r="A23" s="37" t="s">
        <v>21</v>
      </c>
      <c r="B23" s="37"/>
      <c r="C23" s="573">
        <f>+'Attainment by Race Trends'!CU22</f>
        <v>94.976342111842044</v>
      </c>
      <c r="D23" s="573">
        <f>+'Attainment by Race Trends'!CW22</f>
        <v>91.310528007267678</v>
      </c>
      <c r="E23" s="573">
        <f>+'Attainment by Race Trends'!CY22</f>
        <v>70.43163978070487</v>
      </c>
      <c r="F23" s="573">
        <f>+'Attainment by Race Trends'!DA22</f>
        <v>88.598017676369039</v>
      </c>
      <c r="G23" s="769">
        <f>+'Attainment by Race Trends'!DC22</f>
        <v>90.11110464778082</v>
      </c>
      <c r="H23" s="769">
        <f>+'Attainment by Race Trends'!DE22</f>
        <v>71.532307186903282</v>
      </c>
      <c r="I23" s="769">
        <f>+'Attainment by Race Trends'!DG22</f>
        <v>73.919014791778196</v>
      </c>
      <c r="J23" s="769">
        <f>+'Attainment by Race Trends'!DI22</f>
        <v>63.964815885763137</v>
      </c>
      <c r="K23" s="112">
        <f>+'Attainment by Race Trends'!DK22</f>
        <v>42.428179854143657</v>
      </c>
      <c r="L23" s="13">
        <f>+'Attainment by Race Trends'!DM22</f>
        <v>28.746399810942119</v>
      </c>
      <c r="M23" s="13">
        <f>+'Attainment by Race Trends'!DO22</f>
        <v>18.0923176905386</v>
      </c>
      <c r="N23" s="769">
        <f>+'Attainment by Race Trends'!DQ22</f>
        <v>61.609890446626395</v>
      </c>
      <c r="O23" s="769">
        <f>+'Attainment by Race Trends'!DS22</f>
        <v>29.974986911756151</v>
      </c>
      <c r="P23" s="769">
        <f>+'Attainment by Race Trends'!DU22</f>
        <v>20.647033460403936</v>
      </c>
      <c r="Q23" s="769">
        <f>+'Attainment by Race Trends'!DW22</f>
        <v>22.461036641537103</v>
      </c>
      <c r="R23" s="776">
        <f>+'Attainment by Race Trends'!DY22</f>
        <v>12.956978609011829</v>
      </c>
      <c r="S23" s="573">
        <f>IFERROR(('Attainment by Race Trends'!CU22-'Attainment by Race Trends'!CT22), "-")</f>
        <v>1.5896763009686907</v>
      </c>
      <c r="T23" s="573">
        <f>IFERROR(('Attainment by Race Trends'!CW22-'Attainment by Race Trends'!CV22), "-")</f>
        <v>2.2272171598000341</v>
      </c>
      <c r="U23" s="573">
        <f>IFERROR(('Attainment by Race Trends'!CY22-'Attainment by Race Trends'!CX22), "-")</f>
        <v>5.5323625893974366</v>
      </c>
      <c r="V23" s="769">
        <f>IFERROR(('Attainment by Race Trends'!DA22-'Attainment by Race Trends'!CZ22), "-")</f>
        <v>1.0071479083162416</v>
      </c>
      <c r="W23" s="769">
        <f>IFERROR(('Attainment by Race Trends'!DC22-'Attainment by Race Trends'!DB22), "-")</f>
        <v>3.5067232044818439</v>
      </c>
      <c r="X23" s="769">
        <f>IFERROR(('Attainment by Race Trends'!DE22-'Attainment by Race Trends'!DD22), "-")</f>
        <v>-5.0302107945686032</v>
      </c>
      <c r="Y23" s="769">
        <f>IFERROR(('Attainment by Race Trends'!DG22-'Attainment by Race Trends'!DF22), "-")</f>
        <v>-12.592288576137335</v>
      </c>
      <c r="Z23" s="776">
        <f>IFERROR(('Attainment by Race Trends'!DI22-'Attainment by Race Trends'!DH22), "-")</f>
        <v>3.4505316148798144</v>
      </c>
      <c r="AA23" s="573">
        <f>IFERROR(('Attainment by Race Trends'!DK22-'Attainment by Race Trends'!DJ22), "-")</f>
        <v>4.8417137882423376</v>
      </c>
      <c r="AB23" s="573">
        <f>IFERROR(('Attainment by Race Trends'!DM22-'Attainment by Race Trends'!DL22), "-")</f>
        <v>5.6188367798029297</v>
      </c>
      <c r="AC23" s="573">
        <f>IFERROR(('Attainment by Race Trends'!DO22-'Attainment by Race Trends'!DN22), "-")</f>
        <v>3.8930591230164229</v>
      </c>
      <c r="AD23" s="769">
        <f>IFERROR(('Attainment by Race Trends'!DQ22-'Attainment by Race Trends'!DP22), "-")</f>
        <v>4.9114580492044908</v>
      </c>
      <c r="AE23" s="769">
        <f>IFERROR(('Attainment by Race Trends'!DS22-'Attainment by Race Trends'!DR22), "-")</f>
        <v>19.659265262271617</v>
      </c>
      <c r="AF23" s="769">
        <f>IFERROR(('Attainment by Race Trends'!DU22-'Attainment by Race Trends'!DT22), "-")</f>
        <v>3.2006901725277643</v>
      </c>
      <c r="AG23" s="769">
        <f>IFERROR(('Attainment by Race Trends'!DW22-'Attainment by Race Trends'!DV22), "-")</f>
        <v>-9.0511348302757249</v>
      </c>
      <c r="AH23" s="769">
        <f>IFERROR(('Attainment by Race Trends'!DY22-'Attainment by Race Trends'!DX22), "-")</f>
        <v>2.051802928898665</v>
      </c>
      <c r="AI23" s="573"/>
      <c r="AJ23" s="573"/>
      <c r="AK23" s="573"/>
      <c r="AL23" s="573"/>
      <c r="AM23" s="705"/>
      <c r="AN23" s="1"/>
      <c r="AO23" s="1"/>
      <c r="AP23" s="1"/>
    </row>
    <row r="24" spans="1:42">
      <c r="A24" s="37" t="s">
        <v>22</v>
      </c>
      <c r="B24" s="37"/>
      <c r="C24" s="573">
        <f>+'Attainment by Race Trends'!CU23</f>
        <v>93.973110789614594</v>
      </c>
      <c r="D24" s="573">
        <f>+'Attainment by Race Trends'!CW23</f>
        <v>88.84692510868183</v>
      </c>
      <c r="E24" s="573">
        <f>+'Attainment by Race Trends'!CY23</f>
        <v>76.142056525319887</v>
      </c>
      <c r="F24" s="573">
        <f>+'Attainment by Race Trends'!DA23</f>
        <v>91.690708227138089</v>
      </c>
      <c r="G24" s="769" t="str">
        <f>+'Attainment by Race Trends'!DC23</f>
        <v>-</v>
      </c>
      <c r="H24" s="769">
        <f>+'Attainment by Race Trends'!DE23</f>
        <v>77.260959234718513</v>
      </c>
      <c r="I24" s="769">
        <f>+'Attainment by Race Trends'!DG23</f>
        <v>86.349290643859206</v>
      </c>
      <c r="J24" s="769">
        <f>+'Attainment by Race Trends'!DI23</f>
        <v>70.143543075492104</v>
      </c>
      <c r="K24" s="112">
        <f>+'Attainment by Race Trends'!DK23</f>
        <v>44.808266164803349</v>
      </c>
      <c r="L24" s="13">
        <f>+'Attainment by Race Trends'!DM23</f>
        <v>27.627069818252558</v>
      </c>
      <c r="M24" s="13">
        <f>+'Attainment by Race Trends'!DO23</f>
        <v>29.188879738063196</v>
      </c>
      <c r="N24" s="769">
        <f>+'Attainment by Race Trends'!DQ23</f>
        <v>65.450295825296124</v>
      </c>
      <c r="O24" s="769" t="str">
        <f>+'Attainment by Race Trends'!DS23</f>
        <v>-</v>
      </c>
      <c r="P24" s="769">
        <f>+'Attainment by Race Trends'!DU23</f>
        <v>20.953091403747422</v>
      </c>
      <c r="Q24" s="769">
        <f>+'Attainment by Race Trends'!DW23</f>
        <v>38.700961724349163</v>
      </c>
      <c r="R24" s="776">
        <f>+'Attainment by Race Trends'!DY23</f>
        <v>23.739158852660953</v>
      </c>
      <c r="S24" s="573">
        <f>IFERROR(('Attainment by Race Trends'!CU23-'Attainment by Race Trends'!CT23), "-")</f>
        <v>1.759620850013178</v>
      </c>
      <c r="T24" s="573">
        <f>IFERROR(('Attainment by Race Trends'!CW23-'Attainment by Race Trends'!CV23), "-")</f>
        <v>2.9179580283497728</v>
      </c>
      <c r="U24" s="573">
        <f>IFERROR(('Attainment by Race Trends'!CY23-'Attainment by Race Trends'!CX23), "-")</f>
        <v>4.3808394030919402</v>
      </c>
      <c r="V24" s="769">
        <f>IFERROR(('Attainment by Race Trends'!DA23-'Attainment by Race Trends'!CZ23), "-")</f>
        <v>3.1571189548240994</v>
      </c>
      <c r="W24" s="769" t="str">
        <f>IFERROR(('Attainment by Race Trends'!DC23-'Attainment by Race Trends'!DB23), "-")</f>
        <v>-</v>
      </c>
      <c r="X24" s="769">
        <f>IFERROR(('Attainment by Race Trends'!DE23-'Attainment by Race Trends'!DD23), "-")</f>
        <v>-10.226975128215855</v>
      </c>
      <c r="Y24" s="769">
        <f>IFERROR(('Attainment by Race Trends'!DG23-'Attainment by Race Trends'!DF23), "-")</f>
        <v>86.349290643859206</v>
      </c>
      <c r="Z24" s="776">
        <f>IFERROR(('Attainment by Race Trends'!DI23-'Attainment by Race Trends'!DH23), "-")</f>
        <v>7.5373679210385376</v>
      </c>
      <c r="AA24" s="573">
        <f>IFERROR(('Attainment by Race Trends'!DK23-'Attainment by Race Trends'!DJ23), "-")</f>
        <v>3.1980169275031258</v>
      </c>
      <c r="AB24" s="573">
        <f>IFERROR(('Attainment by Race Trends'!DM23-'Attainment by Race Trends'!DL23), "-")</f>
        <v>4.3322853910079466</v>
      </c>
      <c r="AC24" s="573">
        <f>IFERROR(('Attainment by Race Trends'!DO23-'Attainment by Race Trends'!DN23), "-")</f>
        <v>5.5790058574311914</v>
      </c>
      <c r="AD24" s="769">
        <f>IFERROR(('Attainment by Race Trends'!DQ23-'Attainment by Race Trends'!DP23), "-")</f>
        <v>5.9317039972175181</v>
      </c>
      <c r="AE24" s="769" t="str">
        <f>IFERROR(('Attainment by Race Trends'!DS23-'Attainment by Race Trends'!DR23), "-")</f>
        <v>-</v>
      </c>
      <c r="AF24" s="769">
        <f>IFERROR(('Attainment by Race Trends'!DU23-'Attainment by Race Trends'!DT23), "-")</f>
        <v>-5.3680958549398348</v>
      </c>
      <c r="AG24" s="769">
        <f>IFERROR(('Attainment by Race Trends'!DW23-'Attainment by Race Trends'!DV23), "-")</f>
        <v>38.700961724349163</v>
      </c>
      <c r="AH24" s="769">
        <f>IFERROR(('Attainment by Race Trends'!DY23-'Attainment by Race Trends'!DX23), "-")</f>
        <v>6.8318160516539237</v>
      </c>
      <c r="AI24" s="573"/>
      <c r="AJ24" s="573"/>
      <c r="AK24" s="573"/>
      <c r="AL24" s="573"/>
      <c r="AM24" s="705"/>
      <c r="AN24" s="1"/>
      <c r="AO24" s="1"/>
      <c r="AP24" s="1"/>
    </row>
    <row r="25" spans="1:42">
      <c r="A25" s="265" t="s">
        <v>23</v>
      </c>
      <c r="B25" s="265"/>
      <c r="C25" s="571">
        <f>+'Attainment by Race Trends'!CU24</f>
        <v>88.855438272858365</v>
      </c>
      <c r="D25" s="571">
        <f>+'Attainment by Race Trends'!CW24</f>
        <v>90.045248868778287</v>
      </c>
      <c r="E25" s="571">
        <f>+'Attainment by Race Trends'!CY24</f>
        <v>83.142741826987759</v>
      </c>
      <c r="F25" s="571">
        <f>+'Attainment by Race Trends'!DA24</f>
        <v>89.329209356272955</v>
      </c>
      <c r="G25" s="771" t="str">
        <f>+'Attainment by Race Trends'!DC24</f>
        <v>-</v>
      </c>
      <c r="H25" s="771" t="str">
        <f>+'Attainment by Race Trends'!DE24</f>
        <v>-</v>
      </c>
      <c r="I25" s="771">
        <f>+'Attainment by Race Trends'!DG24</f>
        <v>89.253664036076657</v>
      </c>
      <c r="J25" s="771">
        <f>+'Attainment by Race Trends'!DI24</f>
        <v>0</v>
      </c>
      <c r="K25" s="285">
        <f>+'Attainment by Race Trends'!DK24</f>
        <v>24.251017858556377</v>
      </c>
      <c r="L25" s="284">
        <f>+'Attainment by Race Trends'!DM24</f>
        <v>15.427202555230238</v>
      </c>
      <c r="M25" s="284">
        <f>+'Attainment by Race Trends'!DO24</f>
        <v>23.974169245257634</v>
      </c>
      <c r="N25" s="771">
        <f>+'Attainment by Race Trends'!DQ24</f>
        <v>61.415039628842059</v>
      </c>
      <c r="O25" s="771" t="str">
        <f>+'Attainment by Race Trends'!DS24</f>
        <v>-</v>
      </c>
      <c r="P25" s="771" t="str">
        <f>+'Attainment by Race Trends'!DU24</f>
        <v>-</v>
      </c>
      <c r="Q25" s="771">
        <f>+'Attainment by Race Trends'!DW24</f>
        <v>21.140924464487036</v>
      </c>
      <c r="R25" s="775">
        <f>+'Attainment by Race Trends'!DY24</f>
        <v>0</v>
      </c>
      <c r="S25" s="571">
        <f>IFERROR(('Attainment by Race Trends'!CU24-'Attainment by Race Trends'!CT24), "-")</f>
        <v>2.855630323930697</v>
      </c>
      <c r="T25" s="571">
        <f>IFERROR(('Attainment by Race Trends'!CW24-'Attainment by Race Trends'!CV24), "-")</f>
        <v>1.9531522861156674</v>
      </c>
      <c r="U25" s="571">
        <f>IFERROR(('Attainment by Race Trends'!CY24-'Attainment by Race Trends'!CX24), "-")</f>
        <v>8.0137280655198708</v>
      </c>
      <c r="V25" s="771">
        <f>IFERROR(('Attainment by Race Trends'!DA24-'Attainment by Race Trends'!CZ24), "-")</f>
        <v>-7.5723766115875577</v>
      </c>
      <c r="W25" s="771" t="str">
        <f>IFERROR(('Attainment by Race Trends'!DC24-'Attainment by Race Trends'!DB24), "-")</f>
        <v>-</v>
      </c>
      <c r="X25" s="771" t="str">
        <f>IFERROR(('Attainment by Race Trends'!DE24-'Attainment by Race Trends'!DD24), "-")</f>
        <v>-</v>
      </c>
      <c r="Y25" s="771">
        <f>IFERROR(('Attainment by Race Trends'!DG24-'Attainment by Race Trends'!DF24), "-")</f>
        <v>4.5604045396675588</v>
      </c>
      <c r="Z25" s="775">
        <f>IFERROR(('Attainment by Race Trends'!DI24-'Attainment by Race Trends'!DH24), "-")</f>
        <v>-77.690176859151933</v>
      </c>
      <c r="AA25" s="571">
        <f>IFERROR(('Attainment by Race Trends'!DK24-'Attainment by Race Trends'!DJ24), "-")</f>
        <v>3.7487380798786809</v>
      </c>
      <c r="AB25" s="571">
        <f>IFERROR(('Attainment by Race Trends'!DM24-'Attainment by Race Trends'!DL24), "-")</f>
        <v>-3.7353958526511875</v>
      </c>
      <c r="AC25" s="571">
        <f>IFERROR(('Attainment by Race Trends'!DO24-'Attainment by Race Trends'!DN24), "-")</f>
        <v>6.9013481443402043</v>
      </c>
      <c r="AD25" s="771">
        <f>IFERROR(('Attainment by Race Trends'!DQ24-'Attainment by Race Trends'!DP24), "-")</f>
        <v>-5.5632189574409026</v>
      </c>
      <c r="AE25" s="771" t="str">
        <f>IFERROR(('Attainment by Race Trends'!DS24-'Attainment by Race Trends'!DR24), "-")</f>
        <v>-</v>
      </c>
      <c r="AF25" s="771" t="str">
        <f>IFERROR(('Attainment by Race Trends'!DU24-'Attainment by Race Trends'!DT24), "-")</f>
        <v>-</v>
      </c>
      <c r="AG25" s="771">
        <f>IFERROR(('Attainment by Race Trends'!DW24-'Attainment by Race Trends'!DV24), "-")</f>
        <v>-3.6838570532078663</v>
      </c>
      <c r="AH25" s="771">
        <f>IFERROR(('Attainment by Race Trends'!DY24-'Attainment by Race Trends'!DX24), "-")</f>
        <v>-24.56850628595781</v>
      </c>
      <c r="AI25" s="573"/>
      <c r="AJ25" s="573"/>
      <c r="AK25" s="573"/>
      <c r="AL25" s="573"/>
      <c r="AM25" s="705"/>
      <c r="AN25" s="1"/>
      <c r="AO25" s="1"/>
      <c r="AP25" s="1"/>
    </row>
    <row r="26" spans="1:42">
      <c r="A26" s="37" t="s">
        <v>24</v>
      </c>
      <c r="B26" s="37"/>
      <c r="C26" s="573">
        <f>+'Attainment by Race Trends'!CU25</f>
        <v>95.56410112049241</v>
      </c>
      <c r="D26" s="573">
        <f>+'Attainment by Race Trends'!CW25</f>
        <v>90.871074634401609</v>
      </c>
      <c r="E26" s="573">
        <f>+'Attainment by Race Trends'!CY25</f>
        <v>70.363025048360413</v>
      </c>
      <c r="F26" s="573">
        <f>+'Attainment by Race Trends'!DA25</f>
        <v>88.867301880455329</v>
      </c>
      <c r="G26" s="769">
        <f>+'Attainment by Race Trends'!DC25</f>
        <v>86.922127291993803</v>
      </c>
      <c r="H26" s="769">
        <f>+'Attainment by Race Trends'!DE25</f>
        <v>77.690614494178178</v>
      </c>
      <c r="I26" s="769">
        <f>+'Attainment by Race Trends'!DG25</f>
        <v>79.014830462467685</v>
      </c>
      <c r="J26" s="769">
        <f>+'Attainment by Race Trends'!DI25</f>
        <v>65.47923343522784</v>
      </c>
      <c r="K26" s="112">
        <f>+'Attainment by Race Trends'!DK25</f>
        <v>42.828360185142593</v>
      </c>
      <c r="L26" s="13">
        <f>+'Attainment by Race Trends'!DM25</f>
        <v>27.994588123966569</v>
      </c>
      <c r="M26" s="290">
        <f>+'Attainment by Race Trends'!DO25</f>
        <v>16.717343099283543</v>
      </c>
      <c r="N26" s="769">
        <f>+'Attainment by Race Trends'!DQ25</f>
        <v>53.492789991239007</v>
      </c>
      <c r="O26" s="769">
        <f>+'Attainment by Race Trends'!DS25</f>
        <v>15.935804938781079</v>
      </c>
      <c r="P26" s="769">
        <f>+'Attainment by Race Trends'!DU25</f>
        <v>14.296021708328322</v>
      </c>
      <c r="Q26" s="769">
        <f>+'Attainment by Race Trends'!DW25</f>
        <v>25.189110210418136</v>
      </c>
      <c r="R26" s="776">
        <f>+'Attainment by Race Trends'!DY25</f>
        <v>13.235157516829569</v>
      </c>
      <c r="S26" s="573">
        <f>IFERROR(('Attainment by Race Trends'!CU25-'Attainment by Race Trends'!CT25), "-")</f>
        <v>0.9585805779907588</v>
      </c>
      <c r="T26" s="573">
        <f>IFERROR(('Attainment by Race Trends'!CW25-'Attainment by Race Trends'!CV25), "-")</f>
        <v>1.7825629000765417</v>
      </c>
      <c r="U26" s="766">
        <f>IFERROR(('Attainment by Race Trends'!CY25-'Attainment by Race Trends'!CX25), "-")</f>
        <v>5.6318921369839074</v>
      </c>
      <c r="V26" s="769">
        <f>IFERROR(('Attainment by Race Trends'!DA25-'Attainment by Race Trends'!CZ25), "-")</f>
        <v>1.6054140217607511</v>
      </c>
      <c r="W26" s="769">
        <f>IFERROR(('Attainment by Race Trends'!DC25-'Attainment by Race Trends'!DB25), "-")</f>
        <v>-0.24687876036183809</v>
      </c>
      <c r="X26" s="769">
        <f>IFERROR(('Attainment by Race Trends'!DE25-'Attainment by Race Trends'!DD25), "-")</f>
        <v>-2.4846679469440431</v>
      </c>
      <c r="Y26" s="769">
        <f>IFERROR(('Attainment by Race Trends'!DG25-'Attainment by Race Trends'!DF25), "-")</f>
        <v>-9.0492811772160167</v>
      </c>
      <c r="Z26" s="776">
        <f>IFERROR(('Attainment by Race Trends'!DI25-'Attainment by Race Trends'!DH25), "-")</f>
        <v>6.2057071339182528</v>
      </c>
      <c r="AA26" s="573">
        <f>IFERROR(('Attainment by Race Trends'!DK25-'Attainment by Race Trends'!DJ25), "-")</f>
        <v>3.7660424387911391</v>
      </c>
      <c r="AB26" s="573">
        <f>IFERROR(('Attainment by Race Trends'!DM25-'Attainment by Race Trends'!DL25), "-")</f>
        <v>4.1657603279068915</v>
      </c>
      <c r="AC26" s="573">
        <f>IFERROR(('Attainment by Race Trends'!DO25-'Attainment by Race Trends'!DN25), "-")</f>
        <v>4.09403320985869</v>
      </c>
      <c r="AD26" s="769">
        <f>IFERROR(('Attainment by Race Trends'!DQ25-'Attainment by Race Trends'!DP25), "-")</f>
        <v>3.6417520665204961</v>
      </c>
      <c r="AE26" s="769">
        <f>IFERROR(('Attainment by Race Trends'!DS25-'Attainment by Race Trends'!DR25), "-")</f>
        <v>4.3741500150334005</v>
      </c>
      <c r="AF26" s="769">
        <f>IFERROR(('Attainment by Race Trends'!DU25-'Attainment by Race Trends'!DT25), "-")</f>
        <v>2.0447888017189424</v>
      </c>
      <c r="AG26" s="769">
        <f>IFERROR(('Attainment by Race Trends'!DW25-'Attainment by Race Trends'!DV25), "-")</f>
        <v>-4.8807974732662096</v>
      </c>
      <c r="AH26" s="769">
        <f>IFERROR(('Attainment by Race Trends'!DY25-'Attainment by Race Trends'!DX25), "-")</f>
        <v>3.8390479268725883</v>
      </c>
      <c r="AI26" s="573"/>
      <c r="AJ26" s="573"/>
      <c r="AK26" s="573"/>
      <c r="AL26" s="573"/>
      <c r="AM26" s="705"/>
      <c r="AN26" s="1"/>
      <c r="AO26" s="1"/>
      <c r="AP26" s="1"/>
    </row>
    <row r="27" spans="1:42" ht="18.600000000000001">
      <c r="A27" s="37" t="s">
        <v>81</v>
      </c>
      <c r="B27" s="37"/>
      <c r="C27" s="573">
        <f>(C26/C$7)*100</f>
        <v>101.62370416318254</v>
      </c>
      <c r="D27" s="573">
        <f>(D26/D$7)*100</f>
        <v>103.29897390014054</v>
      </c>
      <c r="E27" s="573">
        <f t="shared" ref="E27:M27" si="1">(E26/E$7)*100</f>
        <v>97.196446718448684</v>
      </c>
      <c r="F27" s="573">
        <f>(F26/F$7)*100</f>
        <v>101.24141666346401</v>
      </c>
      <c r="G27" s="769">
        <f>(G26/G$7)*100</f>
        <v>100.30304147969326</v>
      </c>
      <c r="H27" s="769">
        <f>(H26/H$7)*100</f>
        <v>100.7174226366627</v>
      </c>
      <c r="I27" s="769">
        <f>(I26/I$7)*100</f>
        <v>98.053649201411986</v>
      </c>
      <c r="J27" s="769">
        <f>(J26/J$7)*100</f>
        <v>97.770090591475551</v>
      </c>
      <c r="K27" s="796">
        <f t="shared" si="1"/>
        <v>110.17343436533534</v>
      </c>
      <c r="L27" s="573">
        <f t="shared" si="1"/>
        <v>112.60942638520233</v>
      </c>
      <c r="M27" s="573">
        <f t="shared" si="1"/>
        <v>84.799725473880486</v>
      </c>
      <c r="N27" s="769">
        <f>(N26/N$7)*100</f>
        <v>95.092273112163468</v>
      </c>
      <c r="O27" s="769">
        <f>(O26/O$7)*100</f>
        <v>94.469080812198413</v>
      </c>
      <c r="P27" s="769">
        <f>(P26/P$7)*100</f>
        <v>89.377946725887739</v>
      </c>
      <c r="Q27" s="769">
        <f>(Q26/Q$7)*100</f>
        <v>93.120654435072026</v>
      </c>
      <c r="R27" s="776">
        <f>(R26/R$7)*100</f>
        <v>85.06882306685128</v>
      </c>
      <c r="S27" s="573"/>
      <c r="T27" s="573"/>
      <c r="U27" s="573"/>
      <c r="V27" s="769"/>
      <c r="W27" s="769"/>
      <c r="X27" s="769"/>
      <c r="Y27" s="769"/>
      <c r="Z27" s="776"/>
      <c r="AA27" s="573"/>
      <c r="AB27" s="573"/>
      <c r="AC27" s="573"/>
      <c r="AD27" s="769"/>
      <c r="AE27" s="769"/>
      <c r="AF27" s="769"/>
      <c r="AG27" s="769"/>
      <c r="AH27" s="769"/>
      <c r="AI27" s="573"/>
      <c r="AJ27" s="573"/>
      <c r="AK27" s="573"/>
      <c r="AL27" s="573"/>
      <c r="AM27" s="705"/>
      <c r="AN27" s="1"/>
      <c r="AO27" s="1"/>
      <c r="AP27" s="1"/>
    </row>
    <row r="28" spans="1:42">
      <c r="A28" s="280" t="s">
        <v>25</v>
      </c>
      <c r="B28" s="280"/>
      <c r="C28" s="574">
        <f>+'Attainment by Race Trends'!CU27</f>
        <v>96.290742922423334</v>
      </c>
      <c r="D28" s="574">
        <f>+'Attainment by Race Trends'!CW27</f>
        <v>95.811803100353558</v>
      </c>
      <c r="E28" s="574">
        <f>+'Attainment by Race Trends'!CY27</f>
        <v>88.204948236532715</v>
      </c>
      <c r="F28" s="574">
        <f>+'Attainment by Race Trends'!DA27</f>
        <v>87.088591932689923</v>
      </c>
      <c r="G28" s="770" t="str">
        <f>+'Attainment by Race Trends'!DC27</f>
        <v>-</v>
      </c>
      <c r="H28" s="770">
        <f>+'Attainment by Race Trends'!DE27</f>
        <v>85.331305744455449</v>
      </c>
      <c r="I28" s="770">
        <f>+'Attainment by Race Trends'!DG27</f>
        <v>90.234039432606281</v>
      </c>
      <c r="J28" s="770">
        <f>+'Attainment by Race Trends'!DI27</f>
        <v>82.999436801029844</v>
      </c>
      <c r="K28" s="287">
        <f>+'Attainment by Race Trends'!DK27</f>
        <v>38.999938335913484</v>
      </c>
      <c r="L28" s="286">
        <f>+'Attainment by Race Trends'!DM27</f>
        <v>30.928746260538482</v>
      </c>
      <c r="M28" s="286">
        <f>+'Attainment by Race Trends'!DO27</f>
        <v>21.747675030707143</v>
      </c>
      <c r="N28" s="770">
        <f>+'Attainment by Race Trends'!DQ27</f>
        <v>30.063721851026976</v>
      </c>
      <c r="O28" s="770" t="str">
        <f>+'Attainment by Race Trends'!DS27</f>
        <v>-</v>
      </c>
      <c r="P28" s="770">
        <f>+'Attainment by Race Trends'!DU27</f>
        <v>8.7790042032600901</v>
      </c>
      <c r="Q28" s="770">
        <f>+'Attainment by Race Trends'!DW27</f>
        <v>32.597900559431771</v>
      </c>
      <c r="R28" s="777">
        <f>+'Attainment by Race Trends'!DY27</f>
        <v>18.947622495776006</v>
      </c>
      <c r="S28" s="574">
        <f>IFERROR(('Attainment by Race Trends'!CU27-'Attainment by Race Trends'!CT27), "-")</f>
        <v>0.25612932743737815</v>
      </c>
      <c r="T28" s="574">
        <f>IFERROR(('Attainment by Race Trends'!CW27-'Attainment by Race Trends'!CV27), "-")</f>
        <v>2.719212989138228</v>
      </c>
      <c r="U28" s="574">
        <f>IFERROR(('Attainment by Race Trends'!CY27-'Attainment by Race Trends'!CX27), "-")</f>
        <v>6.1516057194087779</v>
      </c>
      <c r="V28" s="770">
        <f>IFERROR(('Attainment by Race Trends'!DA27-'Attainment by Race Trends'!CZ27), "-")</f>
        <v>0.22988578528084247</v>
      </c>
      <c r="W28" s="770" t="str">
        <f>IFERROR(('Attainment by Race Trends'!DC27-'Attainment by Race Trends'!DB27), "-")</f>
        <v>-</v>
      </c>
      <c r="X28" s="770">
        <f>IFERROR(('Attainment by Race Trends'!DE27-'Attainment by Race Trends'!DD27), "-")</f>
        <v>1.3553785500137252</v>
      </c>
      <c r="Y28" s="770">
        <f>IFERROR(('Attainment by Race Trends'!DG27-'Attainment by Race Trends'!DF27), "-")</f>
        <v>-3.4632031110065498</v>
      </c>
      <c r="Z28" s="777">
        <f>IFERROR(('Attainment by Race Trends'!DI27-'Attainment by Race Trends'!DH27), "-")</f>
        <v>3.3919935178282117</v>
      </c>
      <c r="AA28" s="574">
        <f>IFERROR(('Attainment by Race Trends'!DK27-'Attainment by Race Trends'!DJ27), "-")</f>
        <v>2.3471266839606102</v>
      </c>
      <c r="AB28" s="574">
        <f>IFERROR(('Attainment by Race Trends'!DM27-'Attainment by Race Trends'!DL27), "-")</f>
        <v>18.721858949805533</v>
      </c>
      <c r="AC28" s="574">
        <f>IFERROR(('Attainment by Race Trends'!DO27-'Attainment by Race Trends'!DN27), "-")</f>
        <v>8.1556649285374707</v>
      </c>
      <c r="AD28" s="770">
        <f>IFERROR(('Attainment by Race Trends'!DQ27-'Attainment by Race Trends'!DP27), "-")</f>
        <v>3.8970015420472528</v>
      </c>
      <c r="AE28" s="770" t="str">
        <f>IFERROR(('Attainment by Race Trends'!DS27-'Attainment by Race Trends'!DR27), "-")</f>
        <v>-</v>
      </c>
      <c r="AF28" s="770">
        <f>IFERROR(('Attainment by Race Trends'!DU27-'Attainment by Race Trends'!DT27), "-")</f>
        <v>1.716995526612016</v>
      </c>
      <c r="AG28" s="770">
        <f>IFERROR(('Attainment by Race Trends'!DW27-'Attainment by Race Trends'!DV27), "-")</f>
        <v>7.7526557648341345</v>
      </c>
      <c r="AH28" s="770">
        <f>IFERROR(('Attainment by Race Trends'!DY27-'Attainment by Race Trends'!DX27), "-")</f>
        <v>8.7895801812208187</v>
      </c>
      <c r="AI28" s="573"/>
      <c r="AJ28" s="573"/>
      <c r="AK28" s="573"/>
      <c r="AL28" s="573"/>
      <c r="AM28" s="705"/>
      <c r="AN28" s="1"/>
      <c r="AO28" s="1"/>
      <c r="AP28" s="1"/>
    </row>
    <row r="29" spans="1:42">
      <c r="A29" s="280" t="s">
        <v>26</v>
      </c>
      <c r="B29" s="280"/>
      <c r="C29" s="574">
        <f>+'Attainment by Race Trends'!CU28</f>
        <v>95.281208425872052</v>
      </c>
      <c r="D29" s="574">
        <f>+'Attainment by Race Trends'!CW28</f>
        <v>93.03734714112592</v>
      </c>
      <c r="E29" s="574">
        <f>+'Attainment by Race Trends'!CY28</f>
        <v>74.090901937685615</v>
      </c>
      <c r="F29" s="574">
        <f>+'Attainment by Race Trends'!DA28</f>
        <v>91.291701060741332</v>
      </c>
      <c r="G29" s="770">
        <f>+'Attainment by Race Trends'!DC28</f>
        <v>90.7952964976609</v>
      </c>
      <c r="H29" s="770">
        <f>+'Attainment by Race Trends'!DE28</f>
        <v>81.605637586897871</v>
      </c>
      <c r="I29" s="770">
        <f>+'Attainment by Race Trends'!DG28</f>
        <v>77.18590462265378</v>
      </c>
      <c r="J29" s="770">
        <f>+'Attainment by Race Trends'!DI28</f>
        <v>72.885976022016322</v>
      </c>
      <c r="K29" s="287">
        <f>+'Attainment by Race Trends'!DK28</f>
        <v>39.114203019698799</v>
      </c>
      <c r="L29" s="286">
        <f>+'Attainment by Race Trends'!DM28</f>
        <v>30.169420082291122</v>
      </c>
      <c r="M29" s="286">
        <f>+'Attainment by Race Trends'!DO28</f>
        <v>16.510682112996815</v>
      </c>
      <c r="N29" s="770">
        <f>+'Attainment by Race Trends'!DQ28</f>
        <v>58.312696888529501</v>
      </c>
      <c r="O29" s="770">
        <f>+'Attainment by Race Trends'!DS28</f>
        <v>26.046276393981536</v>
      </c>
      <c r="P29" s="770">
        <f>+'Attainment by Race Trends'!DU28</f>
        <v>11.098859273024438</v>
      </c>
      <c r="Q29" s="770">
        <f>+'Attainment by Race Trends'!DW28</f>
        <v>20.934049354427987</v>
      </c>
      <c r="R29" s="777">
        <f>+'Attainment by Race Trends'!DY28</f>
        <v>15.343814575338291</v>
      </c>
      <c r="S29" s="574">
        <f>IFERROR(('Attainment by Race Trends'!CU28-'Attainment by Race Trends'!CT28), "-")</f>
        <v>1.3483294791088269</v>
      </c>
      <c r="T29" s="574">
        <f>IFERROR(('Attainment by Race Trends'!CW28-'Attainment by Race Trends'!CV28), "-")</f>
        <v>3.7243616969359437</v>
      </c>
      <c r="U29" s="574">
        <f>IFERROR(('Attainment by Race Trends'!CY28-'Attainment by Race Trends'!CX28), "-")</f>
        <v>5.2046313854766737</v>
      </c>
      <c r="V29" s="770">
        <f>IFERROR(('Attainment by Race Trends'!DA28-'Attainment by Race Trends'!CZ28), "-")</f>
        <v>4.4469934945452394</v>
      </c>
      <c r="W29" s="770">
        <f>IFERROR(('Attainment by Race Trends'!DC28-'Attainment by Race Trends'!DB28), "-")</f>
        <v>5.7857662812689341</v>
      </c>
      <c r="X29" s="770">
        <f>IFERROR(('Attainment by Race Trends'!DE28-'Attainment by Race Trends'!DD28), "-")</f>
        <v>3.304099685567067</v>
      </c>
      <c r="Y29" s="770">
        <f>IFERROR(('Attainment by Race Trends'!DG28-'Attainment by Race Trends'!DF28), "-")</f>
        <v>-10.868933566354372</v>
      </c>
      <c r="Z29" s="777">
        <f>IFERROR(('Attainment by Race Trends'!DI28-'Attainment by Race Trends'!DH28), "-")</f>
        <v>13.207696796734737</v>
      </c>
      <c r="AA29" s="574">
        <f>IFERROR(('Attainment by Race Trends'!DK28-'Attainment by Race Trends'!DJ28), "-")</f>
        <v>3.8446660381907591</v>
      </c>
      <c r="AB29" s="574">
        <f>IFERROR(('Attainment by Race Trends'!DM28-'Attainment by Race Trends'!DL28), "-")</f>
        <v>6.4876692309702761</v>
      </c>
      <c r="AC29" s="574">
        <f>IFERROR(('Attainment by Race Trends'!DO28-'Attainment by Race Trends'!DN28), "-")</f>
        <v>3.7762889602073315</v>
      </c>
      <c r="AD29" s="770">
        <f>IFERROR(('Attainment by Race Trends'!DQ28-'Attainment by Race Trends'!DP28), "-")</f>
        <v>3.6897055411871023</v>
      </c>
      <c r="AE29" s="770">
        <f>IFERROR(('Attainment by Race Trends'!DS28-'Attainment by Race Trends'!DR28), "-")</f>
        <v>11.537923439614454</v>
      </c>
      <c r="AF29" s="770">
        <f>IFERROR(('Attainment by Race Trends'!DU28-'Attainment by Race Trends'!DT28), "-")</f>
        <v>0.57023769461309115</v>
      </c>
      <c r="AG29" s="770">
        <f>IFERROR(('Attainment by Race Trends'!DW28-'Attainment by Race Trends'!DV28), "-")</f>
        <v>-5.5428290250409837</v>
      </c>
      <c r="AH29" s="770">
        <f>IFERROR(('Attainment by Race Trends'!DY28-'Attainment by Race Trends'!DX28), "-")</f>
        <v>6.9565786313620812</v>
      </c>
      <c r="AI29" s="573"/>
      <c r="AJ29" s="573"/>
      <c r="AK29" s="573"/>
      <c r="AL29" s="573"/>
      <c r="AM29" s="705"/>
      <c r="AN29" s="1"/>
      <c r="AO29" s="1"/>
      <c r="AP29" s="1"/>
    </row>
    <row r="30" spans="1:42">
      <c r="A30" s="280" t="s">
        <v>27</v>
      </c>
      <c r="B30" s="280"/>
      <c r="C30" s="574">
        <f>+'Attainment by Race Trends'!CU29</f>
        <v>95.5851762909504</v>
      </c>
      <c r="D30" s="574">
        <f>+'Attainment by Race Trends'!CW29</f>
        <v>90.672262211479733</v>
      </c>
      <c r="E30" s="574">
        <f>+'Attainment by Race Trends'!CY29</f>
        <v>68.138262644301975</v>
      </c>
      <c r="F30" s="574">
        <f>+'Attainment by Race Trends'!DA29</f>
        <v>88.634414619119482</v>
      </c>
      <c r="G30" s="770">
        <f>+'Attainment by Race Trends'!DC29</f>
        <v>85.644184790991829</v>
      </c>
      <c r="H30" s="770">
        <f>+'Attainment by Race Trends'!DE29</f>
        <v>70.462685246753097</v>
      </c>
      <c r="I30" s="770">
        <f>+'Attainment by Race Trends'!DG29</f>
        <v>76.059370016655038</v>
      </c>
      <c r="J30" s="770">
        <f>+'Attainment by Race Trends'!DI29</f>
        <v>64.020519219765021</v>
      </c>
      <c r="K30" s="287">
        <f>+'Attainment by Race Trends'!DK29</f>
        <v>47.086896301821177</v>
      </c>
      <c r="L30" s="286">
        <f>+'Attainment by Race Trends'!DM29</f>
        <v>27.976639485776516</v>
      </c>
      <c r="M30" s="286">
        <f>+'Attainment by Race Trends'!DO29</f>
        <v>15.909695639563093</v>
      </c>
      <c r="N30" s="770">
        <f>+'Attainment by Race Trends'!DQ29</f>
        <v>55.122016289940589</v>
      </c>
      <c r="O30" s="770">
        <f>+'Attainment by Race Trends'!DS29</f>
        <v>19.941577973160573</v>
      </c>
      <c r="P30" s="770">
        <f>+'Attainment by Race Trends'!DU29</f>
        <v>16.712660276075809</v>
      </c>
      <c r="Q30" s="770">
        <f>+'Attainment by Race Trends'!DW29</f>
        <v>24.652010486984935</v>
      </c>
      <c r="R30" s="777">
        <f>+'Attainment by Race Trends'!DY29</f>
        <v>12.428550371491939</v>
      </c>
      <c r="S30" s="574">
        <f>IFERROR(('Attainment by Race Trends'!CU29-'Attainment by Race Trends'!CT29), "-")</f>
        <v>1.026542665117617</v>
      </c>
      <c r="T30" s="574">
        <f>IFERROR(('Attainment by Race Trends'!CW29-'Attainment by Race Trends'!CV29), "-")</f>
        <v>1.4535391848560408</v>
      </c>
      <c r="U30" s="574">
        <f>IFERROR(('Attainment by Race Trends'!CY29-'Attainment by Race Trends'!CX29), "-")</f>
        <v>5.4958864004899368</v>
      </c>
      <c r="V30" s="770">
        <f>IFERROR(('Attainment by Race Trends'!DA29-'Attainment by Race Trends'!CZ29), "-")</f>
        <v>1.6434042739206518</v>
      </c>
      <c r="W30" s="770">
        <f>IFERROR(('Attainment by Race Trends'!DC29-'Attainment by Race Trends'!DB29), "-")</f>
        <v>-0.90693124669648739</v>
      </c>
      <c r="X30" s="770">
        <f>IFERROR(('Attainment by Race Trends'!DE29-'Attainment by Race Trends'!DD29), "-")</f>
        <v>-5.1698946797671397</v>
      </c>
      <c r="Y30" s="770">
        <f>IFERROR(('Attainment by Race Trends'!DG29-'Attainment by Race Trends'!DF29), "-")</f>
        <v>-12.89820527909869</v>
      </c>
      <c r="Z30" s="777">
        <f>IFERROR(('Attainment by Race Trends'!DI29-'Attainment by Race Trends'!DH29), "-")</f>
        <v>5.4217358276813243</v>
      </c>
      <c r="AA30" s="574">
        <f>IFERROR(('Attainment by Race Trends'!DK29-'Attainment by Race Trends'!DJ29), "-")</f>
        <v>3.9768301604650702</v>
      </c>
      <c r="AB30" s="574">
        <f>IFERROR(('Attainment by Race Trends'!DM29-'Attainment by Race Trends'!DL29), "-")</f>
        <v>3.6554906521422303</v>
      </c>
      <c r="AC30" s="574">
        <f>IFERROR(('Attainment by Race Trends'!DO29-'Attainment by Race Trends'!DN29), "-")</f>
        <v>3.7604668038850146</v>
      </c>
      <c r="AD30" s="770">
        <f>IFERROR(('Attainment by Race Trends'!DQ29-'Attainment by Race Trends'!DP29), "-")</f>
        <v>3.3556739098597461</v>
      </c>
      <c r="AE30" s="770">
        <f>IFERROR(('Attainment by Race Trends'!DS29-'Attainment by Race Trends'!DR29), "-")</f>
        <v>4.8098200248560428</v>
      </c>
      <c r="AF30" s="770">
        <f>IFERROR(('Attainment by Race Trends'!DU29-'Attainment by Race Trends'!DT29), "-")</f>
        <v>2.9104814044314455</v>
      </c>
      <c r="AG30" s="770">
        <f>IFERROR(('Attainment by Race Trends'!DW29-'Attainment by Race Trends'!DV29), "-")</f>
        <v>-9.5052819139066145</v>
      </c>
      <c r="AH30" s="770">
        <f>IFERROR(('Attainment by Race Trends'!DY29-'Attainment by Race Trends'!DX29), "-")</f>
        <v>3.1321602451981576</v>
      </c>
      <c r="AI30" s="573"/>
      <c r="AJ30" s="573"/>
      <c r="AK30" s="573"/>
      <c r="AL30" s="573"/>
      <c r="AM30" s="705"/>
      <c r="AN30" s="1"/>
      <c r="AO30" s="1"/>
      <c r="AP30" s="1"/>
    </row>
    <row r="31" spans="1:42">
      <c r="A31" s="280" t="s">
        <v>28</v>
      </c>
      <c r="B31" s="280"/>
      <c r="C31" s="574">
        <f>+'Attainment by Race Trends'!CU30</f>
        <v>96.854127513969587</v>
      </c>
      <c r="D31" s="574">
        <f>+'Attainment by Race Trends'!CW30</f>
        <v>90.672863773046615</v>
      </c>
      <c r="E31" s="574">
        <f>+'Attainment by Race Trends'!CY30</f>
        <v>76.358668586887759</v>
      </c>
      <c r="F31" s="574">
        <f>+'Attainment by Race Trends'!DA30</f>
        <v>85.808580858085804</v>
      </c>
      <c r="G31" s="770">
        <f>+'Attainment by Race Trends'!DC30</f>
        <v>0</v>
      </c>
      <c r="H31" s="770">
        <f>+'Attainment by Race Trends'!DE30</f>
        <v>81.341799448903799</v>
      </c>
      <c r="I31" s="770">
        <f>+'Attainment by Race Trends'!DG30</f>
        <v>83.406836744152514</v>
      </c>
      <c r="J31" s="770">
        <f>+'Attainment by Race Trends'!DI30</f>
        <v>71.025269171610645</v>
      </c>
      <c r="K31" s="287">
        <f>+'Attainment by Race Trends'!DK30</f>
        <v>50.770115376913104</v>
      </c>
      <c r="L31" s="286">
        <f>+'Attainment by Race Trends'!DM30</f>
        <v>29.981180977383687</v>
      </c>
      <c r="M31" s="286">
        <f>+'Attainment by Race Trends'!DO30</f>
        <v>21.40153707417527</v>
      </c>
      <c r="N31" s="770">
        <f>+'Attainment by Race Trends'!DQ30</f>
        <v>53.880287357594824</v>
      </c>
      <c r="O31" s="770">
        <f>+'Attainment by Race Trends'!DS30</f>
        <v>0</v>
      </c>
      <c r="P31" s="770">
        <f>+'Attainment by Race Trends'!DU30</f>
        <v>18.861866538876242</v>
      </c>
      <c r="Q31" s="770">
        <f>+'Attainment by Race Trends'!DW30</f>
        <v>30.404663569979295</v>
      </c>
      <c r="R31" s="777">
        <f>+'Attainment by Race Trends'!DY30</f>
        <v>18.667106130520764</v>
      </c>
      <c r="S31" s="574">
        <f>IFERROR(('Attainment by Race Trends'!CU30-'Attainment by Race Trends'!CT30), "-")</f>
        <v>0.36236715548793086</v>
      </c>
      <c r="T31" s="574">
        <f>IFERROR(('Attainment by Race Trends'!CW30-'Attainment by Race Trends'!CV30), "-")</f>
        <v>1.5164773945716519</v>
      </c>
      <c r="U31" s="574">
        <f>IFERROR(('Attainment by Race Trends'!CY30-'Attainment by Race Trends'!CX30), "-")</f>
        <v>5.2988966913204507</v>
      </c>
      <c r="V31" s="770">
        <f>IFERROR(('Attainment by Race Trends'!DA30-'Attainment by Race Trends'!CZ30), "-")</f>
        <v>-1.1352588231596172</v>
      </c>
      <c r="W31" s="770">
        <f>IFERROR(('Attainment by Race Trends'!DC30-'Attainment by Race Trends'!DB30), "-")</f>
        <v>-90.177326160589757</v>
      </c>
      <c r="X31" s="770">
        <f>IFERROR(('Attainment by Race Trends'!DE30-'Attainment by Race Trends'!DD30), "-")</f>
        <v>-0.47378963360482373</v>
      </c>
      <c r="Y31" s="770">
        <f>IFERROR(('Attainment by Race Trends'!DG30-'Attainment by Race Trends'!DF30), "-")</f>
        <v>-7.8464302760712883</v>
      </c>
      <c r="Z31" s="777">
        <f>IFERROR(('Attainment by Race Trends'!DI30-'Attainment by Race Trends'!DH30), "-")</f>
        <v>1.8500106655018556</v>
      </c>
      <c r="AA31" s="574">
        <f>IFERROR(('Attainment by Race Trends'!DK30-'Attainment by Race Trends'!DJ30), "-")</f>
        <v>4.8091129957697589</v>
      </c>
      <c r="AB31" s="574">
        <f>IFERROR(('Attainment by Race Trends'!DM30-'Attainment by Race Trends'!DL30), "-")</f>
        <v>5.415014866253486</v>
      </c>
      <c r="AC31" s="574">
        <f>IFERROR(('Attainment by Race Trends'!DO30-'Attainment by Race Trends'!DN30), "-")</f>
        <v>5.7044765818197209</v>
      </c>
      <c r="AD31" s="770">
        <f>IFERROR(('Attainment by Race Trends'!DQ30-'Attainment by Race Trends'!DP30), "-")</f>
        <v>3.232606986386962</v>
      </c>
      <c r="AE31" s="770">
        <f>IFERROR(('Attainment by Race Trends'!DS30-'Attainment by Race Trends'!DR30), "-")</f>
        <v>-10.500099621438535</v>
      </c>
      <c r="AF31" s="770">
        <f>IFERROR(('Attainment by Race Trends'!DU30-'Attainment by Race Trends'!DT30), "-")</f>
        <v>0.89706033290413245</v>
      </c>
      <c r="AG31" s="770">
        <f>IFERROR(('Attainment by Race Trends'!DW30-'Attainment by Race Trends'!DV30), "-")</f>
        <v>-6.5716616349231352</v>
      </c>
      <c r="AH31" s="770">
        <f>IFERROR(('Attainment by Race Trends'!DY30-'Attainment by Race Trends'!DX30), "-")</f>
        <v>6.6440376986785186</v>
      </c>
      <c r="AI31" s="573"/>
      <c r="AJ31" s="573"/>
      <c r="AK31" s="573"/>
      <c r="AL31" s="573"/>
      <c r="AM31" s="705"/>
      <c r="AN31" s="1"/>
      <c r="AO31" s="1"/>
      <c r="AP31" s="1"/>
    </row>
    <row r="32" spans="1:42">
      <c r="A32" s="37" t="s">
        <v>29</v>
      </c>
      <c r="B32" s="37"/>
      <c r="C32" s="573">
        <f>+'Attainment by Race Trends'!CU31</f>
        <v>97.22211627700014</v>
      </c>
      <c r="D32" s="573">
        <f>+'Attainment by Race Trends'!CW31</f>
        <v>96.53722354895649</v>
      </c>
      <c r="E32" s="573">
        <f>+'Attainment by Race Trends'!CY31</f>
        <v>93.504544417630171</v>
      </c>
      <c r="F32" s="573">
        <f>+'Attainment by Race Trends'!DA31</f>
        <v>90.471253203515374</v>
      </c>
      <c r="G32" s="769">
        <f>+'Attainment by Race Trends'!DC31</f>
        <v>90.564474145532969</v>
      </c>
      <c r="H32" s="769" t="str">
        <f>+'Attainment by Race Trends'!DE31</f>
        <v>-</v>
      </c>
      <c r="I32" s="769">
        <f>+'Attainment by Race Trends'!DG31</f>
        <v>94.024282102562168</v>
      </c>
      <c r="J32" s="769">
        <f>+'Attainment by Race Trends'!DI31</f>
        <v>91.869699097833717</v>
      </c>
      <c r="K32" s="112">
        <f>+'Attainment by Race Trends'!DK31</f>
        <v>49.384882040589737</v>
      </c>
      <c r="L32" s="13">
        <f>+'Attainment by Race Trends'!DM31</f>
        <v>39.585712802408892</v>
      </c>
      <c r="M32" s="13">
        <f>+'Attainment by Race Trends'!DO31</f>
        <v>26.038252350250335</v>
      </c>
      <c r="N32" s="769">
        <f>+'Attainment by Race Trends'!DQ31</f>
        <v>36.782792880296775</v>
      </c>
      <c r="O32" s="769">
        <f>+'Attainment by Race Trends'!DS31</f>
        <v>10.010305663865369</v>
      </c>
      <c r="P32" s="769" t="str">
        <f>+'Attainment by Race Trends'!DU31</f>
        <v>-</v>
      </c>
      <c r="Q32" s="769">
        <f>+'Attainment by Race Trends'!DW31</f>
        <v>28.397984981698805</v>
      </c>
      <c r="R32" s="776">
        <f>+'Attainment by Race Trends'!DY31</f>
        <v>27.183836637674897</v>
      </c>
      <c r="S32" s="573">
        <f>IFERROR(('Attainment by Race Trends'!CU31-'Attainment by Race Trends'!CT31), "-")</f>
        <v>0.35162151946410347</v>
      </c>
      <c r="T32" s="573">
        <f>IFERROR(('Attainment by Race Trends'!CW31-'Attainment by Race Trends'!CV31), "-")</f>
        <v>1.2456904768747847</v>
      </c>
      <c r="U32" s="573">
        <f>IFERROR(('Attainment by Race Trends'!CY31-'Attainment by Race Trends'!CX31), "-")</f>
        <v>2.5198783768393866</v>
      </c>
      <c r="V32" s="769">
        <f>IFERROR(('Attainment by Race Trends'!DA31-'Attainment by Race Trends'!CZ31), "-")</f>
        <v>1.2775037307981592</v>
      </c>
      <c r="W32" s="769">
        <f>IFERROR(('Attainment by Race Trends'!DC31-'Attainment by Race Trends'!DB31), "-")</f>
        <v>3.1810869908863992</v>
      </c>
      <c r="X32" s="769" t="str">
        <f>IFERROR(('Attainment by Race Trends'!DE31-'Attainment by Race Trends'!DD31), "-")</f>
        <v>-</v>
      </c>
      <c r="Y32" s="769">
        <f>IFERROR(('Attainment by Race Trends'!DG31-'Attainment by Race Trends'!DF31), "-")</f>
        <v>-6.0542424262663985E-2</v>
      </c>
      <c r="Z32" s="776">
        <f>IFERROR(('Attainment by Race Trends'!DI31-'Attainment by Race Trends'!DH31), "-")</f>
        <v>8.1041257441596741</v>
      </c>
      <c r="AA32" s="573">
        <f>IFERROR(('Attainment by Race Trends'!DK31-'Attainment by Race Trends'!DJ31), "-")</f>
        <v>4.6052293538269566</v>
      </c>
      <c r="AB32" s="573">
        <f>IFERROR(('Attainment by Race Trends'!DM31-'Attainment by Race Trends'!DL31), "-")</f>
        <v>14.938996260430507</v>
      </c>
      <c r="AC32" s="573">
        <f>IFERROR(('Attainment by Race Trends'!DO31-'Attainment by Race Trends'!DN31), "-")</f>
        <v>9.4103627765262381</v>
      </c>
      <c r="AD32" s="769">
        <f>IFERROR(('Attainment by Race Trends'!DQ31-'Attainment by Race Trends'!DP31), "-")</f>
        <v>2.5757324466594156</v>
      </c>
      <c r="AE32" s="769">
        <f>IFERROR(('Attainment by Race Trends'!DS31-'Attainment by Race Trends'!DR31), "-")</f>
        <v>0.7855568299938227</v>
      </c>
      <c r="AF32" s="769" t="str">
        <f>IFERROR(('Attainment by Race Trends'!DU31-'Attainment by Race Trends'!DT31), "-")</f>
        <v>-</v>
      </c>
      <c r="AG32" s="769">
        <f>IFERROR(('Attainment by Race Trends'!DW31-'Attainment by Race Trends'!DV31), "-")</f>
        <v>6.4001280807532872</v>
      </c>
      <c r="AH32" s="769">
        <f>IFERROR(('Attainment by Race Trends'!DY31-'Attainment by Race Trends'!DX31), "-")</f>
        <v>12.970767733530479</v>
      </c>
      <c r="AI32" s="573"/>
      <c r="AJ32" s="573"/>
      <c r="AK32" s="573"/>
      <c r="AL32" s="573"/>
      <c r="AM32" s="705"/>
      <c r="AN32" s="1"/>
      <c r="AO32" s="1"/>
      <c r="AP32" s="1"/>
    </row>
    <row r="33" spans="1:42">
      <c r="A33" s="37" t="s">
        <v>30</v>
      </c>
      <c r="B33" s="37"/>
      <c r="C33" s="573">
        <f>+'Attainment by Race Trends'!CU32</f>
        <v>94.143444752002353</v>
      </c>
      <c r="D33" s="13">
        <f>+'Attainment by Race Trends'!CW32</f>
        <v>0</v>
      </c>
      <c r="E33" s="573">
        <f>+'Attainment by Race Trends'!CY32</f>
        <v>68.867888666722422</v>
      </c>
      <c r="F33" s="573">
        <f>+'Attainment by Race Trends'!DA32</f>
        <v>85.853072808645351</v>
      </c>
      <c r="G33" s="769" t="str">
        <f>+'Attainment by Race Trends'!DC32</f>
        <v>-</v>
      </c>
      <c r="H33" s="769">
        <f>+'Attainment by Race Trends'!DE32</f>
        <v>86.817367949865712</v>
      </c>
      <c r="I33" s="769">
        <f>+'Attainment by Race Trends'!DG32</f>
        <v>81.501073900246595</v>
      </c>
      <c r="J33" s="769">
        <f>+'Attainment by Race Trends'!DI32</f>
        <v>67.071661961107765</v>
      </c>
      <c r="K33" s="112">
        <f>+'Attainment by Race Trends'!DK32</f>
        <v>32.630182286214939</v>
      </c>
      <c r="L33" s="13">
        <f>+'Attainment by Race Trends'!DM32</f>
        <v>25.578736781937693</v>
      </c>
      <c r="M33" s="13">
        <f>+'Attainment by Race Trends'!DO32</f>
        <v>14.551481377296952</v>
      </c>
      <c r="N33" s="769">
        <f>+'Attainment by Race Trends'!DQ32</f>
        <v>48.351708328785065</v>
      </c>
      <c r="O33" s="769" t="str">
        <f>+'Attainment by Race Trends'!DS32</f>
        <v>-</v>
      </c>
      <c r="P33" s="769">
        <f>+'Attainment by Race Trends'!DU32</f>
        <v>20.225305878842136</v>
      </c>
      <c r="Q33" s="769">
        <f>+'Attainment by Race Trends'!DW32</f>
        <v>21.066343170789914</v>
      </c>
      <c r="R33" s="776">
        <f>+'Attainment by Race Trends'!DY32</f>
        <v>16.188180059004537</v>
      </c>
      <c r="S33" s="573">
        <f>IFERROR(('Attainment by Race Trends'!CU32-'Attainment by Race Trends'!CT32), "-")</f>
        <v>0.92945308326760312</v>
      </c>
      <c r="T33" s="13" t="str">
        <f>IFERROR(('Attainment by Race Trends'!CW32-'Attainment by Race Trends'!CV32), "-")</f>
        <v>-</v>
      </c>
      <c r="U33" s="573">
        <f>IFERROR(('Attainment by Race Trends'!CY32-'Attainment by Race Trends'!CX32), "-")</f>
        <v>4.7815072496155153</v>
      </c>
      <c r="V33" s="769">
        <f>IFERROR(('Attainment by Race Trends'!DA32-'Attainment by Race Trends'!CZ32), "-")</f>
        <v>-3.3744525890928116</v>
      </c>
      <c r="W33" s="769" t="str">
        <f>IFERROR(('Attainment by Race Trends'!DC32-'Attainment by Race Trends'!DB32), "-")</f>
        <v>-</v>
      </c>
      <c r="X33" s="769">
        <f>IFERROR(('Attainment by Race Trends'!DE32-'Attainment by Race Trends'!DD32), "-")</f>
        <v>2.2117699854891271</v>
      </c>
      <c r="Y33" s="769">
        <f>IFERROR(('Attainment by Race Trends'!DG32-'Attainment by Race Trends'!DF32), "-")</f>
        <v>-6.0276554419882729</v>
      </c>
      <c r="Z33" s="776">
        <f>IFERROR(('Attainment by Race Trends'!DI32-'Attainment by Race Trends'!DH32), "-")</f>
        <v>13.419343106318081</v>
      </c>
      <c r="AA33" s="573">
        <f>IFERROR(('Attainment by Race Trends'!DK32-'Attainment by Race Trends'!DJ32), "-")</f>
        <v>3.2112938955593329</v>
      </c>
      <c r="AB33" s="700" t="str">
        <f>IFERROR(('Attainment by Race Trends'!DM32-'Attainment by Race Trends'!DL32), "-")</f>
        <v>-</v>
      </c>
      <c r="AC33" s="573">
        <f>IFERROR(('Attainment by Race Trends'!DO32-'Attainment by Race Trends'!DN32), "-")</f>
        <v>5.4163037348402021</v>
      </c>
      <c r="AD33" s="769">
        <f>IFERROR(('Attainment by Race Trends'!DQ32-'Attainment by Race Trends'!DP32), "-")</f>
        <v>6.0540915630831904</v>
      </c>
      <c r="AE33" s="769" t="str">
        <f>IFERROR(('Attainment by Race Trends'!DS32-'Attainment by Race Trends'!DR32), "-")</f>
        <v>-</v>
      </c>
      <c r="AF33" s="769">
        <f>IFERROR(('Attainment by Race Trends'!DU32-'Attainment by Race Trends'!DT32), "-")</f>
        <v>4.7927359042874276</v>
      </c>
      <c r="AG33" s="769">
        <f>IFERROR(('Attainment by Race Trends'!DW32-'Attainment by Race Trends'!DV32), "-")</f>
        <v>-8.3032529767420975</v>
      </c>
      <c r="AH33" s="769">
        <f>IFERROR(('Attainment by Race Trends'!DY32-'Attainment by Race Trends'!DX32), "-")</f>
        <v>11.681202250722681</v>
      </c>
      <c r="AI33" s="573"/>
      <c r="AJ33" s="573"/>
      <c r="AK33" s="700"/>
      <c r="AL33" s="700"/>
      <c r="AM33" s="705"/>
      <c r="AN33" s="1"/>
      <c r="AO33" s="1"/>
      <c r="AP33" s="1"/>
    </row>
    <row r="34" spans="1:42">
      <c r="A34" s="37" t="s">
        <v>31</v>
      </c>
      <c r="B34" s="37"/>
      <c r="C34" s="573">
        <f>+'Attainment by Race Trends'!CU33</f>
        <v>95.451570582389905</v>
      </c>
      <c r="D34" s="13" t="str">
        <f>+'Attainment by Race Trends'!CW33</f>
        <v>-</v>
      </c>
      <c r="E34" s="573">
        <f>+'Attainment by Race Trends'!CY33</f>
        <v>83.663607569235765</v>
      </c>
      <c r="F34" s="573">
        <f>+'Attainment by Race Trends'!DA33</f>
        <v>87.60304375396322</v>
      </c>
      <c r="G34" s="769" t="str">
        <f>+'Attainment by Race Trends'!DC33</f>
        <v>-</v>
      </c>
      <c r="H34" s="769">
        <f>+'Attainment by Race Trends'!DE33</f>
        <v>81.997337654821152</v>
      </c>
      <c r="I34" s="769">
        <f>+'Attainment by Race Trends'!DG33</f>
        <v>91.910039438869745</v>
      </c>
      <c r="J34" s="769">
        <f>+'Attainment by Race Trends'!DI33</f>
        <v>81.807967313585294</v>
      </c>
      <c r="K34" s="112">
        <f>+'Attainment by Race Trends'!DK33</f>
        <v>36.280258066065635</v>
      </c>
      <c r="L34" s="13" t="str">
        <f>+'Attainment by Race Trends'!DM33</f>
        <v>-</v>
      </c>
      <c r="M34" s="13">
        <f>+'Attainment by Race Trends'!DO33</f>
        <v>19.325103549094454</v>
      </c>
      <c r="N34" s="769">
        <f>+'Attainment by Race Trends'!DQ33</f>
        <v>50.681674064679768</v>
      </c>
      <c r="O34" s="769" t="str">
        <f>+'Attainment by Race Trends'!DS33</f>
        <v>-</v>
      </c>
      <c r="P34" s="769">
        <f>+'Attainment by Race Trends'!DU33</f>
        <v>13.193077902535016</v>
      </c>
      <c r="Q34" s="769">
        <f>+'Attainment by Race Trends'!DW33</f>
        <v>32.6568818331586</v>
      </c>
      <c r="R34" s="776">
        <f>+'Attainment by Race Trends'!DY33</f>
        <v>21.440245148110318</v>
      </c>
      <c r="S34" s="573">
        <f>IFERROR(('Attainment by Race Trends'!CU33-'Attainment by Race Trends'!CT33), "-")</f>
        <v>1.8773945863926542</v>
      </c>
      <c r="T34" s="13" t="str">
        <f>IFERROR(('Attainment by Race Trends'!CW33-'Attainment by Race Trends'!CV33), "-")</f>
        <v>-</v>
      </c>
      <c r="U34" s="573">
        <f>IFERROR(('Attainment by Race Trends'!CY33-'Attainment by Race Trends'!CX33), "-")</f>
        <v>1.0798966619531996</v>
      </c>
      <c r="V34" s="769" t="str">
        <f>IFERROR(('Attainment by Race Trends'!DA33-'Attainment by Race Trends'!CZ33), "-")</f>
        <v>-</v>
      </c>
      <c r="W34" s="769" t="str">
        <f>IFERROR(('Attainment by Race Trends'!DC33-'Attainment by Race Trends'!DB33), "-")</f>
        <v>-</v>
      </c>
      <c r="X34" s="769">
        <f>IFERROR(('Attainment by Race Trends'!DE33-'Attainment by Race Trends'!DD33), "-")</f>
        <v>-2.9743748175374805</v>
      </c>
      <c r="Y34" s="769">
        <f>IFERROR(('Attainment by Race Trends'!DG33-'Attainment by Race Trends'!DF33), "-")</f>
        <v>3.1590164494872397E-2</v>
      </c>
      <c r="Z34" s="776" t="str">
        <f>IFERROR(('Attainment by Race Trends'!DI33-'Attainment by Race Trends'!DH33), "-")</f>
        <v>-</v>
      </c>
      <c r="AA34" s="573">
        <f>IFERROR(('Attainment by Race Trends'!DK33-'Attainment by Race Trends'!DJ33), "-")</f>
        <v>4.3559663655215139</v>
      </c>
      <c r="AB34" s="700" t="str">
        <f>IFERROR(('Attainment by Race Trends'!DM33-'Attainment by Race Trends'!DL33), "-")</f>
        <v>-</v>
      </c>
      <c r="AC34" s="573">
        <f>IFERROR(('Attainment by Race Trends'!DO33-'Attainment by Race Trends'!DN33), "-")</f>
        <v>-4.7328034019498588</v>
      </c>
      <c r="AD34" s="769" t="str">
        <f>IFERROR(('Attainment by Race Trends'!DQ33-'Attainment by Race Trends'!DP33), "-")</f>
        <v>-</v>
      </c>
      <c r="AE34" s="769" t="str">
        <f>IFERROR(('Attainment by Race Trends'!DS33-'Attainment by Race Trends'!DR33), "-")</f>
        <v>-</v>
      </c>
      <c r="AF34" s="769">
        <f>IFERROR(('Attainment by Race Trends'!DU33-'Attainment by Race Trends'!DT33), "-")</f>
        <v>-1.7433110581496276</v>
      </c>
      <c r="AG34" s="769">
        <f>IFERROR(('Attainment by Race Trends'!DW33-'Attainment by Race Trends'!DV33), "-")</f>
        <v>7.6040781266790738</v>
      </c>
      <c r="AH34" s="769" t="str">
        <f>IFERROR(('Attainment by Race Trends'!DY33-'Attainment by Race Trends'!DX33), "-")</f>
        <v>-</v>
      </c>
      <c r="AI34" s="573"/>
      <c r="AJ34" s="573"/>
      <c r="AK34" s="700"/>
      <c r="AL34" s="700"/>
      <c r="AM34" s="705"/>
      <c r="AN34" s="1"/>
      <c r="AO34" s="1"/>
      <c r="AP34" s="1"/>
    </row>
    <row r="35" spans="1:42">
      <c r="A35" s="37" t="s">
        <v>32</v>
      </c>
      <c r="B35" s="37"/>
      <c r="C35" s="573">
        <f>+'Attainment by Race Trends'!CU34</f>
        <v>94.425713462505527</v>
      </c>
      <c r="D35" s="573">
        <f>+'Attainment by Race Trends'!CW34</f>
        <v>91.100539875478631</v>
      </c>
      <c r="E35" s="573">
        <f>+'Attainment by Race Trends'!CY34</f>
        <v>68.950672350631407</v>
      </c>
      <c r="F35" s="573">
        <f>+'Attainment by Race Trends'!DA34</f>
        <v>89.440967161107778</v>
      </c>
      <c r="G35" s="769">
        <f>+'Attainment by Race Trends'!DC34</f>
        <v>92.133037078183591</v>
      </c>
      <c r="H35" s="769">
        <f>+'Attainment by Race Trends'!DE34</f>
        <v>72.996963326325627</v>
      </c>
      <c r="I35" s="769">
        <f>+'Attainment by Race Trends'!DG34</f>
        <v>79.26075916819336</v>
      </c>
      <c r="J35" s="769">
        <f>+'Attainment by Race Trends'!DI34</f>
        <v>62.346508294081502</v>
      </c>
      <c r="K35" s="112">
        <f>+'Attainment by Race Trends'!DK34</f>
        <v>33.047357768316843</v>
      </c>
      <c r="L35" s="13">
        <f>+'Attainment by Race Trends'!DM34</f>
        <v>23.068274625852506</v>
      </c>
      <c r="M35" s="13">
        <f>+'Attainment by Race Trends'!DO34</f>
        <v>13.616471310846087</v>
      </c>
      <c r="N35" s="769">
        <f>+'Attainment by Race Trends'!DQ34</f>
        <v>40.890946678479906</v>
      </c>
      <c r="O35" s="769">
        <f>+'Attainment by Race Trends'!DS34</f>
        <v>17.754478544646577</v>
      </c>
      <c r="P35" s="769">
        <f>+'Attainment by Race Trends'!DU34</f>
        <v>11.616111055494377</v>
      </c>
      <c r="Q35" s="769">
        <f>+'Attainment by Race Trends'!DW34</f>
        <v>18.547231060971299</v>
      </c>
      <c r="R35" s="776">
        <f>+'Attainment by Race Trends'!DY34</f>
        <v>10.656973172230186</v>
      </c>
      <c r="S35" s="573">
        <f>IFERROR(('Attainment by Race Trends'!CU34-'Attainment by Race Trends'!CT34), "-")</f>
        <v>1.0298970385221509</v>
      </c>
      <c r="T35" s="573">
        <f>IFERROR(('Attainment by Race Trends'!CW34-'Attainment by Race Trends'!CV34), "-")</f>
        <v>0.46596262651523546</v>
      </c>
      <c r="U35" s="573">
        <f>IFERROR(('Attainment by Race Trends'!CY34-'Attainment by Race Trends'!CX34), "-")</f>
        <v>5.4735339078814604</v>
      </c>
      <c r="V35" s="769">
        <f>IFERROR(('Attainment by Race Trends'!DA34-'Attainment by Race Trends'!CZ34), "-")</f>
        <v>-0.75573591605619583</v>
      </c>
      <c r="W35" s="769">
        <f>IFERROR(('Attainment by Race Trends'!DC34-'Attainment by Race Trends'!DB34), "-")</f>
        <v>-1.0252835187776554</v>
      </c>
      <c r="X35" s="769">
        <f>IFERROR(('Attainment by Race Trends'!DE34-'Attainment by Race Trends'!DD34), "-")</f>
        <v>-14.137132017973229</v>
      </c>
      <c r="Y35" s="769">
        <f>IFERROR(('Attainment by Race Trends'!DG34-'Attainment by Race Trends'!DF34), "-")</f>
        <v>-10.569664854793245</v>
      </c>
      <c r="Z35" s="776">
        <f>IFERROR(('Attainment by Race Trends'!DI34-'Attainment by Race Trends'!DH34), "-")</f>
        <v>3.7394265179365718</v>
      </c>
      <c r="AA35" s="573">
        <f>IFERROR(('Attainment by Race Trends'!DK34-'Attainment by Race Trends'!DJ34), "-")</f>
        <v>5.3456161310875672</v>
      </c>
      <c r="AB35" s="573">
        <f>IFERROR(('Attainment by Race Trends'!DM34-'Attainment by Race Trends'!DL34), "-")</f>
        <v>4.5723909650148187</v>
      </c>
      <c r="AC35" s="573">
        <f>IFERROR(('Attainment by Race Trends'!DO34-'Attainment by Race Trends'!DN34), "-")</f>
        <v>4.0396290546132398</v>
      </c>
      <c r="AD35" s="769">
        <f>IFERROR(('Attainment by Race Trends'!DQ34-'Attainment by Race Trends'!DP34), "-")</f>
        <v>3.3440386910283024</v>
      </c>
      <c r="AE35" s="769">
        <f>IFERROR(('Attainment by Race Trends'!DS34-'Attainment by Race Trends'!DR34), "-")</f>
        <v>6.7682338264949991</v>
      </c>
      <c r="AF35" s="769">
        <f>IFERROR(('Attainment by Race Trends'!DU34-'Attainment by Race Trends'!DT34), "-")</f>
        <v>1.5194657623060124</v>
      </c>
      <c r="AG35" s="769">
        <f>IFERROR(('Attainment by Race Trends'!DW34-'Attainment by Race Trends'!DV34), "-")</f>
        <v>-4.3563215640515409</v>
      </c>
      <c r="AH35" s="769">
        <f>IFERROR(('Attainment by Race Trends'!DY34-'Attainment by Race Trends'!DX34), "-")</f>
        <v>3.3864341211121785</v>
      </c>
      <c r="AI35" s="573"/>
      <c r="AJ35" s="573"/>
      <c r="AK35" s="573"/>
      <c r="AL35" s="573"/>
      <c r="AM35" s="705"/>
      <c r="AN35" s="1"/>
      <c r="AO35" s="1"/>
      <c r="AP35" s="1"/>
    </row>
    <row r="36" spans="1:42">
      <c r="A36" s="280" t="s">
        <v>33</v>
      </c>
      <c r="B36" s="280"/>
      <c r="C36" s="574">
        <f>+'Attainment by Race Trends'!CU35</f>
        <v>95.734315669777928</v>
      </c>
      <c r="D36" s="574">
        <f>+'Attainment by Race Trends'!CW35</f>
        <v>90.716690716690721</v>
      </c>
      <c r="E36" s="574">
        <f>+'Attainment by Race Trends'!CY35</f>
        <v>80.222398974493615</v>
      </c>
      <c r="F36" s="574">
        <f>+'Attainment by Race Trends'!DA35</f>
        <v>89.991483839571757</v>
      </c>
      <c r="G36" s="770" t="str">
        <f>+'Attainment by Race Trends'!DC35</f>
        <v>-</v>
      </c>
      <c r="H36" s="770">
        <f>+'Attainment by Race Trends'!DE35</f>
        <v>83.071709303146548</v>
      </c>
      <c r="I36" s="770">
        <f>+'Attainment by Race Trends'!DG35</f>
        <v>81.926117171693775</v>
      </c>
      <c r="J36" s="770">
        <f>+'Attainment by Race Trends'!DI35</f>
        <v>75.523391577421691</v>
      </c>
      <c r="K36" s="287">
        <f>+'Attainment by Race Trends'!DK35</f>
        <v>43.954028278835544</v>
      </c>
      <c r="L36" s="286">
        <f>+'Attainment by Race Trends'!DM35</f>
        <v>26.9325912183055</v>
      </c>
      <c r="M36" s="286">
        <f>+'Attainment by Race Trends'!DO35</f>
        <v>19.469176892128775</v>
      </c>
      <c r="N36" s="770">
        <f>+'Attainment by Race Trends'!DQ35</f>
        <v>52.560931100206822</v>
      </c>
      <c r="O36" s="770" t="str">
        <f>+'Attainment by Race Trends'!DS35</f>
        <v>-</v>
      </c>
      <c r="P36" s="770">
        <f>+'Attainment by Race Trends'!DU35</f>
        <v>11.687180814760772</v>
      </c>
      <c r="Q36" s="770">
        <f>+'Attainment by Race Trends'!DW35</f>
        <v>22.641269142934878</v>
      </c>
      <c r="R36" s="777">
        <f>+'Attainment by Race Trends'!DY35</f>
        <v>15.300144939206056</v>
      </c>
      <c r="S36" s="574">
        <f>IFERROR(('Attainment by Race Trends'!CU35-'Attainment by Race Trends'!CT35), "-")</f>
        <v>0.96487269034670931</v>
      </c>
      <c r="T36" s="286">
        <f>IFERROR(('Attainment by Race Trends'!CW35-'Attainment by Race Trends'!CV35), "-")</f>
        <v>-1.4590989635133269</v>
      </c>
      <c r="U36" s="286">
        <f>IFERROR(('Attainment by Race Trends'!CY35-'Attainment by Race Trends'!CX35), "-")</f>
        <v>4.2799843404695821</v>
      </c>
      <c r="V36" s="770">
        <f>IFERROR(('Attainment by Race Trends'!DA35-'Attainment by Race Trends'!CZ35), "-")</f>
        <v>-0.63311148999184752</v>
      </c>
      <c r="W36" s="770" t="str">
        <f>IFERROR(('Attainment by Race Trends'!DC35-'Attainment by Race Trends'!DB35), "-")</f>
        <v>-</v>
      </c>
      <c r="X36" s="770">
        <f>IFERROR(('Attainment by Race Trends'!DE35-'Attainment by Race Trends'!DD35), "-")</f>
        <v>2.306247955450516</v>
      </c>
      <c r="Y36" s="770">
        <f>IFERROR(('Attainment by Race Trends'!DG35-'Attainment by Race Trends'!DF35), "-")</f>
        <v>81.926117171693775</v>
      </c>
      <c r="Z36" s="777">
        <f>IFERROR(('Attainment by Race Trends'!DI35-'Attainment by Race Trends'!DH35), "-")</f>
        <v>3.6189685831895275</v>
      </c>
      <c r="AA36" s="286">
        <f>IFERROR(('Attainment by Race Trends'!DK35-'Attainment by Race Trends'!DJ35), "-")</f>
        <v>3.7145053772979537</v>
      </c>
      <c r="AB36" s="286">
        <f>IFERROR(('Attainment by Race Trends'!DM35-'Attainment by Race Trends'!DL35), "-")</f>
        <v>-1.6842422131247545</v>
      </c>
      <c r="AC36" s="574">
        <f>IFERROR(('Attainment by Race Trends'!DO35-'Attainment by Race Trends'!DN35), "-")</f>
        <v>4.0385318898973672</v>
      </c>
      <c r="AD36" s="770">
        <f>IFERROR(('Attainment by Race Trends'!DQ35-'Attainment by Race Trends'!DP35), "-")</f>
        <v>2.4422277721971497</v>
      </c>
      <c r="AE36" s="770" t="str">
        <f>IFERROR(('Attainment by Race Trends'!DS35-'Attainment by Race Trends'!DR35), "-")</f>
        <v>-</v>
      </c>
      <c r="AF36" s="770">
        <f>IFERROR(('Attainment by Race Trends'!DU35-'Attainment by Race Trends'!DT35), "-")</f>
        <v>0.43876806900268228</v>
      </c>
      <c r="AG36" s="770">
        <f>IFERROR(('Attainment by Race Trends'!DW35-'Attainment by Race Trends'!DV35), "-")</f>
        <v>22.641269142934878</v>
      </c>
      <c r="AH36" s="770">
        <f>IFERROR(('Attainment by Race Trends'!DY35-'Attainment by Race Trends'!DX35), "-")</f>
        <v>3.4657069693648577</v>
      </c>
      <c r="AI36" s="13"/>
      <c r="AJ36" s="13"/>
      <c r="AK36" s="13"/>
      <c r="AL36" s="573"/>
      <c r="AM36" s="767"/>
      <c r="AN36" s="1"/>
      <c r="AO36" s="1"/>
      <c r="AP36" s="1"/>
    </row>
    <row r="37" spans="1:42">
      <c r="A37" s="280" t="s">
        <v>34</v>
      </c>
      <c r="B37" s="280"/>
      <c r="C37" s="574">
        <f>+'Attainment by Race Trends'!CU36</f>
        <v>94.904441034881387</v>
      </c>
      <c r="D37" s="574">
        <f>+'Attainment by Race Trends'!CW36</f>
        <v>91.363681053977004</v>
      </c>
      <c r="E37" s="574">
        <f>+'Attainment by Race Trends'!CY36</f>
        <v>72.049189395149895</v>
      </c>
      <c r="F37" s="574">
        <f>+'Attainment by Race Trends'!DA36</f>
        <v>87.679599247872076</v>
      </c>
      <c r="G37" s="770">
        <f>+'Attainment by Race Trends'!DC36</f>
        <v>84.753913844264815</v>
      </c>
      <c r="H37" s="770">
        <f>+'Attainment by Race Trends'!DE36</f>
        <v>79.767832167832168</v>
      </c>
      <c r="I37" s="770">
        <f>+'Attainment by Race Trends'!DG36</f>
        <v>85.12846561761485</v>
      </c>
      <c r="J37" s="770">
        <f>+'Attainment by Race Trends'!DI36</f>
        <v>66.259956919607362</v>
      </c>
      <c r="K37" s="287">
        <f>+'Attainment by Race Trends'!DK36</f>
        <v>38.09699847862251</v>
      </c>
      <c r="L37" s="286">
        <f>+'Attainment by Race Trends'!DM36</f>
        <v>30.921246681742211</v>
      </c>
      <c r="M37" s="286">
        <f>+'Attainment by Race Trends'!DO36</f>
        <v>19.952617411718432</v>
      </c>
      <c r="N37" s="770">
        <f>+'Attainment by Race Trends'!DQ36</f>
        <v>52.127201481290101</v>
      </c>
      <c r="O37" s="770">
        <f>+'Attainment by Race Trends'!DS36</f>
        <v>15.655377059244858</v>
      </c>
      <c r="P37" s="770">
        <f>+'Attainment by Race Trends'!DU36</f>
        <v>15.675524475524474</v>
      </c>
      <c r="Q37" s="770">
        <f>+'Attainment by Race Trends'!DW36</f>
        <v>29.882125770937805</v>
      </c>
      <c r="R37" s="777">
        <f>+'Attainment by Race Trends'!DY36</f>
        <v>16.651005450103366</v>
      </c>
      <c r="S37" s="574">
        <f>IFERROR(('Attainment by Race Trends'!CU36-'Attainment by Race Trends'!CT36), "-")</f>
        <v>1.218011997379989</v>
      </c>
      <c r="T37" s="286">
        <f>IFERROR(('Attainment by Race Trends'!CW36-'Attainment by Race Trends'!CV36), "-")</f>
        <v>4.659218727715114</v>
      </c>
      <c r="U37" s="286">
        <f>IFERROR(('Attainment by Race Trends'!CY36-'Attainment by Race Trends'!CX36), "-")</f>
        <v>9.1178055198445023</v>
      </c>
      <c r="V37" s="770">
        <f>IFERROR(('Attainment by Race Trends'!DA36-'Attainment by Race Trends'!CZ36), "-")</f>
        <v>2.1754975011872801</v>
      </c>
      <c r="W37" s="770">
        <f>IFERROR(('Attainment by Race Trends'!DC36-'Attainment by Race Trends'!DB36), "-")</f>
        <v>-3.0927710741972732</v>
      </c>
      <c r="X37" s="770">
        <f>IFERROR(('Attainment by Race Trends'!DE36-'Attainment by Race Trends'!DD36), "-")</f>
        <v>-4.0612591129610394</v>
      </c>
      <c r="Y37" s="770">
        <f>IFERROR(('Attainment by Race Trends'!DG36-'Attainment by Race Trends'!DF36), "-")</f>
        <v>-2.2593598075651045</v>
      </c>
      <c r="Z37" s="777">
        <f>IFERROR(('Attainment by Race Trends'!DI36-'Attainment by Race Trends'!DH36), "-")</f>
        <v>7.9314906189415453</v>
      </c>
      <c r="AA37" s="286">
        <f>IFERROR(('Attainment by Race Trends'!DK36-'Attainment by Race Trends'!DJ36), "-")</f>
        <v>3.6179844164075448</v>
      </c>
      <c r="AB37" s="286">
        <f>IFERROR(('Attainment by Race Trends'!DM36-'Attainment by Race Trends'!DL36), "-")</f>
        <v>9.3452083171156985</v>
      </c>
      <c r="AC37" s="574">
        <f>IFERROR(('Attainment by Race Trends'!DO36-'Attainment by Race Trends'!DN36), "-")</f>
        <v>6.1445455948967798</v>
      </c>
      <c r="AD37" s="770">
        <f>IFERROR(('Attainment by Race Trends'!DQ36-'Attainment by Race Trends'!DP36), "-")</f>
        <v>1.2939168292500796</v>
      </c>
      <c r="AE37" s="770">
        <f>IFERROR(('Attainment by Race Trends'!DS36-'Attainment by Race Trends'!DR36), "-")</f>
        <v>6.096991152805149</v>
      </c>
      <c r="AF37" s="770">
        <f>IFERROR(('Attainment by Race Trends'!DU36-'Attainment by Race Trends'!DT36), "-")</f>
        <v>0.88796782964216092</v>
      </c>
      <c r="AG37" s="770">
        <f>IFERROR(('Attainment by Race Trends'!DW36-'Attainment by Race Trends'!DV36), "-")</f>
        <v>3.7550950015444222</v>
      </c>
      <c r="AH37" s="770">
        <f>IFERROR(('Attainment by Race Trends'!DY36-'Attainment by Race Trends'!DX36), "-")</f>
        <v>5.0533533066621796</v>
      </c>
      <c r="AI37" s="13"/>
      <c r="AJ37" s="13"/>
      <c r="AK37" s="13"/>
      <c r="AL37" s="573"/>
      <c r="AM37" s="767"/>
      <c r="AN37" s="1"/>
      <c r="AO37" s="1"/>
      <c r="AP37" s="1"/>
    </row>
    <row r="38" spans="1:42">
      <c r="A38" s="280" t="s">
        <v>35</v>
      </c>
      <c r="B38" s="280"/>
      <c r="C38" s="574">
        <f>+'Attainment by Race Trends'!CU37</f>
        <v>96.008112302083077</v>
      </c>
      <c r="D38" s="574">
        <f>+'Attainment by Race Trends'!CW37</f>
        <v>90.711145590897331</v>
      </c>
      <c r="E38" s="574">
        <f>+'Attainment by Race Trends'!CY37</f>
        <v>76.909661530243099</v>
      </c>
      <c r="F38" s="574">
        <f>+'Attainment by Race Trends'!DA37</f>
        <v>88.427006009190521</v>
      </c>
      <c r="G38" s="770">
        <f>+'Attainment by Race Trends'!DC37</f>
        <v>92.699748670290489</v>
      </c>
      <c r="H38" s="770">
        <f>+'Attainment by Race Trends'!DE37</f>
        <v>78.366089021371181</v>
      </c>
      <c r="I38" s="770">
        <f>+'Attainment by Race Trends'!DG37</f>
        <v>85.415453438509175</v>
      </c>
      <c r="J38" s="770">
        <f>+'Attainment by Race Trends'!DI37</f>
        <v>72.553063583815032</v>
      </c>
      <c r="K38" s="287">
        <f>+'Attainment by Race Trends'!DK37</f>
        <v>39.658799447335248</v>
      </c>
      <c r="L38" s="286">
        <f>+'Attainment by Race Trends'!DM37</f>
        <v>29.237134729764673</v>
      </c>
      <c r="M38" s="286">
        <f>+'Attainment by Race Trends'!DO37</f>
        <v>19.46564435733168</v>
      </c>
      <c r="N38" s="770">
        <f>+'Attainment by Race Trends'!DQ37</f>
        <v>45.756451042771296</v>
      </c>
      <c r="O38" s="770">
        <f>+'Attainment by Race Trends'!DS37</f>
        <v>21.111695598807646</v>
      </c>
      <c r="P38" s="770">
        <f>+'Attainment by Race Trends'!DU37</f>
        <v>18.425706057697166</v>
      </c>
      <c r="Q38" s="770">
        <f>+'Attainment by Race Trends'!DW37</f>
        <v>28.526523373391921</v>
      </c>
      <c r="R38" s="777">
        <f>+'Attainment by Race Trends'!DY37</f>
        <v>14.888323699421965</v>
      </c>
      <c r="S38" s="574">
        <f>IFERROR(('Attainment by Race Trends'!CU37-'Attainment by Race Trends'!CT37), "-")</f>
        <v>0.5799964065057992</v>
      </c>
      <c r="T38" s="286">
        <f>IFERROR(('Attainment by Race Trends'!CW37-'Attainment by Race Trends'!CV37), "-")</f>
        <v>6.6030437256781767</v>
      </c>
      <c r="U38" s="286">
        <f>IFERROR(('Attainment by Race Trends'!CY37-'Attainment by Race Trends'!CX37), "-")</f>
        <v>8.864305054271</v>
      </c>
      <c r="V38" s="770">
        <f>IFERROR(('Attainment by Race Trends'!DA37-'Attainment by Race Trends'!CZ37), "-")</f>
        <v>2.2831304421134035</v>
      </c>
      <c r="W38" s="770">
        <f>IFERROR(('Attainment by Race Trends'!DC37-'Attainment by Race Trends'!DB37), "-")</f>
        <v>2.9073611270379018</v>
      </c>
      <c r="X38" s="770">
        <f>IFERROR(('Attainment by Race Trends'!DE37-'Attainment by Race Trends'!DD37), "-")</f>
        <v>-8.1914762958840583</v>
      </c>
      <c r="Y38" s="770">
        <f>IFERROR(('Attainment by Race Trends'!DG37-'Attainment by Race Trends'!DF37), "-")</f>
        <v>-4.8176017914432379</v>
      </c>
      <c r="Z38" s="777">
        <f>IFERROR(('Attainment by Race Trends'!DI37-'Attainment by Race Trends'!DH37), "-")</f>
        <v>14.643543268305542</v>
      </c>
      <c r="AA38" s="286">
        <f>IFERROR(('Attainment by Race Trends'!DK37-'Attainment by Race Trends'!DJ37), "-")</f>
        <v>4.3138809394093016</v>
      </c>
      <c r="AB38" s="286">
        <f>IFERROR(('Attainment by Race Trends'!DM37-'Attainment by Race Trends'!DL37), "-")</f>
        <v>6.8776036331544077</v>
      </c>
      <c r="AC38" s="574">
        <f>IFERROR(('Attainment by Race Trends'!DO37-'Attainment by Race Trends'!DN37), "-")</f>
        <v>6.3714774246020678</v>
      </c>
      <c r="AD38" s="770">
        <f>IFERROR(('Attainment by Race Trends'!DQ37-'Attainment by Race Trends'!DP37), "-")</f>
        <v>-1.4999758312835709</v>
      </c>
      <c r="AE38" s="770">
        <f>IFERROR(('Attainment by Race Trends'!DS37-'Attainment by Race Trends'!DR37), "-")</f>
        <v>13.772062913154199</v>
      </c>
      <c r="AF38" s="770">
        <f>IFERROR(('Attainment by Race Trends'!DU37-'Attainment by Race Trends'!DT37), "-")</f>
        <v>7.5902194082570293</v>
      </c>
      <c r="AG38" s="770">
        <f>IFERROR(('Attainment by Race Trends'!DW37-'Attainment by Race Trends'!DV37), "-")</f>
        <v>-6.7282515007720498</v>
      </c>
      <c r="AH38" s="770">
        <f>IFERROR(('Attainment by Race Trends'!DY37-'Attainment by Race Trends'!DX37), "-")</f>
        <v>4.8864893419056852</v>
      </c>
      <c r="AI38" s="13"/>
      <c r="AJ38" s="13"/>
      <c r="AK38" s="13"/>
      <c r="AL38" s="573"/>
      <c r="AM38" s="767"/>
      <c r="AN38" s="1"/>
      <c r="AO38" s="1"/>
      <c r="AP38" s="1"/>
    </row>
    <row r="39" spans="1:42">
      <c r="A39" s="280" t="s">
        <v>36</v>
      </c>
      <c r="B39" s="280"/>
      <c r="C39" s="574">
        <f>+'Attainment by Race Trends'!CU38</f>
        <v>95.545567482754734</v>
      </c>
      <c r="D39" s="574">
        <f>+'Attainment by Race Trends'!CW38</f>
        <v>92.224081105178271</v>
      </c>
      <c r="E39" s="574">
        <f>+'Attainment by Race Trends'!CY38</f>
        <v>72.058831556099761</v>
      </c>
      <c r="F39" s="574">
        <f>+'Attainment by Race Trends'!DA38</f>
        <v>89.777317413644596</v>
      </c>
      <c r="G39" s="770">
        <f>+'Attainment by Race Trends'!DC38</f>
        <v>88.67582890557749</v>
      </c>
      <c r="H39" s="770">
        <f>+'Attainment by Race Trends'!DE38</f>
        <v>82.659343212252949</v>
      </c>
      <c r="I39" s="770">
        <f>+'Attainment by Race Trends'!DG38</f>
        <v>86.342563435792215</v>
      </c>
      <c r="J39" s="770">
        <f>+'Attainment by Race Trends'!DI38</f>
        <v>66.067970137499302</v>
      </c>
      <c r="K39" s="287">
        <f>+'Attainment by Race Trends'!DK38</f>
        <v>39.826482297211662</v>
      </c>
      <c r="L39" s="286">
        <f>+'Attainment by Race Trends'!DM38</f>
        <v>27.061940874164751</v>
      </c>
      <c r="M39" s="286">
        <f>+'Attainment by Race Trends'!DO38</f>
        <v>20.109999872643218</v>
      </c>
      <c r="N39" s="770">
        <f>+'Attainment by Race Trends'!DQ38</f>
        <v>59.411847693724198</v>
      </c>
      <c r="O39" s="770">
        <f>+'Attainment by Race Trends'!DS38</f>
        <v>16.922437590905044</v>
      </c>
      <c r="P39" s="770">
        <f>+'Attainment by Race Trends'!DU38</f>
        <v>16.024758143471118</v>
      </c>
      <c r="Q39" s="770">
        <f>+'Attainment by Race Trends'!DW38</f>
        <v>32.525242264794912</v>
      </c>
      <c r="R39" s="777">
        <f>+'Attainment by Race Trends'!DY38</f>
        <v>16.327941046473317</v>
      </c>
      <c r="S39" s="574">
        <f>IFERROR(('Attainment by Race Trends'!CU38-'Attainment by Race Trends'!CT38), "-")</f>
        <v>0.84587534955093702</v>
      </c>
      <c r="T39" s="286">
        <f>IFERROR(('Attainment by Race Trends'!CW38-'Attainment by Race Trends'!CV38), "-")</f>
        <v>6.3565680075240465</v>
      </c>
      <c r="U39" s="286">
        <f>IFERROR(('Attainment by Race Trends'!CY38-'Attainment by Race Trends'!CX38), "-")</f>
        <v>7.3643998273091</v>
      </c>
      <c r="V39" s="770">
        <f>IFERROR(('Attainment by Race Trends'!DA38-'Attainment by Race Trends'!CZ38), "-")</f>
        <v>2.4981745772540478</v>
      </c>
      <c r="W39" s="770">
        <f>IFERROR(('Attainment by Race Trends'!DC38-'Attainment by Race Trends'!DB38), "-")</f>
        <v>4.2901315661435007</v>
      </c>
      <c r="X39" s="770">
        <f>IFERROR(('Attainment by Race Trends'!DE38-'Attainment by Race Trends'!DD38), "-")</f>
        <v>-0.74420251356765732</v>
      </c>
      <c r="Y39" s="770">
        <f>IFERROR(('Attainment by Race Trends'!DG38-'Attainment by Race Trends'!DF38), "-")</f>
        <v>-4.096459849264221</v>
      </c>
      <c r="Z39" s="777">
        <f>IFERROR(('Attainment by Race Trends'!DI38-'Attainment by Race Trends'!DH38), "-")</f>
        <v>11.293818159690943</v>
      </c>
      <c r="AA39" s="286">
        <f>IFERROR(('Attainment by Race Trends'!DK38-'Attainment by Race Trends'!DJ38), "-")</f>
        <v>3.1376830852216528</v>
      </c>
      <c r="AB39" s="286">
        <f>IFERROR(('Attainment by Race Trends'!DM38-'Attainment by Race Trends'!DL38), "-")</f>
        <v>1.8701959362311094</v>
      </c>
      <c r="AC39" s="574">
        <f>IFERROR(('Attainment by Race Trends'!DO38-'Attainment by Race Trends'!DN38), "-")</f>
        <v>4.8418082163836349</v>
      </c>
      <c r="AD39" s="770">
        <f>IFERROR(('Attainment by Race Trends'!DQ38-'Attainment by Race Trends'!DP38), "-")</f>
        <v>6.8695740920859762</v>
      </c>
      <c r="AE39" s="770">
        <f>IFERROR(('Attainment by Race Trends'!DS38-'Attainment by Race Trends'!DR38), "-")</f>
        <v>7.0427561809745249</v>
      </c>
      <c r="AF39" s="770">
        <f>IFERROR(('Attainment by Race Trends'!DU38-'Attainment by Race Trends'!DT38), "-")</f>
        <v>2.3631818752597784</v>
      </c>
      <c r="AG39" s="770">
        <f>IFERROR(('Attainment by Race Trends'!DW38-'Attainment by Race Trends'!DV38), "-")</f>
        <v>3.8485426142690002</v>
      </c>
      <c r="AH39" s="770">
        <f>IFERROR(('Attainment by Race Trends'!DY38-'Attainment by Race Trends'!DX38), "-")</f>
        <v>5.7601538765630877</v>
      </c>
      <c r="AI39" s="13"/>
      <c r="AJ39" s="13"/>
      <c r="AK39" s="13"/>
      <c r="AL39" s="573"/>
      <c r="AM39" s="767"/>
      <c r="AN39" s="1"/>
      <c r="AO39" s="1"/>
      <c r="AP39" s="1"/>
    </row>
    <row r="40" spans="1:42">
      <c r="A40" s="281" t="s">
        <v>37</v>
      </c>
      <c r="B40" s="281"/>
      <c r="C40" s="575">
        <f>+'Attainment by Race Trends'!CU39</f>
        <v>95.41024957385811</v>
      </c>
      <c r="D40" s="288" t="str">
        <f>+'Attainment by Race Trends'!CW39</f>
        <v>-</v>
      </c>
      <c r="E40" s="575">
        <f>+'Attainment by Race Trends'!CY39</f>
        <v>76.848147503913722</v>
      </c>
      <c r="F40" s="575" t="str">
        <f>+'Attainment by Race Trends'!DA39</f>
        <v>-</v>
      </c>
      <c r="G40" s="772" t="str">
        <f>+'Attainment by Race Trends'!DC39</f>
        <v>-</v>
      </c>
      <c r="H40" s="772">
        <f>+'Attainment by Race Trends'!DE39</f>
        <v>82.920920574493863</v>
      </c>
      <c r="I40" s="772">
        <f>+'Attainment by Race Trends'!DG39</f>
        <v>86.367542791663681</v>
      </c>
      <c r="J40" s="772">
        <f>+'Attainment by Race Trends'!DI39</f>
        <v>0</v>
      </c>
      <c r="K40" s="289">
        <f>+'Attainment by Race Trends'!DK39</f>
        <v>30.58845028144837</v>
      </c>
      <c r="L40" s="288" t="str">
        <f>+'Attainment by Race Trends'!DM39</f>
        <v>-</v>
      </c>
      <c r="M40" s="288">
        <f>+'Attainment by Race Trends'!DO39</f>
        <v>16.991360816373863</v>
      </c>
      <c r="N40" s="772" t="str">
        <f>+'Attainment by Race Trends'!DQ39</f>
        <v>-</v>
      </c>
      <c r="O40" s="772" t="str">
        <f>+'Attainment by Race Trends'!DS39</f>
        <v>-</v>
      </c>
      <c r="P40" s="772">
        <f>+'Attainment by Race Trends'!DU39</f>
        <v>13.081848070600449</v>
      </c>
      <c r="Q40" s="772">
        <f>+'Attainment by Race Trends'!DW39</f>
        <v>19.899018835493806</v>
      </c>
      <c r="R40" s="778">
        <f>+'Attainment by Race Trends'!DY39</f>
        <v>0</v>
      </c>
      <c r="S40" s="575">
        <f>IFERROR(('Attainment by Race Trends'!CU39-'Attainment by Race Trends'!CT39), "-")</f>
        <v>0.55413267779138664</v>
      </c>
      <c r="T40" s="288" t="str">
        <f>IFERROR(('Attainment by Race Trends'!CW39-'Attainment by Race Trends'!CV39), "-")</f>
        <v>-</v>
      </c>
      <c r="U40" s="288">
        <f>IFERROR(('Attainment by Race Trends'!CY39-'Attainment by Race Trends'!CX39), "-")</f>
        <v>1.3031861361675396</v>
      </c>
      <c r="V40" s="772" t="str">
        <f>IFERROR(('Attainment by Race Trends'!DA39-'Attainment by Race Trends'!CZ39), "-")</f>
        <v>-</v>
      </c>
      <c r="W40" s="772" t="str">
        <f>IFERROR(('Attainment by Race Trends'!DC39-'Attainment by Race Trends'!DB39), "-")</f>
        <v>-</v>
      </c>
      <c r="X40" s="772">
        <f>IFERROR(('Attainment by Race Trends'!DE39-'Attainment by Race Trends'!DD39), "-")</f>
        <v>-2.1094326263891361</v>
      </c>
      <c r="Y40" s="772">
        <f>IFERROR(('Attainment by Race Trends'!DG39-'Attainment by Race Trends'!DF39), "-")</f>
        <v>-7.5085976562213119</v>
      </c>
      <c r="Z40" s="778" t="str">
        <f>IFERROR(('Attainment by Race Trends'!DI39-'Attainment by Race Trends'!DH39), "-")</f>
        <v>-</v>
      </c>
      <c r="AA40" s="288">
        <f>IFERROR(('Attainment by Race Trends'!DK39-'Attainment by Race Trends'!DJ39), "-")</f>
        <v>2.1027830328746262</v>
      </c>
      <c r="AB40" s="288" t="str">
        <f>IFERROR(('Attainment by Race Trends'!DM39-'Attainment by Race Trends'!DL39), "-")</f>
        <v>-</v>
      </c>
      <c r="AC40" s="288">
        <f>IFERROR(('Attainment by Race Trends'!DO39-'Attainment by Race Trends'!DN39), "-")</f>
        <v>5.9639072572747338</v>
      </c>
      <c r="AD40" s="772" t="str">
        <f>IFERROR(('Attainment by Race Trends'!DQ39-'Attainment by Race Trends'!DP39), "-")</f>
        <v>-</v>
      </c>
      <c r="AE40" s="772" t="str">
        <f>IFERROR(('Attainment by Race Trends'!DS39-'Attainment by Race Trends'!DR39), "-")</f>
        <v>-</v>
      </c>
      <c r="AF40" s="772">
        <f>IFERROR(('Attainment by Race Trends'!DU39-'Attainment by Race Trends'!DT39), "-")</f>
        <v>-1.832611090547454</v>
      </c>
      <c r="AG40" s="772">
        <f>IFERROR(('Attainment by Race Trends'!DW39-'Attainment by Race Trends'!DV39), "-")</f>
        <v>1.1127318573351097</v>
      </c>
      <c r="AH40" s="772" t="str">
        <f>IFERROR(('Attainment by Race Trends'!DY39-'Attainment by Race Trends'!DX39), "-")</f>
        <v>-</v>
      </c>
      <c r="AI40" s="13"/>
      <c r="AJ40" s="13"/>
      <c r="AK40" s="13"/>
      <c r="AL40" s="573"/>
      <c r="AM40" s="767"/>
      <c r="AN40" s="1"/>
      <c r="AO40" s="1"/>
      <c r="AP40" s="1"/>
    </row>
    <row r="41" spans="1:42">
      <c r="A41" s="37" t="s">
        <v>38</v>
      </c>
      <c r="B41" s="37"/>
      <c r="C41" s="573">
        <f>+'Attainment by Race Trends'!CU40</f>
        <v>94.140135875352243</v>
      </c>
      <c r="D41" s="573">
        <f>+'Attainment by Race Trends'!CW40</f>
        <v>87.401959787548407</v>
      </c>
      <c r="E41" s="573">
        <f>+'Attainment by Race Trends'!CY40</f>
        <v>73.529803777799145</v>
      </c>
      <c r="F41" s="573">
        <f>+'Attainment by Race Trends'!DA40</f>
        <v>87.838019138830049</v>
      </c>
      <c r="G41" s="769" t="str">
        <f>+'Attainment by Race Trends'!DC40</f>
        <v>-</v>
      </c>
      <c r="H41" s="769">
        <f>+'Attainment by Race Trends'!DE40</f>
        <v>80.54368392983686</v>
      </c>
      <c r="I41" s="769">
        <f>+'Attainment by Race Trends'!DG40</f>
        <v>84.072740312409948</v>
      </c>
      <c r="J41" s="769">
        <f>+'Attainment by Race Trends'!DI40</f>
        <v>68.868932042503957</v>
      </c>
      <c r="K41" s="112">
        <f>+'Attainment by Race Trends'!DK40</f>
        <v>34.723698985353771</v>
      </c>
      <c r="L41" s="13">
        <f>+'Attainment by Race Trends'!DM40</f>
        <v>21.451789084656433</v>
      </c>
      <c r="M41" s="290">
        <f>+'Attainment by Race Trends'!DO40</f>
        <v>19.388253133063589</v>
      </c>
      <c r="N41" s="769">
        <f>+'Attainment by Race Trends'!DQ40</f>
        <v>58.284097329903581</v>
      </c>
      <c r="O41" s="769" t="str">
        <f>+'Attainment by Race Trends'!DS40</f>
        <v>-</v>
      </c>
      <c r="P41" s="769">
        <f>+'Attainment by Race Trends'!DU40</f>
        <v>14.715701960096727</v>
      </c>
      <c r="Q41" s="769">
        <f>+'Attainment by Race Trends'!DW40</f>
        <v>26.899753414057503</v>
      </c>
      <c r="R41" s="776">
        <f>+'Attainment by Race Trends'!DY40</f>
        <v>16.890400180790689</v>
      </c>
      <c r="S41" s="573">
        <f>IFERROR(('Attainment by Race Trends'!CU40-'Attainment by Race Trends'!CT40), "-")</f>
        <v>1.4663015803194384</v>
      </c>
      <c r="T41" s="573">
        <f>IFERROR(('Attainment by Race Trends'!CW40-'Attainment by Race Trends'!CV40), "-")</f>
        <v>1.9748170329672092</v>
      </c>
      <c r="U41" s="766">
        <f>IFERROR(('Attainment by Race Trends'!CY40-'Attainment by Race Trends'!CX40), "-")</f>
        <v>6.1502391966047725</v>
      </c>
      <c r="V41" s="769">
        <f>IFERROR(('Attainment by Race Trends'!DA40-'Attainment by Race Trends'!CZ40), "-")</f>
        <v>1.2520115047673528</v>
      </c>
      <c r="W41" s="769" t="str">
        <f>IFERROR(('Attainment by Race Trends'!DC40-'Attainment by Race Trends'!DB40), "-")</f>
        <v>-</v>
      </c>
      <c r="X41" s="769">
        <f>IFERROR(('Attainment by Race Trends'!DE40-'Attainment by Race Trends'!DD40), "-")</f>
        <v>-0.73295295765974799</v>
      </c>
      <c r="Y41" s="769">
        <f>IFERROR(('Attainment by Race Trends'!DG40-'Attainment by Race Trends'!DF40), "-")</f>
        <v>-1.6360845886396191E-2</v>
      </c>
      <c r="Z41" s="776">
        <f>IFERROR(('Attainment by Race Trends'!DI40-'Attainment by Race Trends'!DH40), "-")</f>
        <v>8.7011187974780668</v>
      </c>
      <c r="AA41" s="573">
        <f>IFERROR(('Attainment by Race Trends'!DK40-'Attainment by Race Trends'!DJ40), "-")</f>
        <v>3.2943817979401757</v>
      </c>
      <c r="AB41" s="573">
        <f>IFERROR(('Attainment by Race Trends'!DM40-'Attainment by Race Trends'!DL40), "-")</f>
        <v>3.0995182854739056</v>
      </c>
      <c r="AC41" s="573">
        <f>IFERROR(('Attainment by Race Trends'!DO40-'Attainment by Race Trends'!DN40), "-")</f>
        <v>4.249905543241832</v>
      </c>
      <c r="AD41" s="769">
        <f>IFERROR(('Attainment by Race Trends'!DQ40-'Attainment by Race Trends'!DP40), "-")</f>
        <v>0.50858854487600524</v>
      </c>
      <c r="AE41" s="769" t="str">
        <f>IFERROR(('Attainment by Race Trends'!DS40-'Attainment by Race Trends'!DR40), "-")</f>
        <v>-</v>
      </c>
      <c r="AF41" s="769">
        <f>IFERROR(('Attainment by Race Trends'!DU40-'Attainment by Race Trends'!DT40), "-")</f>
        <v>-0.84565473248168566</v>
      </c>
      <c r="AG41" s="769">
        <f>IFERROR(('Attainment by Race Trends'!DW40-'Attainment by Race Trends'!DV40), "-")</f>
        <v>-0.17468264567602176</v>
      </c>
      <c r="AH41" s="769">
        <f>IFERROR(('Attainment by Race Trends'!DY40-'Attainment by Race Trends'!DX40), "-")</f>
        <v>6.2724480915812553</v>
      </c>
      <c r="AI41" s="573"/>
      <c r="AJ41" s="573"/>
      <c r="AK41" s="573"/>
      <c r="AL41" s="573"/>
      <c r="AM41" s="705"/>
      <c r="AN41" s="1"/>
      <c r="AO41" s="1"/>
      <c r="AP41" s="1"/>
    </row>
    <row r="42" spans="1:42" ht="18.600000000000001">
      <c r="A42" s="37" t="s">
        <v>81</v>
      </c>
      <c r="B42" s="37"/>
      <c r="C42" s="573">
        <f>(C41/C$7)*100</f>
        <v>100.1094470194009</v>
      </c>
      <c r="D42" s="573">
        <f>(D41/D$7)*100</f>
        <v>99.355408739681721</v>
      </c>
      <c r="E42" s="573">
        <f t="shared" ref="E42:M42" si="2">(E41/E$7)*100</f>
        <v>101.57089821244654</v>
      </c>
      <c r="F42" s="573">
        <f>(F41/F$7)*100</f>
        <v>100.06881390964601</v>
      </c>
      <c r="G42" s="769" t="str">
        <f>+'Attainment by Race Trends'!DC41</f>
        <v>-</v>
      </c>
      <c r="H42" s="769">
        <f>(H41/H$7)*100</f>
        <v>104.41611651408742</v>
      </c>
      <c r="I42" s="769">
        <f>(I41/I$7)*100</f>
        <v>104.33027493376967</v>
      </c>
      <c r="J42" s="769">
        <f>(J41/J$7)*100</f>
        <v>102.83140732541408</v>
      </c>
      <c r="K42" s="796">
        <f t="shared" si="2"/>
        <v>89.324670721613742</v>
      </c>
      <c r="L42" s="573">
        <f t="shared" si="2"/>
        <v>86.290737804833512</v>
      </c>
      <c r="M42" s="573">
        <f t="shared" si="2"/>
        <v>98.348076804881615</v>
      </c>
      <c r="N42" s="769">
        <f>(N41/N$7)*100</f>
        <v>103.60961360024092</v>
      </c>
      <c r="O42" s="769" t="str">
        <f>+'Attainment by Race Trends'!DS41</f>
        <v>-</v>
      </c>
      <c r="P42" s="769">
        <f>(P41/P$7)*100</f>
        <v>92.001764732726073</v>
      </c>
      <c r="Q42" s="769">
        <f>(Q41/Q$7)*100</f>
        <v>99.444665616773946</v>
      </c>
      <c r="R42" s="776">
        <f>(R41/R$7)*100</f>
        <v>108.56285334578979</v>
      </c>
      <c r="S42" s="573"/>
      <c r="T42" s="573"/>
      <c r="U42" s="573"/>
      <c r="V42" s="769"/>
      <c r="W42" s="769"/>
      <c r="X42" s="769"/>
      <c r="Y42" s="769"/>
      <c r="Z42" s="776"/>
      <c r="AA42" s="573"/>
      <c r="AB42" s="573"/>
      <c r="AC42" s="573"/>
      <c r="AD42" s="769"/>
      <c r="AE42" s="769"/>
      <c r="AF42" s="769"/>
      <c r="AG42" s="769"/>
      <c r="AH42" s="769"/>
      <c r="AI42" s="573"/>
      <c r="AJ42" s="573"/>
      <c r="AK42" s="573"/>
      <c r="AL42" s="573"/>
      <c r="AM42" s="705"/>
      <c r="AN42" s="1"/>
      <c r="AO42" s="1"/>
      <c r="AP42" s="1"/>
    </row>
    <row r="43" spans="1:42">
      <c r="A43" s="280" t="s">
        <v>39</v>
      </c>
      <c r="B43" s="280"/>
      <c r="C43" s="574">
        <f>+'Attainment by Race Trends'!CU42</f>
        <v>94.785932660619977</v>
      </c>
      <c r="D43" s="574">
        <f>+'Attainment by Race Trends'!CW42</f>
        <v>88.121106345059232</v>
      </c>
      <c r="E43" s="574">
        <f>+'Attainment by Race Trends'!CY42</f>
        <v>71.912394014299764</v>
      </c>
      <c r="F43" s="574">
        <f>+'Attainment by Race Trends'!DA42</f>
        <v>91.447681655738933</v>
      </c>
      <c r="G43" s="770" t="str">
        <f>+'Attainment by Race Trends'!DC42</f>
        <v>-</v>
      </c>
      <c r="H43" s="770">
        <f>+'Attainment by Race Trends'!DE42</f>
        <v>71.502897913119995</v>
      </c>
      <c r="I43" s="770">
        <f>+'Attainment by Race Trends'!DG42</f>
        <v>79.332860258319755</v>
      </c>
      <c r="J43" s="770">
        <f>+'Attainment by Race Trends'!DI42</f>
        <v>67.56980632984201</v>
      </c>
      <c r="K43" s="287">
        <f>+'Attainment by Race Trends'!DK42</f>
        <v>41.375685628969798</v>
      </c>
      <c r="L43" s="286">
        <f>+'Attainment by Race Trends'!DM42</f>
        <v>25.123450117715919</v>
      </c>
      <c r="M43" s="286">
        <f>+'Attainment by Race Trends'!DO42</f>
        <v>18.194721314089783</v>
      </c>
      <c r="N43" s="770">
        <f>+'Attainment by Race Trends'!DQ42</f>
        <v>65.515382011966011</v>
      </c>
      <c r="O43" s="770" t="str">
        <f>+'Attainment by Race Trends'!DS42</f>
        <v>-</v>
      </c>
      <c r="P43" s="770">
        <f>+'Attainment by Race Trends'!DU42</f>
        <v>16.065724286998602</v>
      </c>
      <c r="Q43" s="770">
        <f>+'Attainment by Race Trends'!DW42</f>
        <v>26.213034516280796</v>
      </c>
      <c r="R43" s="777">
        <f>+'Attainment by Race Trends'!DY42</f>
        <v>14.713834517581173</v>
      </c>
      <c r="S43" s="574">
        <f>IFERROR(('Attainment by Race Trends'!CU42-'Attainment by Race Trends'!CT42), "-")</f>
        <v>0.99539542615092103</v>
      </c>
      <c r="T43" s="574">
        <f>IFERROR(('Attainment by Race Trends'!CW42-'Attainment by Race Trends'!CV42), "-")</f>
        <v>1.9043637900835222</v>
      </c>
      <c r="U43" s="574">
        <f>IFERROR(('Attainment by Race Trends'!CY42-'Attainment by Race Trends'!CX42), "-")</f>
        <v>5.0118230011227354</v>
      </c>
      <c r="V43" s="770">
        <f>IFERROR(('Attainment by Race Trends'!DA42-'Attainment by Race Trends'!CZ42), "-")</f>
        <v>0.70033358655358313</v>
      </c>
      <c r="W43" s="770" t="str">
        <f>IFERROR(('Attainment by Race Trends'!DC42-'Attainment by Race Trends'!DB42), "-")</f>
        <v>-</v>
      </c>
      <c r="X43" s="770">
        <f>IFERROR(('Attainment by Race Trends'!DE42-'Attainment by Race Trends'!DD42), "-")</f>
        <v>-5.0940548643949057</v>
      </c>
      <c r="Y43" s="770">
        <f>IFERROR(('Attainment by Race Trends'!DG42-'Attainment by Race Trends'!DF42), "-")</f>
        <v>-10.624257347241482</v>
      </c>
      <c r="Z43" s="777">
        <f>IFERROR(('Attainment by Race Trends'!DI42-'Attainment by Race Trends'!DH42), "-")</f>
        <v>8.3341900758346128</v>
      </c>
      <c r="AA43" s="574">
        <f>IFERROR(('Attainment by Race Trends'!DK42-'Attainment by Race Trends'!DJ42), "-")</f>
        <v>3.5646617895952915</v>
      </c>
      <c r="AB43" s="574">
        <f>IFERROR(('Attainment by Race Trends'!DM42-'Attainment by Race Trends'!DL42), "-")</f>
        <v>3.4833270331160477</v>
      </c>
      <c r="AC43" s="574">
        <f>IFERROR(('Attainment by Race Trends'!DO42-'Attainment by Race Trends'!DN42), "-")</f>
        <v>3.6968286937774479</v>
      </c>
      <c r="AD43" s="770">
        <f>IFERROR(('Attainment by Race Trends'!DQ42-'Attainment by Race Trends'!DP42), "-")</f>
        <v>0.41259683142570225</v>
      </c>
      <c r="AE43" s="770" t="str">
        <f>IFERROR(('Attainment by Race Trends'!DS42-'Attainment by Race Trends'!DR42), "-")</f>
        <v>-</v>
      </c>
      <c r="AF43" s="770">
        <f>IFERROR(('Attainment by Race Trends'!DU42-'Attainment by Race Trends'!DT42), "-")</f>
        <v>-3.3626849114493957</v>
      </c>
      <c r="AG43" s="770">
        <f>IFERROR(('Attainment by Race Trends'!DW42-'Attainment by Race Trends'!DV42), "-")</f>
        <v>-11.316590797806985</v>
      </c>
      <c r="AH43" s="770">
        <f>IFERROR(('Attainment by Race Trends'!DY42-'Attainment by Race Trends'!DX42), "-")</f>
        <v>4.9283073649844251</v>
      </c>
      <c r="AI43" s="573"/>
      <c r="AJ43" s="573"/>
      <c r="AK43" s="573"/>
      <c r="AL43" s="573"/>
      <c r="AM43" s="705"/>
      <c r="AN43" s="1"/>
      <c r="AO43" s="1"/>
      <c r="AP43" s="1"/>
    </row>
    <row r="44" spans="1:42">
      <c r="A44" s="280" t="s">
        <v>40</v>
      </c>
      <c r="B44" s="280"/>
      <c r="C44" s="574">
        <f>+'Attainment by Race Trends'!CU43</f>
        <v>92.34365761015259</v>
      </c>
      <c r="D44" s="574">
        <f>+'Attainment by Race Trends'!CW43</f>
        <v>87.290667317570154</v>
      </c>
      <c r="E44" s="574">
        <f>+'Attainment by Race Trends'!CY43</f>
        <v>75.41825260005055</v>
      </c>
      <c r="F44" s="574">
        <f>+'Attainment by Race Trends'!DA43</f>
        <v>80.005868425845364</v>
      </c>
      <c r="G44" s="770" t="str">
        <f>+'Attainment by Race Trends'!DC43</f>
        <v>-</v>
      </c>
      <c r="H44" s="770">
        <f>+'Attainment by Race Trends'!DE43</f>
        <v>84.028110525475171</v>
      </c>
      <c r="I44" s="770">
        <f>+'Attainment by Race Trends'!DG43</f>
        <v>85.42984972814638</v>
      </c>
      <c r="J44" s="770">
        <f>+'Attainment by Race Trends'!DI43</f>
        <v>71.512056393226572</v>
      </c>
      <c r="K44" s="287">
        <f>+'Attainment by Race Trends'!DK43</f>
        <v>29.710254518929901</v>
      </c>
      <c r="L44" s="286">
        <f>+'Attainment by Race Trends'!DM43</f>
        <v>20.865613193530585</v>
      </c>
      <c r="M44" s="286">
        <f>+'Attainment by Race Trends'!DO43</f>
        <v>20.131577458306772</v>
      </c>
      <c r="N44" s="770">
        <f>+'Attainment by Race Trends'!DQ43</f>
        <v>53.424934739057406</v>
      </c>
      <c r="O44" s="770" t="str">
        <f>+'Attainment by Race Trends'!DS43</f>
        <v>-</v>
      </c>
      <c r="P44" s="770">
        <f>+'Attainment by Race Trends'!DU43</f>
        <v>14.742053984986425</v>
      </c>
      <c r="Q44" s="770">
        <f>+'Attainment by Race Trends'!DW43</f>
        <v>25.990409887045324</v>
      </c>
      <c r="R44" s="777">
        <f>+'Attainment by Race Trends'!DY43</f>
        <v>15.537617160743238</v>
      </c>
      <c r="S44" s="574">
        <f>IFERROR(('Attainment by Race Trends'!CU43-'Attainment by Race Trends'!CT43), "-")</f>
        <v>2.2001215987055929</v>
      </c>
      <c r="T44" s="574">
        <f>IFERROR(('Attainment by Race Trends'!CW43-'Attainment by Race Trends'!CV43), "-")</f>
        <v>1.7497646605992401</v>
      </c>
      <c r="U44" s="574">
        <f>IFERROR(('Attainment by Race Trends'!CY43-'Attainment by Race Trends'!CX43), "-")</f>
        <v>8.6337624543778873</v>
      </c>
      <c r="V44" s="770">
        <f>IFERROR(('Attainment by Race Trends'!DA43-'Attainment by Race Trends'!CZ43), "-")</f>
        <v>-2.5244744877889929</v>
      </c>
      <c r="W44" s="770" t="str">
        <f>IFERROR(('Attainment by Race Trends'!DC43-'Attainment by Race Trends'!DB43), "-")</f>
        <v>-</v>
      </c>
      <c r="X44" s="770">
        <f>IFERROR(('Attainment by Race Trends'!DE43-'Attainment by Race Trends'!DD43), "-")</f>
        <v>1.524339786410323</v>
      </c>
      <c r="Y44" s="770">
        <f>IFERROR(('Attainment by Race Trends'!DG43-'Attainment by Race Trends'!DF43), "-")</f>
        <v>-1.4143922760124497</v>
      </c>
      <c r="Z44" s="777">
        <f>IFERROR(('Attainment by Race Trends'!DI43-'Attainment by Race Trends'!DH43), "-")</f>
        <v>11.010530269580627</v>
      </c>
      <c r="AA44" s="574">
        <f>IFERROR(('Attainment by Race Trends'!DK43-'Attainment by Race Trends'!DJ43), "-")</f>
        <v>2.9490640484695909</v>
      </c>
      <c r="AB44" s="574">
        <f>IFERROR(('Attainment by Race Trends'!DM43-'Attainment by Race Trends'!DL43), "-")</f>
        <v>5.1171988400529695</v>
      </c>
      <c r="AC44" s="574">
        <f>IFERROR(('Attainment by Race Trends'!DO43-'Attainment by Race Trends'!DN43), "-")</f>
        <v>6.8581377268014876</v>
      </c>
      <c r="AD44" s="770">
        <f>IFERROR(('Attainment by Race Trends'!DQ43-'Attainment by Race Trends'!DP43), "-")</f>
        <v>-8.6982075502426426E-2</v>
      </c>
      <c r="AE44" s="770" t="str">
        <f>IFERROR(('Attainment by Race Trends'!DS43-'Attainment by Race Trends'!DR43), "-")</f>
        <v>-</v>
      </c>
      <c r="AF44" s="770">
        <f>IFERROR(('Attainment by Race Trends'!DU43-'Attainment by Race Trends'!DT43), "-")</f>
        <v>-3.1387906605641032</v>
      </c>
      <c r="AG44" s="770">
        <f>IFERROR(('Attainment by Race Trends'!DW43-'Attainment by Race Trends'!DV43), "-")</f>
        <v>3.4852113525369575</v>
      </c>
      <c r="AH44" s="770">
        <f>IFERROR(('Attainment by Race Trends'!DY43-'Attainment by Race Trends'!DX43), "-")</f>
        <v>5.3323385683678719</v>
      </c>
      <c r="AI44" s="573"/>
      <c r="AJ44" s="573"/>
      <c r="AK44" s="573"/>
      <c r="AL44" s="573"/>
      <c r="AM44" s="705"/>
      <c r="AN44" s="1"/>
      <c r="AO44" s="1"/>
      <c r="AP44" s="1"/>
    </row>
    <row r="45" spans="1:42">
      <c r="A45" s="280" t="s">
        <v>41</v>
      </c>
      <c r="B45" s="280"/>
      <c r="C45" s="574">
        <f>+'Attainment by Race Trends'!CU44</f>
        <v>95.30988752141073</v>
      </c>
      <c r="D45" s="574">
        <f>+'Attainment by Race Trends'!CW44</f>
        <v>85.754271765663134</v>
      </c>
      <c r="E45" s="574">
        <f>+'Attainment by Race Trends'!CY44</f>
        <v>70.290113902448709</v>
      </c>
      <c r="F45" s="574">
        <f>+'Attainment by Race Trends'!DA44</f>
        <v>77.01173644619567</v>
      </c>
      <c r="G45" s="770" t="str">
        <f>+'Attainment by Race Trends'!DC44</f>
        <v>-</v>
      </c>
      <c r="H45" s="770">
        <f>+'Attainment by Race Trends'!DE44</f>
        <v>84.352603917821313</v>
      </c>
      <c r="I45" s="770">
        <f>+'Attainment by Race Trends'!DG44</f>
        <v>83.612586431506159</v>
      </c>
      <c r="J45" s="770">
        <f>+'Attainment by Race Trends'!DI44</f>
        <v>64.057629338572369</v>
      </c>
      <c r="K45" s="287">
        <f>+'Attainment by Race Trends'!DK44</f>
        <v>31.306424159637313</v>
      </c>
      <c r="L45" s="286">
        <f>+'Attainment by Race Trends'!DM44</f>
        <v>22.034174125305125</v>
      </c>
      <c r="M45" s="286">
        <f>+'Attainment by Race Trends'!DO44</f>
        <v>16.640869944834701</v>
      </c>
      <c r="N45" s="770">
        <f>+'Attainment by Race Trends'!DQ44</f>
        <v>41.543226785225137</v>
      </c>
      <c r="O45" s="770" t="str">
        <f>+'Attainment by Race Trends'!DS44</f>
        <v>-</v>
      </c>
      <c r="P45" s="770">
        <f>+'Attainment by Race Trends'!DU44</f>
        <v>17.594362159579553</v>
      </c>
      <c r="Q45" s="770">
        <f>+'Attainment by Race Trends'!DW44</f>
        <v>23.971339813608576</v>
      </c>
      <c r="R45" s="777">
        <f>+'Attainment by Race Trends'!DY44</f>
        <v>17.11329404060249</v>
      </c>
      <c r="S45" s="574">
        <f>IFERROR(('Attainment by Race Trends'!CU44-'Attainment by Race Trends'!CT44), "-")</f>
        <v>1.5924004411763377</v>
      </c>
      <c r="T45" s="574">
        <f>IFERROR(('Attainment by Race Trends'!CW44-'Attainment by Race Trends'!CV44), "-")</f>
        <v>3.4251365851425533</v>
      </c>
      <c r="U45" s="574">
        <f>IFERROR(('Attainment by Race Trends'!CY44-'Attainment by Race Trends'!CX44), "-")</f>
        <v>9.3913819442882414</v>
      </c>
      <c r="V45" s="770">
        <f>IFERROR(('Attainment by Race Trends'!DA44-'Attainment by Race Trends'!CZ44), "-")</f>
        <v>-5.7681603453681589</v>
      </c>
      <c r="W45" s="770" t="str">
        <f>IFERROR(('Attainment by Race Trends'!DC44-'Attainment by Race Trends'!DB44), "-")</f>
        <v>-</v>
      </c>
      <c r="X45" s="770">
        <f>IFERROR(('Attainment by Race Trends'!DE44-'Attainment by Race Trends'!DD44), "-")</f>
        <v>1.4026715768199551</v>
      </c>
      <c r="Y45" s="770">
        <f>IFERROR(('Attainment by Race Trends'!DG44-'Attainment by Race Trends'!DF44), "-")</f>
        <v>-5.7389834228600876</v>
      </c>
      <c r="Z45" s="777">
        <f>IFERROR(('Attainment by Race Trends'!DI44-'Attainment by Race Trends'!DH44), "-")</f>
        <v>11.722742345343974</v>
      </c>
      <c r="AA45" s="574">
        <f>IFERROR(('Attainment by Race Trends'!DK44-'Attainment by Race Trends'!DJ44), "-")</f>
        <v>2.5031131127439821</v>
      </c>
      <c r="AB45" s="574">
        <f>IFERROR(('Attainment by Race Trends'!DM44-'Attainment by Race Trends'!DL44), "-")</f>
        <v>2.1668357541884156</v>
      </c>
      <c r="AC45" s="574">
        <f>IFERROR(('Attainment by Race Trends'!DO44-'Attainment by Race Trends'!DN44), "-")</f>
        <v>4.2082164065889245</v>
      </c>
      <c r="AD45" s="770">
        <f>IFERROR(('Attainment by Race Trends'!DQ44-'Attainment by Race Trends'!DP44), "-")</f>
        <v>-11.0863446753986</v>
      </c>
      <c r="AE45" s="770" t="str">
        <f>IFERROR(('Attainment by Race Trends'!DS44-'Attainment by Race Trends'!DR44), "-")</f>
        <v>-</v>
      </c>
      <c r="AF45" s="770">
        <f>IFERROR(('Attainment by Race Trends'!DU44-'Attainment by Race Trends'!DT44), "-")</f>
        <v>-7.6499620022006312</v>
      </c>
      <c r="AG45" s="770">
        <f>IFERROR(('Attainment by Race Trends'!DW44-'Attainment by Race Trends'!DV44), "-")</f>
        <v>-8.9263843128657534</v>
      </c>
      <c r="AH45" s="770">
        <f>IFERROR(('Attainment by Race Trends'!DY44-'Attainment by Race Trends'!DX44), "-")</f>
        <v>5.5487878406200775</v>
      </c>
      <c r="AI45" s="573"/>
      <c r="AJ45" s="573"/>
      <c r="AK45" s="573"/>
      <c r="AL45" s="573"/>
      <c r="AM45" s="705"/>
      <c r="AN45" s="1"/>
      <c r="AO45" s="1"/>
      <c r="AP45" s="1"/>
    </row>
    <row r="46" spans="1:42">
      <c r="A46" s="280" t="s">
        <v>42</v>
      </c>
      <c r="B46" s="280"/>
      <c r="C46" s="574">
        <f>+'Attainment by Race Trends'!CU45</f>
        <v>95.048013108025359</v>
      </c>
      <c r="D46" s="574">
        <f>+'Attainment by Race Trends'!CW45</f>
        <v>86.717474142623843</v>
      </c>
      <c r="E46" s="574">
        <f>+'Attainment by Race Trends'!CY45</f>
        <v>70.096037907473601</v>
      </c>
      <c r="F46" s="574">
        <f>+'Attainment by Race Trends'!DA45</f>
        <v>87.454225108823323</v>
      </c>
      <c r="G46" s="770" t="str">
        <f>+'Attainment by Race Trends'!DC45</f>
        <v>-</v>
      </c>
      <c r="H46" s="770">
        <f>+'Attainment by Race Trends'!DE45</f>
        <v>81.515697173725826</v>
      </c>
      <c r="I46" s="770">
        <f>+'Attainment by Race Trends'!DG45</f>
        <v>83.350781124174588</v>
      </c>
      <c r="J46" s="770">
        <f>+'Attainment by Race Trends'!DI45</f>
        <v>63.30084633510409</v>
      </c>
      <c r="K46" s="287">
        <f>+'Attainment by Race Trends'!DK45</f>
        <v>38.131973982555735</v>
      </c>
      <c r="L46" s="286">
        <f>+'Attainment by Race Trends'!DM45</f>
        <v>24.112436284455882</v>
      </c>
      <c r="M46" s="286">
        <f>+'Attainment by Race Trends'!DO45</f>
        <v>17.167304804010747</v>
      </c>
      <c r="N46" s="770">
        <f>+'Attainment by Race Trends'!DQ45</f>
        <v>53.048780487804883</v>
      </c>
      <c r="O46" s="770" t="str">
        <f>+'Attainment by Race Trends'!DS45</f>
        <v>-</v>
      </c>
      <c r="P46" s="770">
        <f>+'Attainment by Race Trends'!DU45</f>
        <v>17.717059422218743</v>
      </c>
      <c r="Q46" s="770">
        <f>+'Attainment by Race Trends'!DW45</f>
        <v>24.885247221774843</v>
      </c>
      <c r="R46" s="777">
        <f>+'Attainment by Race Trends'!DY45</f>
        <v>12.812147069895847</v>
      </c>
      <c r="S46" s="574">
        <f>IFERROR(('Attainment by Race Trends'!CU45-'Attainment by Race Trends'!CT45), "-")</f>
        <v>1.2066692256346414</v>
      </c>
      <c r="T46" s="574">
        <f>IFERROR(('Attainment by Race Trends'!CW45-'Attainment by Race Trends'!CV45), "-")</f>
        <v>-1.392476013566494</v>
      </c>
      <c r="U46" s="574">
        <f>IFERROR(('Attainment by Race Trends'!CY45-'Attainment by Race Trends'!CX45), "-")</f>
        <v>6.5435376167065229</v>
      </c>
      <c r="V46" s="770">
        <f>IFERROR(('Attainment by Race Trends'!DA45-'Attainment by Race Trends'!CZ45), "-")</f>
        <v>2.9696405006802422</v>
      </c>
      <c r="W46" s="770" t="str">
        <f>IFERROR(('Attainment by Race Trends'!DC45-'Attainment by Race Trends'!DB45), "-")</f>
        <v>-</v>
      </c>
      <c r="X46" s="770">
        <f>IFERROR(('Attainment by Race Trends'!DE45-'Attainment by Race Trends'!DD45), "-")</f>
        <v>-2.4124910817637613</v>
      </c>
      <c r="Y46" s="770">
        <f>IFERROR(('Attainment by Race Trends'!DG45-'Attainment by Race Trends'!DF45), "-")</f>
        <v>83.350781124174588</v>
      </c>
      <c r="Z46" s="777">
        <f>IFERROR(('Attainment by Race Trends'!DI45-'Attainment by Race Trends'!DH45), "-")</f>
        <v>2.8274853724037357</v>
      </c>
      <c r="AA46" s="574">
        <f>IFERROR(('Attainment by Race Trends'!DK45-'Attainment by Race Trends'!DJ45), "-")</f>
        <v>2.9242339466903289</v>
      </c>
      <c r="AB46" s="574">
        <f>IFERROR(('Attainment by Race Trends'!DM45-'Attainment by Race Trends'!DL45), "-")</f>
        <v>3.6921423136962765</v>
      </c>
      <c r="AC46" s="574">
        <f>IFERROR(('Attainment by Race Trends'!DO45-'Attainment by Race Trends'!DN45), "-")</f>
        <v>3.2386437404766113</v>
      </c>
      <c r="AD46" s="770">
        <f>IFERROR(('Attainment by Race Trends'!DQ45-'Attainment by Race Trends'!DP45), "-")</f>
        <v>2.2505534539929997</v>
      </c>
      <c r="AE46" s="770" t="str">
        <f>IFERROR(('Attainment by Race Trends'!DS45-'Attainment by Race Trends'!DR45), "-")</f>
        <v>-</v>
      </c>
      <c r="AF46" s="770">
        <f>IFERROR(('Attainment by Race Trends'!DU45-'Attainment by Race Trends'!DT45), "-")</f>
        <v>-0.22157157699447438</v>
      </c>
      <c r="AG46" s="770">
        <f>IFERROR(('Attainment by Race Trends'!DW45-'Attainment by Race Trends'!DV45), "-")</f>
        <v>24.885247221774843</v>
      </c>
      <c r="AH46" s="770">
        <f>IFERROR(('Attainment by Race Trends'!DY45-'Attainment by Race Trends'!DX45), "-")</f>
        <v>1.7296084969692966</v>
      </c>
      <c r="AI46" s="573"/>
      <c r="AJ46" s="573"/>
      <c r="AK46" s="573"/>
      <c r="AL46" s="573"/>
      <c r="AM46" s="705"/>
      <c r="AN46" s="15"/>
      <c r="AO46" s="15"/>
      <c r="AP46" s="15"/>
    </row>
    <row r="47" spans="1:42">
      <c r="A47" s="37" t="s">
        <v>43</v>
      </c>
      <c r="B47" s="37"/>
      <c r="C47" s="573">
        <f>+'Attainment by Race Trends'!CU46</f>
        <v>93.58477587511527</v>
      </c>
      <c r="D47" s="573">
        <f>+'Attainment by Race Trends'!CW46</f>
        <v>87.806600840082027</v>
      </c>
      <c r="E47" s="573">
        <f>+'Attainment by Race Trends'!CY46</f>
        <v>77.76180711911654</v>
      </c>
      <c r="F47" s="573">
        <f>+'Attainment by Race Trends'!DA46</f>
        <v>90.268102461038453</v>
      </c>
      <c r="G47" s="769" t="str">
        <f>+'Attainment by Race Trends'!DC46</f>
        <v>-</v>
      </c>
      <c r="H47" s="769">
        <f>+'Attainment by Race Trends'!DE46</f>
        <v>83.242894435807941</v>
      </c>
      <c r="I47" s="769">
        <f>+'Attainment by Race Trends'!DG46</f>
        <v>86.675686754516974</v>
      </c>
      <c r="J47" s="769">
        <f>+'Attainment by Race Trends'!DI46</f>
        <v>73.201020549847257</v>
      </c>
      <c r="K47" s="112">
        <f>+'Attainment by Race Trends'!DK46</f>
        <v>32.914755521323343</v>
      </c>
      <c r="L47" s="13">
        <f>+'Attainment by Race Trends'!DM46</f>
        <v>19.472740696279882</v>
      </c>
      <c r="M47" s="13">
        <f>+'Attainment by Race Trends'!DO46</f>
        <v>22.558834566312854</v>
      </c>
      <c r="N47" s="769">
        <f>+'Attainment by Race Trends'!DQ46</f>
        <v>65.50653395074302</v>
      </c>
      <c r="O47" s="769" t="str">
        <f>+'Attainment by Race Trends'!DS46</f>
        <v>-</v>
      </c>
      <c r="P47" s="769">
        <f>+'Attainment by Race Trends'!DU46</f>
        <v>15.709969788519636</v>
      </c>
      <c r="Q47" s="769">
        <f>+'Attainment by Race Trends'!DW46</f>
        <v>28.569217230278831</v>
      </c>
      <c r="R47" s="776">
        <f>+'Attainment by Race Trends'!DY46</f>
        <v>19.390447098028325</v>
      </c>
      <c r="S47" s="573">
        <f>IFERROR(('Attainment by Race Trends'!CU46-'Attainment by Race Trends'!CT46), "-")</f>
        <v>1.3378506744180356</v>
      </c>
      <c r="T47" s="573">
        <f>IFERROR(('Attainment by Race Trends'!CW46-'Attainment by Race Trends'!CV46), "-")</f>
        <v>2.5764883385724033</v>
      </c>
      <c r="U47" s="573">
        <f>IFERROR(('Attainment by Race Trends'!CY46-'Attainment by Race Trends'!CX46), "-")</f>
        <v>5.9675667083401152</v>
      </c>
      <c r="V47" s="769">
        <f>IFERROR(('Attainment by Race Trends'!DA46-'Attainment by Race Trends'!CZ46), "-")</f>
        <v>1.8535037052146208</v>
      </c>
      <c r="W47" s="769" t="str">
        <f>IFERROR(('Attainment by Race Trends'!DC46-'Attainment by Race Trends'!DB46), "-")</f>
        <v>-</v>
      </c>
      <c r="X47" s="769">
        <f>IFERROR(('Attainment by Race Trends'!DE46-'Attainment by Race Trends'!DD46), "-")</f>
        <v>-0.11859205067854361</v>
      </c>
      <c r="Y47" s="769">
        <f>IFERROR(('Attainment by Race Trends'!DG46-'Attainment by Race Trends'!DF46), "-")</f>
        <v>-0.79023478646635681</v>
      </c>
      <c r="Z47" s="776">
        <f>IFERROR(('Attainment by Race Trends'!DI46-'Attainment by Race Trends'!DH46), "-")</f>
        <v>9.9051460723528635</v>
      </c>
      <c r="AA47" s="573">
        <f>IFERROR(('Attainment by Race Trends'!DK46-'Attainment by Race Trends'!DJ46), "-")</f>
        <v>3.4766777561994822</v>
      </c>
      <c r="AB47" s="573">
        <f>IFERROR(('Attainment by Race Trends'!DM46-'Attainment by Race Trends'!DL46), "-")</f>
        <v>2.4610678517846516</v>
      </c>
      <c r="AC47" s="573">
        <f>IFERROR(('Attainment by Race Trends'!DO46-'Attainment by Race Trends'!DN46), "-")</f>
        <v>5.0318087393911739</v>
      </c>
      <c r="AD47" s="769">
        <f>IFERROR(('Attainment by Race Trends'!DQ46-'Attainment by Race Trends'!DP46), "-")</f>
        <v>2.5015160901139666</v>
      </c>
      <c r="AE47" s="769" t="str">
        <f>IFERROR(('Attainment by Race Trends'!DS46-'Attainment by Race Trends'!DR46), "-")</f>
        <v>-</v>
      </c>
      <c r="AF47" s="769">
        <f>IFERROR(('Attainment by Race Trends'!DU46-'Attainment by Race Trends'!DT46), "-")</f>
        <v>4.4768616804115275</v>
      </c>
      <c r="AG47" s="769">
        <f>IFERROR(('Attainment by Race Trends'!DW46-'Attainment by Race Trends'!DV46), "-")</f>
        <v>2.6814786810657125</v>
      </c>
      <c r="AH47" s="769">
        <f>IFERROR(('Attainment by Race Trends'!DY46-'Attainment by Race Trends'!DX46), "-")</f>
        <v>4.7981529198009056</v>
      </c>
      <c r="AI47" s="573"/>
      <c r="AJ47" s="573"/>
      <c r="AK47" s="573"/>
      <c r="AL47" s="573"/>
      <c r="AM47" s="705"/>
      <c r="AN47" s="15"/>
      <c r="AO47" s="15"/>
      <c r="AP47" s="15"/>
    </row>
    <row r="48" spans="1:42">
      <c r="A48" s="37" t="s">
        <v>44</v>
      </c>
      <c r="B48" s="37"/>
      <c r="C48" s="573">
        <f>+'Attainment by Race Trends'!CU47</f>
        <v>96.59931628763259</v>
      </c>
      <c r="D48" s="573">
        <f>+'Attainment by Race Trends'!CW47</f>
        <v>83.160662904973663</v>
      </c>
      <c r="E48" s="573">
        <f>+'Attainment by Race Trends'!CY47</f>
        <v>72.224890471616334</v>
      </c>
      <c r="F48" s="573">
        <f>+'Attainment by Race Trends'!DA47</f>
        <v>84.803226088095343</v>
      </c>
      <c r="G48" s="769" t="str">
        <f>+'Attainment by Race Trends'!DC47</f>
        <v>-</v>
      </c>
      <c r="H48" s="769">
        <f>+'Attainment by Race Trends'!DE47</f>
        <v>84.545741657016521</v>
      </c>
      <c r="I48" s="769">
        <f>+'Attainment by Race Trends'!DG47</f>
        <v>87.652199609274533</v>
      </c>
      <c r="J48" s="769">
        <f>+'Attainment by Race Trends'!DI47</f>
        <v>69.767817950791269</v>
      </c>
      <c r="K48" s="112">
        <f>+'Attainment by Race Trends'!DK47</f>
        <v>40.687621633412199</v>
      </c>
      <c r="L48" s="13">
        <f>+'Attainment by Race Trends'!DM47</f>
        <v>24.303557415642167</v>
      </c>
      <c r="M48" s="13">
        <f>+'Attainment by Race Trends'!DO47</f>
        <v>22.25124756928988</v>
      </c>
      <c r="N48" s="769">
        <f>+'Attainment by Race Trends'!DQ47</f>
        <v>44.666477495961928</v>
      </c>
      <c r="O48" s="769" t="str">
        <f>+'Attainment by Race Trends'!DS47</f>
        <v>-</v>
      </c>
      <c r="P48" s="769">
        <f>+'Attainment by Race Trends'!DU47</f>
        <v>13.987437274099026</v>
      </c>
      <c r="Q48" s="769">
        <f>+'Attainment by Race Trends'!DW47</f>
        <v>31.770249046443794</v>
      </c>
      <c r="R48" s="776">
        <f>+'Attainment by Race Trends'!DY47</f>
        <v>22.347233452697239</v>
      </c>
      <c r="S48" s="573">
        <f>IFERROR(('Attainment by Race Trends'!CU47-'Attainment by Race Trends'!CT47), "-")</f>
        <v>0.93482076314587914</v>
      </c>
      <c r="T48" s="573">
        <f>IFERROR(('Attainment by Race Trends'!CW47-'Attainment by Race Trends'!CV47), "-")</f>
        <v>1.4010539291904962</v>
      </c>
      <c r="U48" s="573">
        <f>IFERROR(('Attainment by Race Trends'!CY47-'Attainment by Race Trends'!CX47), "-")</f>
        <v>9.6416972655515281</v>
      </c>
      <c r="V48" s="769">
        <f>IFERROR(('Attainment by Race Trends'!DA47-'Attainment by Race Trends'!CZ47), "-")</f>
        <v>6.1323928356351871</v>
      </c>
      <c r="W48" s="769" t="str">
        <f>IFERROR(('Attainment by Race Trends'!DC47-'Attainment by Race Trends'!DB47), "-")</f>
        <v>-</v>
      </c>
      <c r="X48" s="769">
        <f>IFERROR(('Attainment by Race Trends'!DE47-'Attainment by Race Trends'!DD47), "-")</f>
        <v>-0.23000419776576564</v>
      </c>
      <c r="Y48" s="769">
        <f>IFERROR(('Attainment by Race Trends'!DG47-'Attainment by Race Trends'!DF47), "-")</f>
        <v>-3.4207894860558383</v>
      </c>
      <c r="Z48" s="776">
        <f>IFERROR(('Attainment by Race Trends'!DI47-'Attainment by Race Trends'!DH47), "-")</f>
        <v>15.254332176894614</v>
      </c>
      <c r="AA48" s="573">
        <f>IFERROR(('Attainment by Race Trends'!DK47-'Attainment by Race Trends'!DJ47), "-")</f>
        <v>4.3184581900857708</v>
      </c>
      <c r="AB48" s="573">
        <f>IFERROR(('Attainment by Race Trends'!DM47-'Attainment by Race Trends'!DL47), "-")</f>
        <v>3.5637218235515213</v>
      </c>
      <c r="AC48" s="573">
        <f>IFERROR(('Attainment by Race Trends'!DO47-'Attainment by Race Trends'!DN47), "-")</f>
        <v>7.0765241734527198</v>
      </c>
      <c r="AD48" s="769">
        <f>IFERROR(('Attainment by Race Trends'!DQ47-'Attainment by Race Trends'!DP47), "-")</f>
        <v>2.9721522046567657</v>
      </c>
      <c r="AE48" s="769" t="str">
        <f>IFERROR(('Attainment by Race Trends'!DS47-'Attainment by Race Trends'!DR47), "-")</f>
        <v>-</v>
      </c>
      <c r="AF48" s="769">
        <f>IFERROR(('Attainment by Race Trends'!DU47-'Attainment by Race Trends'!DT47), "-")</f>
        <v>-1.9559113944545459E-2</v>
      </c>
      <c r="AG48" s="769">
        <f>IFERROR(('Attainment by Race Trends'!DW47-'Attainment by Race Trends'!DV47), "-")</f>
        <v>-0.66069437845837342</v>
      </c>
      <c r="AH48" s="769">
        <f>IFERROR(('Attainment by Race Trends'!DY47-'Attainment by Race Trends'!DX47), "-")</f>
        <v>10.895682967276683</v>
      </c>
      <c r="AI48" s="573"/>
      <c r="AJ48" s="573"/>
      <c r="AK48" s="573"/>
      <c r="AL48" s="573"/>
      <c r="AM48" s="705"/>
      <c r="AN48" s="15"/>
      <c r="AO48" s="15"/>
      <c r="AP48" s="15"/>
    </row>
    <row r="49" spans="1:42">
      <c r="A49" s="37" t="s">
        <v>45</v>
      </c>
      <c r="B49" s="37"/>
      <c r="C49" s="573">
        <f>+'Attainment by Race Trends'!CU48</f>
        <v>92.750083113675757</v>
      </c>
      <c r="D49" s="573">
        <f>+'Attainment by Race Trends'!CW48</f>
        <v>88.020795231161699</v>
      </c>
      <c r="E49" s="573">
        <f>+'Attainment by Race Trends'!CY48</f>
        <v>78.481506315083678</v>
      </c>
      <c r="F49" s="573">
        <f>+'Attainment by Race Trends'!DA48</f>
        <v>90.10873942811115</v>
      </c>
      <c r="G49" s="769" t="str">
        <f>+'Attainment by Race Trends'!DC48</f>
        <v>-</v>
      </c>
      <c r="H49" s="769">
        <f>+'Attainment by Race Trends'!DE48</f>
        <v>81.276088252832437</v>
      </c>
      <c r="I49" s="769">
        <f>+'Attainment by Race Trends'!DG48</f>
        <v>87.085483970470307</v>
      </c>
      <c r="J49" s="769">
        <f>+'Attainment by Race Trends'!DI48</f>
        <v>76.317469079367271</v>
      </c>
      <c r="K49" s="112">
        <f>+'Attainment by Race Trends'!DK48</f>
        <v>32.92295955926005</v>
      </c>
      <c r="L49" s="13">
        <f>+'Attainment by Race Trends'!DM48</f>
        <v>21.132457504525064</v>
      </c>
      <c r="M49" s="13">
        <f>+'Attainment by Race Trends'!DO48</f>
        <v>22.977873260444177</v>
      </c>
      <c r="N49" s="769">
        <f>+'Attainment by Race Trends'!DQ48</f>
        <v>60.006904090673729</v>
      </c>
      <c r="O49" s="769" t="str">
        <f>+'Attainment by Race Trends'!DS48</f>
        <v>-</v>
      </c>
      <c r="P49" s="769">
        <f>+'Attainment by Race Trends'!DU48</f>
        <v>26.18515205724508</v>
      </c>
      <c r="Q49" s="769">
        <f>+'Attainment by Race Trends'!DW48</f>
        <v>25.989430175409733</v>
      </c>
      <c r="R49" s="776">
        <f>+'Attainment by Race Trends'!DY48</f>
        <v>25.124631281157821</v>
      </c>
      <c r="S49" s="573">
        <f>IFERROR(('Attainment by Race Trends'!CU48-'Attainment by Race Trends'!CT48), "-")</f>
        <v>2.04001014922558</v>
      </c>
      <c r="T49" s="573">
        <f>IFERROR(('Attainment by Race Trends'!CW48-'Attainment by Race Trends'!CV48), "-")</f>
        <v>1.4826630536187793</v>
      </c>
      <c r="U49" s="573">
        <f>IFERROR(('Attainment by Race Trends'!CY48-'Attainment by Race Trends'!CX48), "-")</f>
        <v>5.779394984439179</v>
      </c>
      <c r="V49" s="769">
        <f>IFERROR(('Attainment by Race Trends'!DA48-'Attainment by Race Trends'!CZ48), "-")</f>
        <v>2.9431983650601552</v>
      </c>
      <c r="W49" s="769" t="str">
        <f>IFERROR(('Attainment by Race Trends'!DC48-'Attainment by Race Trends'!DB48), "-")</f>
        <v>-</v>
      </c>
      <c r="X49" s="769">
        <f>IFERROR(('Attainment by Race Trends'!DE48-'Attainment by Race Trends'!DD48), "-")</f>
        <v>1.4924799217531728</v>
      </c>
      <c r="Y49" s="769">
        <f>IFERROR(('Attainment by Race Trends'!DG48-'Attainment by Race Trends'!DF48), "-")</f>
        <v>-0.18023210880510021</v>
      </c>
      <c r="Z49" s="776">
        <f>IFERROR(('Attainment by Race Trends'!DI48-'Attainment by Race Trends'!DH48), "-")</f>
        <v>8.9419643687347019</v>
      </c>
      <c r="AA49" s="573">
        <f>IFERROR(('Attainment by Race Trends'!DK48-'Attainment by Race Trends'!DJ48), "-")</f>
        <v>3.4324499222937384</v>
      </c>
      <c r="AB49" s="573">
        <f>IFERROR(('Attainment by Race Trends'!DM48-'Attainment by Race Trends'!DL48), "-")</f>
        <v>2.8750947070616526</v>
      </c>
      <c r="AC49" s="573">
        <f>IFERROR(('Attainment by Race Trends'!DO48-'Attainment by Race Trends'!DN48), "-")</f>
        <v>3.5423643693418114</v>
      </c>
      <c r="AD49" s="769">
        <f>IFERROR(('Attainment by Race Trends'!DQ48-'Attainment by Race Trends'!DP48), "-")</f>
        <v>1.0403113185955775</v>
      </c>
      <c r="AE49" s="769" t="str">
        <f>IFERROR(('Attainment by Race Trends'!DS48-'Attainment by Race Trends'!DR48), "-")</f>
        <v>-</v>
      </c>
      <c r="AF49" s="769">
        <f>IFERROR(('Attainment by Race Trends'!DU48-'Attainment by Race Trends'!DT48), "-")</f>
        <v>7.6944839479672851</v>
      </c>
      <c r="AG49" s="769">
        <f>IFERROR(('Attainment by Race Trends'!DW48-'Attainment by Race Trends'!DV48), "-")</f>
        <v>1.1898606300774759</v>
      </c>
      <c r="AH49" s="769">
        <f>IFERROR(('Attainment by Race Trends'!DY48-'Attainment by Race Trends'!DX48), "-")</f>
        <v>9.3567234001947597</v>
      </c>
      <c r="AI49" s="573"/>
      <c r="AJ49" s="573"/>
      <c r="AK49" s="573"/>
      <c r="AL49" s="573"/>
      <c r="AM49" s="705"/>
      <c r="AN49" s="15"/>
      <c r="AO49" s="15"/>
      <c r="AP49" s="15"/>
    </row>
    <row r="50" spans="1:42">
      <c r="A50" s="37" t="s">
        <v>46</v>
      </c>
      <c r="B50" s="37"/>
      <c r="C50" s="573">
        <f>+'Attainment by Race Trends'!CU49</f>
        <v>95.80988260800693</v>
      </c>
      <c r="D50" s="573">
        <f>+'Attainment by Race Trends'!CW49</f>
        <v>89.01391387349021</v>
      </c>
      <c r="E50" s="573">
        <f>+'Attainment by Race Trends'!CY49</f>
        <v>65.327176347489214</v>
      </c>
      <c r="F50" s="573">
        <f>+'Attainment by Race Trends'!DA49</f>
        <v>74.553233503373377</v>
      </c>
      <c r="G50" s="769" t="str">
        <f>+'Attainment by Race Trends'!DC49</f>
        <v>-</v>
      </c>
      <c r="H50" s="769">
        <f>+'Attainment by Race Trends'!DE49</f>
        <v>75.785009379332848</v>
      </c>
      <c r="I50" s="769">
        <f>+'Attainment by Race Trends'!DG49</f>
        <v>78.239596779150531</v>
      </c>
      <c r="J50" s="769">
        <f>+'Attainment by Race Trends'!DI49</f>
        <v>61.515066065098289</v>
      </c>
      <c r="K50" s="112">
        <f>+'Attainment by Race Trends'!DK49</f>
        <v>36.845741462790883</v>
      </c>
      <c r="L50" s="13">
        <f>+'Attainment by Race Trends'!DM49</f>
        <v>23.284628657439701</v>
      </c>
      <c r="M50" s="13">
        <f>+'Attainment by Race Trends'!DO49</f>
        <v>15.408894769156268</v>
      </c>
      <c r="N50" s="769">
        <f>+'Attainment by Race Trends'!DQ49</f>
        <v>40.839229883166034</v>
      </c>
      <c r="O50" s="769" t="str">
        <f>+'Attainment by Race Trends'!DS49</f>
        <v>-</v>
      </c>
      <c r="P50" s="769">
        <f>+'Attainment by Race Trends'!DU49</f>
        <v>12.576461952532419</v>
      </c>
      <c r="Q50" s="769">
        <f>+'Attainment by Race Trends'!DW49</f>
        <v>25.883582273034605</v>
      </c>
      <c r="R50" s="776">
        <f>+'Attainment by Race Trends'!DY49</f>
        <v>15.926119883983242</v>
      </c>
      <c r="S50" s="573">
        <f>IFERROR(('Attainment by Race Trends'!CU49-'Attainment by Race Trends'!CT49), "-")</f>
        <v>0.88196891313539538</v>
      </c>
      <c r="T50" s="573">
        <f>IFERROR(('Attainment by Race Trends'!CW49-'Attainment by Race Trends'!CV49), "-")</f>
        <v>2.6060514656278002</v>
      </c>
      <c r="U50" s="573">
        <f>IFERROR(('Attainment by Race Trends'!CY49-'Attainment by Race Trends'!CX49), "-")</f>
        <v>9.77556986469137</v>
      </c>
      <c r="V50" s="769">
        <f>IFERROR(('Attainment by Race Trends'!DA49-'Attainment by Race Trends'!CZ49), "-")</f>
        <v>0.69776623133402893</v>
      </c>
      <c r="W50" s="769" t="str">
        <f>IFERROR(('Attainment by Race Trends'!DC49-'Attainment by Race Trends'!DB49), "-")</f>
        <v>-</v>
      </c>
      <c r="X50" s="769">
        <f>IFERROR(('Attainment by Race Trends'!DE49-'Attainment by Race Trends'!DD49), "-")</f>
        <v>-6.2332090046728297</v>
      </c>
      <c r="Y50" s="769">
        <f>IFERROR(('Attainment by Race Trends'!DG49-'Attainment by Race Trends'!DF49), "-")</f>
        <v>-8.3844473477142145</v>
      </c>
      <c r="Z50" s="776">
        <f>IFERROR(('Attainment by Race Trends'!DI49-'Attainment by Race Trends'!DH49), "-")</f>
        <v>11.874889237710605</v>
      </c>
      <c r="AA50" s="573">
        <f>IFERROR(('Attainment by Race Trends'!DK49-'Attainment by Race Trends'!DJ49), "-")</f>
        <v>3.2228608345066405</v>
      </c>
      <c r="AB50" s="573">
        <f>IFERROR(('Attainment by Race Trends'!DM49-'Attainment by Race Trends'!DL49), "-")</f>
        <v>1.1901384712427188E-2</v>
      </c>
      <c r="AC50" s="573">
        <f>IFERROR(('Attainment by Race Trends'!DO49-'Attainment by Race Trends'!DN49), "-")</f>
        <v>4.5829067111522868</v>
      </c>
      <c r="AD50" s="769">
        <f>IFERROR(('Attainment by Race Trends'!DQ49-'Attainment by Race Trends'!DP49), "-")</f>
        <v>-1.5831016424572084</v>
      </c>
      <c r="AE50" s="769" t="str">
        <f>IFERROR(('Attainment by Race Trends'!DS49-'Attainment by Race Trends'!DR49), "-")</f>
        <v>-</v>
      </c>
      <c r="AF50" s="769">
        <f>IFERROR(('Attainment by Race Trends'!DU49-'Attainment by Race Trends'!DT49), "-")</f>
        <v>-2.388639194989171</v>
      </c>
      <c r="AG50" s="769">
        <f>IFERROR(('Attainment by Race Trends'!DW49-'Attainment by Race Trends'!DV49), "-")</f>
        <v>-5.2559438646111225</v>
      </c>
      <c r="AH50" s="769">
        <f>IFERROR(('Attainment by Race Trends'!DY49-'Attainment by Race Trends'!DX49), "-")</f>
        <v>8.6011481558039478</v>
      </c>
      <c r="AI50" s="573"/>
      <c r="AJ50" s="573"/>
      <c r="AK50" s="573"/>
      <c r="AL50" s="573"/>
      <c r="AM50" s="705"/>
      <c r="AN50" s="15"/>
      <c r="AO50" s="15"/>
      <c r="AP50" s="15"/>
    </row>
    <row r="51" spans="1:42">
      <c r="A51" s="280" t="s">
        <v>47</v>
      </c>
      <c r="B51" s="280"/>
      <c r="C51" s="574">
        <f>+'Attainment by Race Trends'!CU50</f>
        <v>94.977587165508922</v>
      </c>
      <c r="D51" s="574">
        <f>+'Attainment by Race Trends'!CW50</f>
        <v>76.944374528064429</v>
      </c>
      <c r="E51" s="574">
        <f>+'Attainment by Race Trends'!CY50</f>
        <v>82.216891185335555</v>
      </c>
      <c r="F51" s="574" t="str">
        <f>+'Attainment by Race Trends'!DA50</f>
        <v>-</v>
      </c>
      <c r="G51" s="770" t="str">
        <f>+'Attainment by Race Trends'!DC50</f>
        <v>-</v>
      </c>
      <c r="H51" s="770">
        <f>+'Attainment by Race Trends'!DE50</f>
        <v>83.581278110018289</v>
      </c>
      <c r="I51" s="770">
        <f>+'Attainment by Race Trends'!DG50</f>
        <v>91.334708032617868</v>
      </c>
      <c r="J51" s="770">
        <f>+'Attainment by Race Trends'!DI50</f>
        <v>0</v>
      </c>
      <c r="K51" s="287">
        <f>+'Attainment by Race Trends'!DK50</f>
        <v>32.752960501272327</v>
      </c>
      <c r="L51" s="286">
        <f>+'Attainment by Race Trends'!DM50</f>
        <v>23.265374611964091</v>
      </c>
      <c r="M51" s="286">
        <f>+'Attainment by Race Trends'!DO50</f>
        <v>20.126714645998646</v>
      </c>
      <c r="N51" s="770" t="str">
        <f>+'Attainment by Race Trends'!DQ50</f>
        <v>-</v>
      </c>
      <c r="O51" s="770" t="str">
        <f>+'Attainment by Race Trends'!DS50</f>
        <v>-</v>
      </c>
      <c r="P51" s="770">
        <f>+'Attainment by Race Trends'!DU50</f>
        <v>13.413730044976029</v>
      </c>
      <c r="Q51" s="770">
        <f>+'Attainment by Race Trends'!DW50</f>
        <v>26.909738494704282</v>
      </c>
      <c r="R51" s="777">
        <f>+'Attainment by Race Trends'!DY50</f>
        <v>0</v>
      </c>
      <c r="S51" s="286">
        <f>IFERROR(('Attainment by Race Trends'!CU50-'Attainment by Race Trends'!CT50), "-")</f>
        <v>1.3308974455831191</v>
      </c>
      <c r="T51" s="286" t="str">
        <f>IFERROR(('Attainment by Race Trends'!CW50-'Attainment by Race Trends'!CV50), "-")</f>
        <v>-</v>
      </c>
      <c r="U51" s="286">
        <f>IFERROR(('Attainment by Race Trends'!CY50-'Attainment by Race Trends'!CX50), "-")</f>
        <v>6.4590664913406499</v>
      </c>
      <c r="V51" s="770" t="str">
        <f>IFERROR(('Attainment by Race Trends'!DA50-'Attainment by Race Trends'!CZ50), "-")</f>
        <v>-</v>
      </c>
      <c r="W51" s="770" t="str">
        <f>IFERROR(('Attainment by Race Trends'!DC50-'Attainment by Race Trends'!DB50), "-")</f>
        <v>-</v>
      </c>
      <c r="X51" s="770">
        <f>IFERROR(('Attainment by Race Trends'!DE50-'Attainment by Race Trends'!DD50), "-")</f>
        <v>4.339822762719507</v>
      </c>
      <c r="Y51" s="770">
        <f>IFERROR(('Attainment by Race Trends'!DG50-'Attainment by Race Trends'!DF50), "-")</f>
        <v>-4.9863622014958509</v>
      </c>
      <c r="Z51" s="777" t="str">
        <f>IFERROR(('Attainment by Race Trends'!DI50-'Attainment by Race Trends'!DH50), "-")</f>
        <v>-</v>
      </c>
      <c r="AA51" s="574">
        <f>IFERROR(('Attainment by Race Trends'!DK50-'Attainment by Race Trends'!DJ50), "-")</f>
        <v>1.7398384640359694</v>
      </c>
      <c r="AB51" s="286" t="str">
        <f>IFERROR(('Attainment by Race Trends'!DM50-'Attainment by Race Trends'!DL50), "-")</f>
        <v>-</v>
      </c>
      <c r="AC51" s="286">
        <f>IFERROR(('Attainment by Race Trends'!DO50-'Attainment by Race Trends'!DN50), "-")</f>
        <v>4.78127802396628</v>
      </c>
      <c r="AD51" s="770" t="str">
        <f>IFERROR(('Attainment by Race Trends'!DQ50-'Attainment by Race Trends'!DP50), "-")</f>
        <v>-</v>
      </c>
      <c r="AE51" s="770" t="str">
        <f>IFERROR(('Attainment by Race Trends'!DS50-'Attainment by Race Trends'!DR50), "-")</f>
        <v>-</v>
      </c>
      <c r="AF51" s="770">
        <f>IFERROR(('Attainment by Race Trends'!DU50-'Attainment by Race Trends'!DT50), "-")</f>
        <v>-3.3624551810438188</v>
      </c>
      <c r="AG51" s="770">
        <f>IFERROR(('Attainment by Race Trends'!DW50-'Attainment by Race Trends'!DV50), "-")</f>
        <v>3.9838565225389999</v>
      </c>
      <c r="AH51" s="770" t="str">
        <f>IFERROR(('Attainment by Race Trends'!DY50-'Attainment by Race Trends'!DX50), "-")</f>
        <v>-</v>
      </c>
      <c r="AI51" s="13"/>
      <c r="AJ51" s="573"/>
      <c r="AK51" s="13"/>
      <c r="AL51" s="13"/>
      <c r="AM51" s="767"/>
      <c r="AN51" s="15"/>
      <c r="AO51" s="15"/>
      <c r="AP51" s="15"/>
    </row>
    <row r="52" spans="1:42">
      <c r="A52" s="280" t="s">
        <v>48</v>
      </c>
      <c r="B52" s="280"/>
      <c r="C52" s="574">
        <f>+'Attainment by Race Trends'!CU51</f>
        <v>93.040146882676169</v>
      </c>
      <c r="D52" s="574">
        <f>+'Attainment by Race Trends'!CW51</f>
        <v>87.275379379746084</v>
      </c>
      <c r="E52" s="574">
        <f>+'Attainment by Race Trends'!CY51</f>
        <v>80.543566530317605</v>
      </c>
      <c r="F52" s="574">
        <f>+'Attainment by Race Trends'!DA51</f>
        <v>86.493729617398643</v>
      </c>
      <c r="G52" s="770" t="str">
        <f>+'Attainment by Race Trends'!DC51</f>
        <v>-</v>
      </c>
      <c r="H52" s="770">
        <f>+'Attainment by Race Trends'!DE51</f>
        <v>74.961203697456313</v>
      </c>
      <c r="I52" s="770">
        <f>+'Attainment by Race Trends'!DG51</f>
        <v>88.608721287178255</v>
      </c>
      <c r="J52" s="770">
        <f>+'Attainment by Race Trends'!DI51</f>
        <v>75.237074738815963</v>
      </c>
      <c r="K52" s="287">
        <f>+'Attainment by Race Trends'!DK51</f>
        <v>31.820045277720112</v>
      </c>
      <c r="L52" s="286">
        <f>+'Attainment by Race Trends'!DM51</f>
        <v>19.155452156324447</v>
      </c>
      <c r="M52" s="286">
        <f>+'Attainment by Race Trends'!DO51</f>
        <v>23.25215050529355</v>
      </c>
      <c r="N52" s="770">
        <f>+'Attainment by Race Trends'!DQ51</f>
        <v>58.640165426992994</v>
      </c>
      <c r="O52" s="770" t="str">
        <f>+'Attainment by Race Trends'!DS51</f>
        <v>-</v>
      </c>
      <c r="P52" s="770">
        <f>+'Attainment by Race Trends'!DU51</f>
        <v>14.884285810674044</v>
      </c>
      <c r="Q52" s="770">
        <f>+'Attainment by Race Trends'!DW51</f>
        <v>28.721882192573677</v>
      </c>
      <c r="R52" s="777">
        <f>+'Attainment by Race Trends'!DY51</f>
        <v>20.366104116438969</v>
      </c>
      <c r="S52" s="286">
        <f>IFERROR(('Attainment by Race Trends'!CU51-'Attainment by Race Trends'!CT51), "-")</f>
        <v>1.8232326605905769</v>
      </c>
      <c r="T52" s="286">
        <f>IFERROR(('Attainment by Race Trends'!CW51-'Attainment by Race Trends'!CV51), "-")</f>
        <v>1.7755798704763066</v>
      </c>
      <c r="U52" s="286">
        <f>IFERROR(('Attainment by Race Trends'!CY51-'Attainment by Race Trends'!CX51), "-")</f>
        <v>5.8403183201382092</v>
      </c>
      <c r="V52" s="770">
        <f>IFERROR(('Attainment by Race Trends'!DA51-'Attainment by Race Trends'!CZ51), "-")</f>
        <v>-1.4100735563744706</v>
      </c>
      <c r="W52" s="770" t="str">
        <f>IFERROR(('Attainment by Race Trends'!DC51-'Attainment by Race Trends'!DB51), "-")</f>
        <v>-</v>
      </c>
      <c r="X52" s="770">
        <f>IFERROR(('Attainment by Race Trends'!DE51-'Attainment by Race Trends'!DD51), "-")</f>
        <v>-7.082951321603403</v>
      </c>
      <c r="Y52" s="770">
        <f>IFERROR(('Attainment by Race Trends'!DG51-'Attainment by Race Trends'!DF51), "-")</f>
        <v>0.38301505468210451</v>
      </c>
      <c r="Z52" s="777">
        <f>IFERROR(('Attainment by Race Trends'!DI51-'Attainment by Race Trends'!DH51), "-")</f>
        <v>5.5550608269246169</v>
      </c>
      <c r="AA52" s="574">
        <f>IFERROR(('Attainment by Race Trends'!DK51-'Attainment by Race Trends'!DJ51), "-")</f>
        <v>3.2291457116495081</v>
      </c>
      <c r="AB52" s="286">
        <f>IFERROR(('Attainment by Race Trends'!DM51-'Attainment by Race Trends'!DL51), "-")</f>
        <v>2.9395841758603538</v>
      </c>
      <c r="AC52" s="286">
        <f>IFERROR(('Attainment by Race Trends'!DO51-'Attainment by Race Trends'!DN51), "-")</f>
        <v>3.5566760282749392</v>
      </c>
      <c r="AD52" s="770">
        <f>IFERROR(('Attainment by Race Trends'!DQ51-'Attainment by Race Trends'!DP51), "-")</f>
        <v>-0.58014970912813624</v>
      </c>
      <c r="AE52" s="770" t="str">
        <f>IFERROR(('Attainment by Race Trends'!DS51-'Attainment by Race Trends'!DR51), "-")</f>
        <v>-</v>
      </c>
      <c r="AF52" s="770">
        <f>IFERROR(('Attainment by Race Trends'!DU51-'Attainment by Race Trends'!DT51), "-")</f>
        <v>-7.5188272770006712</v>
      </c>
      <c r="AG52" s="770">
        <f>IFERROR(('Attainment by Race Trends'!DW51-'Attainment by Race Trends'!DV51), "-")</f>
        <v>4.8211914940406224</v>
      </c>
      <c r="AH52" s="770">
        <f>IFERROR(('Attainment by Race Trends'!DY51-'Attainment by Race Trends'!DX51), "-")</f>
        <v>7.5191349213412533</v>
      </c>
      <c r="AI52" s="13"/>
      <c r="AJ52" s="573"/>
      <c r="AK52" s="13"/>
      <c r="AL52" s="13"/>
      <c r="AM52" s="767"/>
      <c r="AN52" s="15"/>
      <c r="AO52" s="15"/>
      <c r="AP52" s="15"/>
    </row>
    <row r="53" spans="1:42">
      <c r="A53" s="280" t="s">
        <v>49</v>
      </c>
      <c r="B53" s="280"/>
      <c r="C53" s="574">
        <f>+'Attainment by Race Trends'!CU52</f>
        <v>94.614611976093343</v>
      </c>
      <c r="D53" s="574">
        <f>+'Attainment by Race Trends'!CW52</f>
        <v>86.36363636363636</v>
      </c>
      <c r="E53" s="574">
        <f>+'Attainment by Race Trends'!CY52</f>
        <v>76.686000227453661</v>
      </c>
      <c r="F53" s="574" t="str">
        <f>+'Attainment by Race Trends'!DA52</f>
        <v>-</v>
      </c>
      <c r="G53" s="770" t="str">
        <f>+'Attainment by Race Trends'!DC52</f>
        <v>-</v>
      </c>
      <c r="H53" s="770">
        <f>+'Attainment by Race Trends'!DE52</f>
        <v>83.362383572089982</v>
      </c>
      <c r="I53" s="770">
        <f>+'Attainment by Race Trends'!DG52</f>
        <v>91.376162018592296</v>
      </c>
      <c r="J53" s="770">
        <f>+'Attainment by Race Trends'!DI52</f>
        <v>69.060467690604682</v>
      </c>
      <c r="K53" s="287">
        <f>+'Attainment by Race Trends'!DK52</f>
        <v>33.396834145065405</v>
      </c>
      <c r="L53" s="286">
        <f>+'Attainment by Race Trends'!DM52</f>
        <v>18.912337662337659</v>
      </c>
      <c r="M53" s="286">
        <f>+'Attainment by Race Trends'!DO52</f>
        <v>21.335152962583873</v>
      </c>
      <c r="N53" s="770" t="str">
        <f>+'Attainment by Race Trends'!DQ52</f>
        <v>-</v>
      </c>
      <c r="O53" s="770" t="str">
        <f>+'Attainment by Race Trends'!DS52</f>
        <v>-</v>
      </c>
      <c r="P53" s="770">
        <f>+'Attainment by Race Trends'!DU52</f>
        <v>10.270167220436843</v>
      </c>
      <c r="Q53" s="770">
        <f>+'Attainment by Race Trends'!DW52</f>
        <v>29.498671978751663</v>
      </c>
      <c r="R53" s="777">
        <f>+'Attainment by Race Trends'!DY52</f>
        <v>17.918915179189153</v>
      </c>
      <c r="S53" s="286">
        <f>IFERROR(('Attainment by Race Trends'!CU52-'Attainment by Race Trends'!CT52), "-")</f>
        <v>0.95767676612882724</v>
      </c>
      <c r="T53" s="286">
        <f>IFERROR(('Attainment by Race Trends'!CW52-'Attainment by Race Trends'!CV52), "-")</f>
        <v>14.973916483299121</v>
      </c>
      <c r="U53" s="286">
        <f>IFERROR(('Attainment by Race Trends'!CY52-'Attainment by Race Trends'!CX52), "-")</f>
        <v>10.595441735809615</v>
      </c>
      <c r="V53" s="770" t="str">
        <f>IFERROR(('Attainment by Race Trends'!DA52-'Attainment by Race Trends'!CZ52), "-")</f>
        <v>-</v>
      </c>
      <c r="W53" s="770" t="str">
        <f>IFERROR(('Attainment by Race Trends'!DC52-'Attainment by Race Trends'!DB52), "-")</f>
        <v>-</v>
      </c>
      <c r="X53" s="770">
        <f>IFERROR(('Attainment by Race Trends'!DE52-'Attainment by Race Trends'!DD52), "-")</f>
        <v>7.2588171296480368</v>
      </c>
      <c r="Y53" s="770">
        <f>IFERROR(('Attainment by Race Trends'!DG52-'Attainment by Race Trends'!DF52), "-")</f>
        <v>6.7427652675312686</v>
      </c>
      <c r="Z53" s="777">
        <f>IFERROR(('Attainment by Race Trends'!DI52-'Attainment by Race Trends'!DH52), "-")</f>
        <v>26.105141230123586</v>
      </c>
      <c r="AA53" s="574">
        <f>IFERROR(('Attainment by Race Trends'!DK52-'Attainment by Race Trends'!DJ52), "-")</f>
        <v>2.5434025029860692</v>
      </c>
      <c r="AB53" s="688">
        <f>IFERROR(('Attainment by Race Trends'!DM52-'Attainment by Race Trends'!DL52), "-")</f>
        <v>2.0779618124600425</v>
      </c>
      <c r="AC53" s="286">
        <f>IFERROR(('Attainment by Race Trends'!DO52-'Attainment by Race Trends'!DN52), "-")</f>
        <v>4.4518505772103545</v>
      </c>
      <c r="AD53" s="770" t="str">
        <f>IFERROR(('Attainment by Race Trends'!DQ52-'Attainment by Race Trends'!DP52), "-")</f>
        <v>-</v>
      </c>
      <c r="AE53" s="770" t="str">
        <f>IFERROR(('Attainment by Race Trends'!DS52-'Attainment by Race Trends'!DR52), "-")</f>
        <v>-</v>
      </c>
      <c r="AF53" s="770">
        <f>IFERROR(('Attainment by Race Trends'!DU52-'Attainment by Race Trends'!DT52), "-")</f>
        <v>-0.28447169313086818</v>
      </c>
      <c r="AG53" s="770">
        <f>IFERROR(('Attainment by Race Trends'!DW52-'Attainment by Race Trends'!DV52), "-")</f>
        <v>15.829712517314519</v>
      </c>
      <c r="AH53" s="770">
        <f>IFERROR(('Attainment by Race Trends'!DY52-'Attainment by Race Trends'!DX52), "-")</f>
        <v>11.332431788582049</v>
      </c>
      <c r="AI53" s="13"/>
      <c r="AJ53" s="573"/>
      <c r="AK53" s="13"/>
      <c r="AL53" s="573"/>
      <c r="AM53" s="767"/>
      <c r="AN53" s="15"/>
      <c r="AO53" s="15"/>
      <c r="AP53" s="15"/>
    </row>
    <row r="54" spans="1:42">
      <c r="A54" s="280" t="s">
        <v>50</v>
      </c>
      <c r="B54" s="280"/>
      <c r="C54" s="575">
        <f>+'Attainment by Race Trends'!CU53</f>
        <v>95.342608162988839</v>
      </c>
      <c r="D54" s="575">
        <f>+'Attainment by Race Trends'!CW53</f>
        <v>86.679855391709822</v>
      </c>
      <c r="E54" s="575">
        <f>+'Attainment by Race Trends'!CY53</f>
        <v>72.323257346858426</v>
      </c>
      <c r="F54" s="575">
        <f>+'Attainment by Race Trends'!DA53</f>
        <v>86.992498718725258</v>
      </c>
      <c r="G54" s="772" t="str">
        <f>+'Attainment by Race Trends'!DC53</f>
        <v>-</v>
      </c>
      <c r="H54" s="772">
        <f>+'Attainment by Race Trends'!DE53</f>
        <v>85.761601324837102</v>
      </c>
      <c r="I54" s="772">
        <f>+'Attainment by Race Trends'!DG53</f>
        <v>82.382689820801772</v>
      </c>
      <c r="J54" s="772">
        <f>+'Attainment by Race Trends'!DI53</f>
        <v>71.228109148802261</v>
      </c>
      <c r="K54" s="289">
        <f>+'Attainment by Race Trends'!DK53</f>
        <v>34.076635145203902</v>
      </c>
      <c r="L54" s="288">
        <f>+'Attainment by Race Trends'!DM53</f>
        <v>16.573831137550918</v>
      </c>
      <c r="M54" s="288">
        <f>+'Attainment by Race Trends'!DO53</f>
        <v>17.167074395374453</v>
      </c>
      <c r="N54" s="772">
        <f>+'Attainment by Race Trends'!DQ53</f>
        <v>49.031356287564648</v>
      </c>
      <c r="O54" s="772" t="str">
        <f>+'Attainment by Race Trends'!DS53</f>
        <v>-</v>
      </c>
      <c r="P54" s="772">
        <f>+'Attainment by Race Trends'!DU53</f>
        <v>11.581524282679915</v>
      </c>
      <c r="Q54" s="772">
        <f>+'Attainment by Race Trends'!DW53</f>
        <v>24.32477369296139</v>
      </c>
      <c r="R54" s="778">
        <f>+'Attainment by Race Trends'!DX53</f>
        <v>8.1968432483896407</v>
      </c>
      <c r="S54" s="288">
        <f>IFERROR(('Attainment by Race Trends'!CU53-'Attainment by Race Trends'!CT53), "-")</f>
        <v>1.2255640442265161</v>
      </c>
      <c r="T54" s="288">
        <f>IFERROR(('Attainment by Race Trends'!CW53-'Attainment by Race Trends'!CV53), "-")</f>
        <v>4.6728485049685986</v>
      </c>
      <c r="U54" s="288">
        <f>IFERROR(('Attainment by Race Trends'!CY53-'Attainment by Race Trends'!CX53), "-")</f>
        <v>3.2198054803514253</v>
      </c>
      <c r="V54" s="772">
        <f>IFERROR(('Attainment by Race Trends'!DA53-'Attainment by Race Trends'!CZ53), "-")</f>
        <v>3.9214622855194676</v>
      </c>
      <c r="W54" s="772" t="str">
        <f>IFERROR(('Attainment by Race Trends'!DC53-'Attainment by Race Trends'!DB53), "-")</f>
        <v>-</v>
      </c>
      <c r="X54" s="772">
        <f>IFERROR(('Attainment by Race Trends'!DE53-'Attainment by Race Trends'!DD53), "-")</f>
        <v>1.3593453381511154</v>
      </c>
      <c r="Y54" s="772">
        <f>IFERROR(('Attainment by Race Trends'!DG53-'Attainment by Race Trends'!DF53), "-")</f>
        <v>-6.3516322416182902</v>
      </c>
      <c r="Z54" s="778">
        <f>IFERROR(('Attainment by Race Trends'!DI53-'Attainment by Race Trends'!DH53), "-")</f>
        <v>8.8815210290182662</v>
      </c>
      <c r="AA54" s="575">
        <f>IFERROR(('Attainment by Race Trends'!DK53-'Attainment by Race Trends'!DJ53), "-")</f>
        <v>3.2476842218761313</v>
      </c>
      <c r="AB54" s="575">
        <f>IFERROR(('Attainment by Race Trends'!DM53-'Attainment by Race Trends'!DL53), "-")</f>
        <v>1.5008547485485586</v>
      </c>
      <c r="AC54" s="575">
        <f>IFERROR(('Attainment by Race Trends'!DO53-'Attainment by Race Trends'!DN53), "-")</f>
        <v>2.475035034724689</v>
      </c>
      <c r="AD54" s="772">
        <f>IFERROR(('Attainment by Race Trends'!DQ53-'Attainment by Race Trends'!DP53), "-")</f>
        <v>0.78979914233091364</v>
      </c>
      <c r="AE54" s="772" t="str">
        <f>IFERROR(('Attainment by Race Trends'!DS53-'Attainment by Race Trends'!DR53), "-")</f>
        <v>-</v>
      </c>
      <c r="AF54" s="772">
        <f>IFERROR(('Attainment by Race Trends'!DU53-'Attainment by Race Trends'!DT53), "-")</f>
        <v>-4.829854273118773</v>
      </c>
      <c r="AG54" s="772">
        <f>IFERROR(('Attainment by Race Trends'!DW53-'Attainment by Race Trends'!DV53), "-")</f>
        <v>-4.7963643177635547</v>
      </c>
      <c r="AH54" s="772">
        <f>IFERROR(('Attainment by Race Trends'!DY53-'Attainment by Race Trends'!DX53), "-")</f>
        <v>11.705164724261451</v>
      </c>
      <c r="AI54" s="13"/>
      <c r="AJ54" s="573"/>
      <c r="AK54" s="573"/>
      <c r="AL54" s="573"/>
      <c r="AM54" s="767"/>
      <c r="AN54" s="15"/>
      <c r="AO54" s="15"/>
      <c r="AP54" s="15"/>
    </row>
    <row r="55" spans="1:42">
      <c r="A55" s="282" t="s">
        <v>51</v>
      </c>
      <c r="B55" s="282"/>
      <c r="C55" s="573">
        <f>+'Attainment by Race Trends'!CU54</f>
        <v>94.554836646301737</v>
      </c>
      <c r="D55" s="573">
        <f>+'Attainment by Race Trends'!CW54</f>
        <v>87.446557166947883</v>
      </c>
      <c r="E55" s="573">
        <f>+'Attainment by Race Trends'!CY54</f>
        <v>74.771858778982107</v>
      </c>
      <c r="F55" s="573">
        <f>+'Attainment by Race Trends'!DA54</f>
        <v>84.758836958756945</v>
      </c>
      <c r="G55" s="769" t="str">
        <f>+'Attainment by Race Trends'!DC54</f>
        <v>-</v>
      </c>
      <c r="H55" s="769">
        <f>+'Attainment by Race Trends'!DE54</f>
        <v>72.575909587181684</v>
      </c>
      <c r="I55" s="769">
        <f>+'Attainment by Race Trends'!DG54</f>
        <v>83.281765949524072</v>
      </c>
      <c r="J55" s="769">
        <f>+'Attainment by Race Trends'!DI54</f>
        <v>70.379333524686828</v>
      </c>
      <c r="K55" s="112">
        <f>+'Attainment by Race Trends'!DK54</f>
        <v>43.813802611804562</v>
      </c>
      <c r="L55" s="13">
        <f>+'Attainment by Race Trends'!DM54</f>
        <v>26.786448769696126</v>
      </c>
      <c r="M55" s="290">
        <f>+'Attainment by Race Trends'!DO54</f>
        <v>22.615033729786209</v>
      </c>
      <c r="N55" s="769">
        <f>+'Attainment by Race Trends'!DQ54</f>
        <v>58.228137681890082</v>
      </c>
      <c r="O55" s="769" t="str">
        <f>+'Attainment by Race Trends'!DS54</f>
        <v>-</v>
      </c>
      <c r="P55" s="769">
        <f>+'Attainment by Race Trends'!DU54</f>
        <v>19.349198855085721</v>
      </c>
      <c r="Q55" s="769">
        <f>+'Attainment by Race Trends'!DW54</f>
        <v>31.635435932629015</v>
      </c>
      <c r="R55" s="776">
        <f>+'Attainment by Race Trends'!DY54</f>
        <v>18.559368414477628</v>
      </c>
      <c r="S55" s="13">
        <f>IFERROR(('Attainment by Race Trends'!CU54-'Attainment by Race Trends'!CT54), "-")</f>
        <v>1.4932656725248989</v>
      </c>
      <c r="T55" s="13">
        <f>IFERROR(('Attainment by Race Trends'!CW54-'Attainment by Race Trends'!CV54), "-")</f>
        <v>2.3888550550660312</v>
      </c>
      <c r="U55" s="290">
        <f>IFERROR(('Attainment by Race Trends'!CY54-'Attainment by Race Trends'!CX54), "-")</f>
        <v>4.3771095490353957</v>
      </c>
      <c r="V55" s="769">
        <f>IFERROR(('Attainment by Race Trends'!DA54-'Attainment by Race Trends'!CZ54), "-")</f>
        <v>0.68259196770473807</v>
      </c>
      <c r="W55" s="769" t="str">
        <f>IFERROR(('Attainment by Race Trends'!DC54-'Attainment by Race Trends'!DB54), "-")</f>
        <v>-</v>
      </c>
      <c r="X55" s="769">
        <f>IFERROR(('Attainment by Race Trends'!DE54-'Attainment by Race Trends'!DD54), "-")</f>
        <v>-21.108424893185713</v>
      </c>
      <c r="Y55" s="769">
        <f>IFERROR(('Attainment by Race Trends'!DG54-'Attainment by Race Trends'!DF54), "-")</f>
        <v>-364.48805964023899</v>
      </c>
      <c r="Z55" s="776">
        <f>IFERROR(('Attainment by Race Trends'!DI54-'Attainment by Race Trends'!DH54), "-")</f>
        <v>-1540.8834070580763</v>
      </c>
      <c r="AA55" s="573">
        <f>IFERROR(('Attainment by Race Trends'!DK54-'Attainment by Race Trends'!DJ54), "-")</f>
        <v>4.4061485622442547</v>
      </c>
      <c r="AB55" s="573">
        <f>IFERROR(('Attainment by Race Trends'!DM54-'Attainment by Race Trends'!DL54), "-")</f>
        <v>4.2252677446970637</v>
      </c>
      <c r="AC55" s="573">
        <f>IFERROR(('Attainment by Race Trends'!DO54-'Attainment by Race Trends'!DN54), "-")</f>
        <v>4.9476557022269851</v>
      </c>
      <c r="AD55" s="769">
        <f>IFERROR(('Attainment by Race Trends'!DQ54-'Attainment by Race Trends'!DP54), "-")</f>
        <v>3.2476996269965923</v>
      </c>
      <c r="AE55" s="769" t="str">
        <f>IFERROR(('Attainment by Race Trends'!DS54-'Attainment by Race Trends'!DR54), "-")</f>
        <v>-</v>
      </c>
      <c r="AF55" s="769">
        <f>IFERROR(('Attainment by Race Trends'!DU54-'Attainment by Race Trends'!DT54), "-")</f>
        <v>-1.2476949941076469</v>
      </c>
      <c r="AG55" s="769">
        <f>IFERROR(('Attainment by Race Trends'!DW54-'Attainment by Race Trends'!DV54), "-")</f>
        <v>-132.95261310634834</v>
      </c>
      <c r="AH55" s="769">
        <f>IFERROR(('Attainment by Race Trends'!DY54-'Attainment by Race Trends'!DX54), "-")</f>
        <v>-291.48132294613163</v>
      </c>
      <c r="AI55" s="13"/>
      <c r="AJ55" s="573"/>
      <c r="AK55" s="573"/>
      <c r="AL55" s="573"/>
      <c r="AM55" s="767"/>
      <c r="AN55" s="15"/>
      <c r="AO55" s="15"/>
      <c r="AP55" s="15"/>
    </row>
    <row r="56" spans="1:42" ht="18.600000000000001">
      <c r="A56" s="37" t="s">
        <v>81</v>
      </c>
      <c r="B56" s="37"/>
      <c r="C56" s="573">
        <f>(C55/C$7)*100</f>
        <v>100.55044346020954</v>
      </c>
      <c r="D56" s="573">
        <f>(D55/D$7)*100</f>
        <v>99.406105438814365</v>
      </c>
      <c r="E56" s="573">
        <f t="shared" ref="E56:K56" si="3">(E55/E$7)*100</f>
        <v>103.28661939784027</v>
      </c>
      <c r="F56" s="573">
        <f>(F55/F$7)*100</f>
        <v>96.560878375664686</v>
      </c>
      <c r="G56" s="769" t="str">
        <f>+'Attainment by Race Trends'!DC55</f>
        <v>-</v>
      </c>
      <c r="H56" s="769">
        <f>(H55/H$7)*100</f>
        <v>94.08676462045689</v>
      </c>
      <c r="I56" s="769">
        <f>(I55/I$7)*100</f>
        <v>103.34871334271416</v>
      </c>
      <c r="J56" s="769">
        <f>(J55/J$7)*100</f>
        <v>105.08665806668299</v>
      </c>
      <c r="K56" s="796">
        <f t="shared" si="3"/>
        <v>112.7084269740956</v>
      </c>
      <c r="L56" s="573">
        <f>(L55/L$7)*100</f>
        <v>107.74963423268585</v>
      </c>
      <c r="M56" s="573">
        <f>(M55/M$7)*100</f>
        <v>114.71611490408469</v>
      </c>
      <c r="N56" s="769">
        <f>(N55/N$7)*100</f>
        <v>103.51013607938194</v>
      </c>
      <c r="O56" s="769" t="str">
        <f>+'Attainment by Race Trends'!DS55</f>
        <v>-</v>
      </c>
      <c r="P56" s="769">
        <f>(P55/P$7)*100</f>
        <v>120.9701341913171</v>
      </c>
      <c r="Q56" s="769">
        <f>(Q55/Q$7)*100</f>
        <v>116.95182849955484</v>
      </c>
      <c r="R56" s="776">
        <f>(R55/R$7)*100</f>
        <v>119.29012751651078</v>
      </c>
      <c r="S56" s="573"/>
      <c r="T56" s="573"/>
      <c r="U56" s="573"/>
      <c r="V56" s="769"/>
      <c r="W56" s="769"/>
      <c r="X56" s="769"/>
      <c r="Y56" s="769"/>
      <c r="Z56" s="776"/>
      <c r="AA56" s="573"/>
      <c r="AB56" s="573"/>
      <c r="AC56" s="573"/>
      <c r="AD56" s="769"/>
      <c r="AE56" s="769"/>
      <c r="AF56" s="769"/>
      <c r="AG56" s="769"/>
      <c r="AH56" s="769"/>
      <c r="AI56" s="573"/>
      <c r="AJ56" s="573"/>
      <c r="AK56" s="573"/>
      <c r="AL56" s="573"/>
      <c r="AM56" s="705"/>
      <c r="AN56" s="15"/>
      <c r="AO56" s="15"/>
      <c r="AP56" s="15"/>
    </row>
    <row r="57" spans="1:42">
      <c r="A57" s="280" t="s">
        <v>52</v>
      </c>
      <c r="B57" s="280"/>
      <c r="C57" s="574">
        <f>+'Attainment by Race Trends'!CU56</f>
        <v>94.934822088245724</v>
      </c>
      <c r="D57" s="574">
        <f>+'Attainment by Race Trends'!CW56</f>
        <v>88.643001305948005</v>
      </c>
      <c r="E57" s="574">
        <f>+'Attainment by Race Trends'!CY56</f>
        <v>74.786643377534247</v>
      </c>
      <c r="F57" s="574">
        <f>+'Attainment by Race Trends'!DA56</f>
        <v>90.373237395352007</v>
      </c>
      <c r="G57" s="770" t="str">
        <f>+'Attainment by Race Trends'!DC56</f>
        <v>-</v>
      </c>
      <c r="H57" s="770">
        <f>+'Attainment by Race Trends'!DE56</f>
        <v>74.267589388696649</v>
      </c>
      <c r="I57" s="770">
        <f>+'Attainment by Race Trends'!DG56</f>
        <v>84.016108751659687</v>
      </c>
      <c r="J57" s="770">
        <f>+'Attainment by Race Trends'!DI56</f>
        <v>70.544648813494717</v>
      </c>
      <c r="K57" s="287">
        <f>+'Attainment by Race Trends'!DK56</f>
        <v>47.314960417869273</v>
      </c>
      <c r="L57" s="286">
        <f>+'Attainment by Race Trends'!DM56</f>
        <v>26.002216154181014</v>
      </c>
      <c r="M57" s="286">
        <f>+'Attainment by Race Trends'!DO56</f>
        <v>20.864676325017964</v>
      </c>
      <c r="N57" s="770">
        <f>+'Attainment by Race Trends'!DQ56</f>
        <v>66.23216082115637</v>
      </c>
      <c r="O57" s="770" t="str">
        <f>+'Attainment by Race Trends'!DS56</f>
        <v>-</v>
      </c>
      <c r="P57" s="770">
        <f>+'Attainment by Race Trends'!DU56</f>
        <v>28.327566320645904</v>
      </c>
      <c r="Q57" s="770">
        <f>+'Attainment by Race Trends'!DW56</f>
        <v>31.02737256764005</v>
      </c>
      <c r="R57" s="777">
        <f>+'Attainment by Race Trends'!DY56</f>
        <v>16.862432097588869</v>
      </c>
      <c r="S57" s="574">
        <f>IFERROR(('Attainment by Race Trends'!CU56-'Attainment by Race Trends'!CT56), "-")</f>
        <v>0.71710651431067163</v>
      </c>
      <c r="T57" s="574">
        <f>IFERROR(('Attainment by Race Trends'!CW56-'Attainment by Race Trends'!CV56), "-")</f>
        <v>2.4739003081625413</v>
      </c>
      <c r="U57" s="574">
        <f>IFERROR(('Attainment by Race Trends'!CY56-'Attainment by Race Trends'!CX56), "-")</f>
        <v>2.4637084788542296</v>
      </c>
      <c r="V57" s="770">
        <f>IFERROR(('Attainment by Race Trends'!DA56-'Attainment by Race Trends'!CZ56), "-")</f>
        <v>-8.6262698615300337E-2</v>
      </c>
      <c r="W57" s="770" t="str">
        <f>IFERROR(('Attainment by Race Trends'!DC56-'Attainment by Race Trends'!DB56), "-")</f>
        <v>-</v>
      </c>
      <c r="X57" s="770">
        <f>IFERROR(('Attainment by Race Trends'!DE56-'Attainment by Race Trends'!DD56), "-")</f>
        <v>-8.1318832546784279</v>
      </c>
      <c r="Y57" s="770">
        <f>IFERROR(('Attainment by Race Trends'!DG56-'Attainment by Race Trends'!DF56), "-")</f>
        <v>-4.7929285132818791</v>
      </c>
      <c r="Z57" s="777">
        <f>IFERROR(('Attainment by Race Trends'!DI56-'Attainment by Race Trends'!DH56), "-")</f>
        <v>5.0685506473255941</v>
      </c>
      <c r="AA57" s="574">
        <f>IFERROR(('Attainment by Race Trends'!DK56-'Attainment by Race Trends'!DJ56), "-")</f>
        <v>4.0146603016353879</v>
      </c>
      <c r="AB57" s="574">
        <f>IFERROR(('Attainment by Race Trends'!DM56-'Attainment by Race Trends'!DL56), "-")</f>
        <v>6.4790464642990386</v>
      </c>
      <c r="AC57" s="574">
        <f>IFERROR(('Attainment by Race Trends'!DO56-'Attainment by Race Trends'!DN56), "-")</f>
        <v>2.9635509688025969</v>
      </c>
      <c r="AD57" s="770">
        <f>IFERROR(('Attainment by Race Trends'!DQ56-'Attainment by Race Trends'!DP56), "-")</f>
        <v>0.64204618105112843</v>
      </c>
      <c r="AE57" s="770" t="str">
        <f>IFERROR(('Attainment by Race Trends'!DS56-'Attainment by Race Trends'!DR56), "-")</f>
        <v>-</v>
      </c>
      <c r="AF57" s="770">
        <f>IFERROR(('Attainment by Race Trends'!DU56-'Attainment by Race Trends'!DT56), "-")</f>
        <v>11.221435799881235</v>
      </c>
      <c r="AG57" s="770">
        <f>IFERROR(('Attainment by Race Trends'!DW56-'Attainment by Race Trends'!DV56), "-")</f>
        <v>-0.24027834044894547</v>
      </c>
      <c r="AH57" s="770">
        <f>IFERROR(('Attainment by Race Trends'!DY56-'Attainment by Race Trends'!DX56), "-")</f>
        <v>4.3425623654910144</v>
      </c>
      <c r="AI57" s="573"/>
      <c r="AJ57" s="573"/>
      <c r="AK57" s="573"/>
      <c r="AL57" s="573"/>
      <c r="AM57" s="705"/>
      <c r="AN57" s="15"/>
      <c r="AO57" s="15"/>
      <c r="AP57" s="15"/>
    </row>
    <row r="58" spans="1:42">
      <c r="A58" s="280" t="s">
        <v>53</v>
      </c>
      <c r="B58" s="280"/>
      <c r="C58" s="574">
        <f>+'Attainment by Race Trends'!CU57</f>
        <v>94.675094034339054</v>
      </c>
      <c r="D58" s="574">
        <f>+'Attainment by Race Trends'!CW57</f>
        <v>90.36999999999999</v>
      </c>
      <c r="E58" s="574">
        <f>+'Attainment by Race Trends'!CY57</f>
        <v>91.749808135072911</v>
      </c>
      <c r="F58" s="574">
        <f>+'Attainment by Race Trends'!DA57</f>
        <v>92.504820051413887</v>
      </c>
      <c r="G58" s="770" t="str">
        <f>+'Attainment by Race Trends'!DC57</f>
        <v>-</v>
      </c>
      <c r="H58" s="770" t="str">
        <f>+'Attainment by Race Trends'!DE57</f>
        <v>-</v>
      </c>
      <c r="I58" s="770">
        <f>+'Attainment by Race Trends'!DG57</f>
        <v>94.029140905356911</v>
      </c>
      <c r="J58" s="770">
        <f>+'Attainment by Race Trends'!DI57</f>
        <v>0</v>
      </c>
      <c r="K58" s="287">
        <f>+'Attainment by Race Trends'!DK57</f>
        <v>36.048913971875116</v>
      </c>
      <c r="L58" s="286">
        <f>+'Attainment by Race Trends'!DM57</f>
        <v>36.270000000000003</v>
      </c>
      <c r="M58" s="286">
        <f>+'Attainment by Race Trends'!DO57</f>
        <v>35.469429521616782</v>
      </c>
      <c r="N58" s="770">
        <f>+'Attainment by Race Trends'!DQ57</f>
        <v>49.373393316195376</v>
      </c>
      <c r="O58" s="770" t="str">
        <f>+'Attainment by Race Trends'!DS57</f>
        <v>-</v>
      </c>
      <c r="P58" s="770" t="str">
        <f>+'Attainment by Race Trends'!DU57</f>
        <v>-</v>
      </c>
      <c r="Q58" s="770">
        <f>+'Attainment by Race Trends'!DW57</f>
        <v>30.764408318561117</v>
      </c>
      <c r="R58" s="777">
        <f>+'Attainment by Race Trends'!DY57</f>
        <v>0</v>
      </c>
      <c r="S58" s="574">
        <f>IFERROR(('Attainment by Race Trends'!CU57-'Attainment by Race Trends'!CT57), "-")</f>
        <v>2.033523864776754</v>
      </c>
      <c r="T58" s="688">
        <f>IFERROR(('Attainment by Race Trends'!CW57-'Attainment by Race Trends'!CV57), "-")</f>
        <v>10.852073643410833</v>
      </c>
      <c r="U58" s="688">
        <f>IFERROR(('Attainment by Race Trends'!CY57-'Attainment by Race Trends'!CX57), "-")</f>
        <v>2.8443004806650265</v>
      </c>
      <c r="V58" s="770">
        <f>IFERROR(('Attainment by Race Trends'!DA57-'Attainment by Race Trends'!CZ57), "-")</f>
        <v>5.5536204431227105</v>
      </c>
      <c r="W58" s="780" t="str">
        <f>IFERROR(('Attainment by Race Trends'!DC57-'Attainment by Race Trends'!DB57), "-")</f>
        <v>-</v>
      </c>
      <c r="X58" s="780" t="str">
        <f>IFERROR(('Attainment by Race Trends'!DE57-'Attainment by Race Trends'!DD57), "-")</f>
        <v>-</v>
      </c>
      <c r="Y58" s="780">
        <f>IFERROR(('Attainment by Race Trends'!DG57-'Attainment by Race Trends'!DF57), "-")</f>
        <v>5.986015094721381</v>
      </c>
      <c r="Z58" s="781" t="str">
        <f>IFERROR(('Attainment by Race Trends'!DI57-'Attainment by Race Trends'!DH57), "-")</f>
        <v>-</v>
      </c>
      <c r="AA58" s="574">
        <f>IFERROR(('Attainment by Race Trends'!DK57-'Attainment by Race Trends'!DJ57), "-")</f>
        <v>5.7655343837314277</v>
      </c>
      <c r="AB58" s="286">
        <f>IFERROR(('Attainment by Race Trends'!DM57-'Attainment by Race Trends'!DL57), "-")</f>
        <v>16.890155038759691</v>
      </c>
      <c r="AC58" s="574">
        <f>IFERROR(('Attainment by Race Trends'!DO57-'Attainment by Race Trends'!DN57), "-")</f>
        <v>7.763992252568741</v>
      </c>
      <c r="AD58" s="780">
        <f>IFERROR(('Attainment by Race Trends'!DQ57-'Attainment by Race Trends'!DP57), "-")</f>
        <v>7.2402123140736165</v>
      </c>
      <c r="AE58" s="780" t="str">
        <f>IFERROR(('Attainment by Race Trends'!DS57-'Attainment by Race Trends'!DR57), "-")</f>
        <v>-</v>
      </c>
      <c r="AF58" s="780" t="str">
        <f>IFERROR(('Attainment by Race Trends'!DU57-'Attainment by Race Trends'!DT57), "-")</f>
        <v>-</v>
      </c>
      <c r="AG58" s="780">
        <f>IFERROR(('Attainment by Race Trends'!DW57-'Attainment by Race Trends'!DV57), "-")</f>
        <v>9.1447585131136435</v>
      </c>
      <c r="AH58" s="780" t="str">
        <f>IFERROR(('Attainment by Race Trends'!DY57-'Attainment by Race Trends'!DX57), "-")</f>
        <v>-</v>
      </c>
      <c r="AI58" s="13"/>
      <c r="AJ58" s="573"/>
      <c r="AK58" s="13"/>
      <c r="AL58" s="13"/>
      <c r="AM58" s="767"/>
      <c r="AN58" s="15"/>
      <c r="AO58" s="697"/>
      <c r="AP58" s="15"/>
    </row>
    <row r="59" spans="1:42">
      <c r="A59" s="280" t="s">
        <v>54</v>
      </c>
      <c r="B59" s="280"/>
      <c r="C59" s="574">
        <f>+'Attainment by Race Trends'!CU58</f>
        <v>94.98818625697632</v>
      </c>
      <c r="D59" s="574">
        <f>+'Attainment by Race Trends'!CW58</f>
        <v>87.443529055906637</v>
      </c>
      <c r="E59" s="574">
        <f>+'Attainment by Race Trends'!CY58</f>
        <v>72.447058642734191</v>
      </c>
      <c r="F59" s="574">
        <f>+'Attainment by Race Trends'!DA58</f>
        <v>85.604306535626819</v>
      </c>
      <c r="G59" s="770" t="str">
        <f>+'Attainment by Race Trends'!DC58</f>
        <v>-</v>
      </c>
      <c r="H59" s="770">
        <f>+'Attainment by Race Trends'!DE58</f>
        <v>76.533431571191741</v>
      </c>
      <c r="I59" s="770">
        <f>+'Attainment by Race Trends'!DG58</f>
        <v>79.701562190099523</v>
      </c>
      <c r="J59" s="770">
        <f>+'Attainment by Race Trends'!DI58</f>
        <v>70.998657308023184</v>
      </c>
      <c r="K59" s="287">
        <f>+'Attainment by Race Trends'!DK58</f>
        <v>50.176930024069279</v>
      </c>
      <c r="L59" s="286">
        <f>+'Attainment by Race Trends'!DM58</f>
        <v>31.843595406216764</v>
      </c>
      <c r="M59" s="286">
        <f>+'Attainment by Race Trends'!DO58</f>
        <v>23.117661974428323</v>
      </c>
      <c r="N59" s="770">
        <f>+'Attainment by Race Trends'!DQ58</f>
        <v>64.103584615697471</v>
      </c>
      <c r="O59" s="770" t="str">
        <f>+'Attainment by Race Trends'!DS58</f>
        <v>-</v>
      </c>
      <c r="P59" s="770">
        <f>+'Attainment by Race Trends'!DU58</f>
        <v>20.528642475594033</v>
      </c>
      <c r="Q59" s="770">
        <f>+'Attainment by Race Trends'!DW58</f>
        <v>31.653308132955328</v>
      </c>
      <c r="R59" s="777">
        <f>+'Attainment by Race Trends'!DY58</f>
        <v>21.85974898896098</v>
      </c>
      <c r="S59" s="574">
        <f>IFERROR(('Attainment by Race Trends'!CU58-'Attainment by Race Trends'!CT58), "-")</f>
        <v>1.0909547027742121</v>
      </c>
      <c r="T59" s="574">
        <f>IFERROR(('Attainment by Race Trends'!CW58-'Attainment by Race Trends'!CV58), "-")</f>
        <v>2.4029583775142811</v>
      </c>
      <c r="U59" s="574">
        <f>IFERROR(('Attainment by Race Trends'!CY58-'Attainment by Race Trends'!CX58), "-")</f>
        <v>3.1751493023937059</v>
      </c>
      <c r="V59" s="770">
        <f>IFERROR(('Attainment by Race Trends'!DA58-'Attainment by Race Trends'!CZ58), "-")</f>
        <v>0.5202008609984432</v>
      </c>
      <c r="W59" s="770" t="str">
        <f>IFERROR(('Attainment by Race Trends'!DC58-'Attainment by Race Trends'!DB58), "-")</f>
        <v>-</v>
      </c>
      <c r="X59" s="770">
        <f>IFERROR(('Attainment by Race Trends'!DE58-'Attainment by Race Trends'!DD58), "-")</f>
        <v>-5.1217408426013691</v>
      </c>
      <c r="Y59" s="770">
        <f>IFERROR(('Attainment by Race Trends'!DG58-'Attainment by Race Trends'!DF58), "-")</f>
        <v>1.2508999525457511</v>
      </c>
      <c r="Z59" s="777">
        <f>IFERROR(('Attainment by Race Trends'!DI58-'Attainment by Race Trends'!DH58), "-")</f>
        <v>2.1387370305839539</v>
      </c>
      <c r="AA59" s="574">
        <f>IFERROR(('Attainment by Race Trends'!DK58-'Attainment by Race Trends'!DJ58), "-")</f>
        <v>4.1400493744803413</v>
      </c>
      <c r="AB59" s="574">
        <f>IFERROR(('Attainment by Race Trends'!DM58-'Attainment by Race Trends'!DL58), "-")</f>
        <v>6.862813095981565</v>
      </c>
      <c r="AC59" s="574">
        <f>IFERROR(('Attainment by Race Trends'!DO58-'Attainment by Race Trends'!DN58), "-")</f>
        <v>5.1607540964901695</v>
      </c>
      <c r="AD59" s="770">
        <f>IFERROR(('Attainment by Race Trends'!DQ58-'Attainment by Race Trends'!DP58), "-")</f>
        <v>4.9419584028471135</v>
      </c>
      <c r="AE59" s="770" t="str">
        <f>IFERROR(('Attainment by Race Trends'!DS58-'Attainment by Race Trends'!DR58), "-")</f>
        <v>-</v>
      </c>
      <c r="AF59" s="770">
        <f>IFERROR(('Attainment by Race Trends'!DU58-'Attainment by Race Trends'!DT58), "-")</f>
        <v>-1.9656103979691864</v>
      </c>
      <c r="AG59" s="770">
        <f>IFERROR(('Attainment by Race Trends'!DW58-'Attainment by Race Trends'!DV58), "-")</f>
        <v>0.5728601111504652</v>
      </c>
      <c r="AH59" s="770">
        <f>IFERROR(('Attainment by Race Trends'!DY58-'Attainment by Race Trends'!DX58), "-")</f>
        <v>9.4915650029506988</v>
      </c>
      <c r="AI59" s="573"/>
      <c r="AJ59" s="573"/>
      <c r="AK59" s="573"/>
      <c r="AL59" s="573"/>
      <c r="AM59" s="705"/>
      <c r="AN59" s="15"/>
      <c r="AO59" s="697"/>
      <c r="AP59" s="15"/>
    </row>
    <row r="60" spans="1:42">
      <c r="A60" s="280" t="s">
        <v>55</v>
      </c>
      <c r="B60" s="280"/>
      <c r="C60" s="574">
        <f>+'Attainment by Race Trends'!CU59</f>
        <v>95.022646972876771</v>
      </c>
      <c r="D60" s="574">
        <f>+'Attainment by Race Trends'!CW59</f>
        <v>90.299697114618198</v>
      </c>
      <c r="E60" s="574">
        <f>+'Attainment by Race Trends'!CY59</f>
        <v>84.895312547344176</v>
      </c>
      <c r="F60" s="574">
        <f>+'Attainment by Race Trends'!DA59</f>
        <v>89.465384615384608</v>
      </c>
      <c r="G60" s="770" t="str">
        <f>+'Attainment by Race Trends'!DC59</f>
        <v>-</v>
      </c>
      <c r="H60" s="770" t="str">
        <f>+'Attainment by Race Trends'!DE59</f>
        <v>-</v>
      </c>
      <c r="I60" s="770">
        <f>+'Attainment by Race Trends'!DG59</f>
        <v>91.635374034850841</v>
      </c>
      <c r="J60" s="770">
        <f>+'Attainment by Race Trends'!DI59</f>
        <v>82.020111061083597</v>
      </c>
      <c r="K60" s="287">
        <f>+'Attainment by Race Trends'!DK59</f>
        <v>40.261358906923824</v>
      </c>
      <c r="L60" s="286">
        <f>+'Attainment by Race Trends'!DM59</f>
        <v>23.585206440299697</v>
      </c>
      <c r="M60" s="286">
        <f>+'Attainment by Race Trends'!DO59</f>
        <v>30.342696118534679</v>
      </c>
      <c r="N60" s="770">
        <f>+'Attainment by Race Trends'!DQ59</f>
        <v>60.842307692307699</v>
      </c>
      <c r="O60" s="770" t="str">
        <f>+'Attainment by Race Trends'!DS59</f>
        <v>-</v>
      </c>
      <c r="P60" s="770" t="str">
        <f>+'Attainment by Race Trends'!DU59</f>
        <v>-</v>
      </c>
      <c r="Q60" s="770">
        <f>+'Attainment by Race Trends'!DW59</f>
        <v>36.224209948947298</v>
      </c>
      <c r="R60" s="777">
        <f>+'Attainment by Race Trends'!DY59</f>
        <v>32.552904097253489</v>
      </c>
      <c r="S60" s="574">
        <f>IFERROR(('Attainment by Race Trends'!CU59-'Attainment by Race Trends'!CT59), "-")</f>
        <v>1.5646486903746109</v>
      </c>
      <c r="T60" s="687">
        <f>IFERROR(('Attainment by Race Trends'!CW59-'Attainment by Race Trends'!CV59), "-")</f>
        <v>1.5719876070879337</v>
      </c>
      <c r="U60" s="574">
        <f>IFERROR(('Attainment by Race Trends'!CY59-'Attainment by Race Trends'!CX59), "-")</f>
        <v>8.7245462275712384</v>
      </c>
      <c r="V60" s="770">
        <f>IFERROR(('Attainment by Race Trends'!DA59-'Attainment by Race Trends'!CZ59), "-")</f>
        <v>-0.60679233455718418</v>
      </c>
      <c r="W60" s="770" t="str">
        <f>IFERROR(('Attainment by Race Trends'!DC59-'Attainment by Race Trends'!DB59), "-")</f>
        <v>-</v>
      </c>
      <c r="X60" s="770" t="str">
        <f>IFERROR(('Attainment by Race Trends'!DE59-'Attainment by Race Trends'!DD59), "-")</f>
        <v>-</v>
      </c>
      <c r="Y60" s="770">
        <f>IFERROR(('Attainment by Race Trends'!DG59-'Attainment by Race Trends'!DF59), "-")</f>
        <v>1.8615757313635726</v>
      </c>
      <c r="Z60" s="777">
        <f>IFERROR(('Attainment by Race Trends'!DI59-'Attainment by Race Trends'!DH59), "-")</f>
        <v>0.31008887919209371</v>
      </c>
      <c r="AA60" s="574">
        <f>IFERROR(('Attainment by Race Trends'!DK59-'Attainment by Race Trends'!DJ59), "-")</f>
        <v>3.7603102752769288</v>
      </c>
      <c r="AB60" s="286">
        <f>IFERROR(('Attainment by Race Trends'!DM59-'Attainment by Race Trends'!DL59), "-")</f>
        <v>-5.8243842462012729</v>
      </c>
      <c r="AC60" s="574">
        <f>IFERROR(('Attainment by Race Trends'!DO59-'Attainment by Race Trends'!DN59), "-")</f>
        <v>1.1917973484306117</v>
      </c>
      <c r="AD60" s="770">
        <f>IFERROR(('Attainment by Race Trends'!DQ59-'Attainment by Race Trends'!DP59), "-")</f>
        <v>6.0204217784543772</v>
      </c>
      <c r="AE60" s="770" t="str">
        <f>IFERROR(('Attainment by Race Trends'!DS59-'Attainment by Race Trends'!DR59), "-")</f>
        <v>-</v>
      </c>
      <c r="AF60" s="770" t="str">
        <f>IFERROR(('Attainment by Race Trends'!DU59-'Attainment by Race Trends'!DT59), "-")</f>
        <v>-</v>
      </c>
      <c r="AG60" s="770">
        <f>IFERROR(('Attainment by Race Trends'!DW59-'Attainment by Race Trends'!DV59), "-")</f>
        <v>3.3699843755888352</v>
      </c>
      <c r="AH60" s="770">
        <f>IFERROR(('Attainment by Race Trends'!DY59-'Attainment by Race Trends'!DX59), "-")</f>
        <v>-4.9143271993788957</v>
      </c>
      <c r="AI60" s="573"/>
      <c r="AJ60" s="573"/>
      <c r="AK60" s="13"/>
      <c r="AL60" s="573"/>
      <c r="AM60" s="705"/>
      <c r="AN60" s="15"/>
      <c r="AO60" s="698"/>
      <c r="AP60" s="15"/>
    </row>
    <row r="61" spans="1:42">
      <c r="A61" s="37" t="s">
        <v>56</v>
      </c>
      <c r="B61" s="37"/>
      <c r="C61" s="573">
        <f>+'Attainment by Race Trends'!CU60</f>
        <v>95.28404515178886</v>
      </c>
      <c r="D61" s="573">
        <f>+'Attainment by Race Trends'!CW60</f>
        <v>90.332669748566857</v>
      </c>
      <c r="E61" s="573">
        <f>+'Attainment by Race Trends'!CY60</f>
        <v>77.257823074955894</v>
      </c>
      <c r="F61" s="573">
        <f>+'Attainment by Race Trends'!DA60</f>
        <v>92.99589069676729</v>
      </c>
      <c r="G61" s="769" t="str">
        <f>+'Attainment by Race Trends'!DC60</f>
        <v>-</v>
      </c>
      <c r="H61" s="769">
        <f>+'Attainment by Race Trends'!DE60</f>
        <v>74.08145017070396</v>
      </c>
      <c r="I61" s="769">
        <f>+'Attainment by Race Trends'!DG60</f>
        <v>84.328990668529954</v>
      </c>
      <c r="J61" s="769">
        <f>+'Attainment by Race Trends'!DI60</f>
        <v>73.103688599532845</v>
      </c>
      <c r="K61" s="112">
        <f>+'Attainment by Race Trends'!DK60</f>
        <v>47.899165973312925</v>
      </c>
      <c r="L61" s="13">
        <f>+'Attainment by Race Trends'!DM60</f>
        <v>28.708629444133454</v>
      </c>
      <c r="M61" s="13">
        <f>+'Attainment by Race Trends'!DO60</f>
        <v>22.778419373176678</v>
      </c>
      <c r="N61" s="769">
        <f>+'Attainment by Race Trends'!DQ60</f>
        <v>71.860948919455851</v>
      </c>
      <c r="O61" s="769" t="str">
        <f>+'Attainment by Race Trends'!DS60</f>
        <v>-</v>
      </c>
      <c r="P61" s="769">
        <f>+'Attainment by Race Trends'!DU60</f>
        <v>17.358966021785076</v>
      </c>
      <c r="Q61" s="769">
        <f>+'Attainment by Race Trends'!DW60</f>
        <v>31.738718838750398</v>
      </c>
      <c r="R61" s="776">
        <f>+'Attainment by Race Trends'!DY60</f>
        <v>17.693788620579014</v>
      </c>
      <c r="S61" s="573">
        <f>IFERROR(('Attainment by Race Trends'!CU60-'Attainment by Race Trends'!CT60), "-")</f>
        <v>1.5277271402529209</v>
      </c>
      <c r="T61" s="573">
        <f>IFERROR(('Attainment by Race Trends'!CW60-'Attainment by Race Trends'!CV60), "-")</f>
        <v>2.1267549139501654</v>
      </c>
      <c r="U61" s="573">
        <f>IFERROR(('Attainment by Race Trends'!CY60-'Attainment by Race Trends'!CX60), "-")</f>
        <v>4.3883118345506489</v>
      </c>
      <c r="V61" s="769">
        <f>IFERROR(('Attainment by Race Trends'!DA60-'Attainment by Race Trends'!CZ60), "-")</f>
        <v>3.9942729276759792E-2</v>
      </c>
      <c r="W61" s="769" t="str">
        <f>IFERROR(('Attainment by Race Trends'!DC60-'Attainment by Race Trends'!DB60), "-")</f>
        <v>-</v>
      </c>
      <c r="X61" s="769">
        <f>IFERROR(('Attainment by Race Trends'!DE60-'Attainment by Race Trends'!DD60), "-")</f>
        <v>0.52194964415062373</v>
      </c>
      <c r="Y61" s="769">
        <f>IFERROR(('Attainment by Race Trends'!DG60-'Attainment by Race Trends'!DF60), "-")</f>
        <v>-2.3182924867339665</v>
      </c>
      <c r="Z61" s="776">
        <f>IFERROR(('Attainment by Race Trends'!DI60-'Attainment by Race Trends'!DH60), "-")</f>
        <v>4.0684046462489789</v>
      </c>
      <c r="AA61" s="573">
        <f>IFERROR(('Attainment by Race Trends'!DK60-'Attainment by Race Trends'!DJ60), "-")</f>
        <v>4.8716611634718845</v>
      </c>
      <c r="AB61" s="13">
        <f>IFERROR(('Attainment by Race Trends'!DM60-'Attainment by Race Trends'!DL60), "-")</f>
        <v>5.2556785717519006</v>
      </c>
      <c r="AC61" s="573">
        <f>IFERROR(('Attainment by Race Trends'!DO60-'Attainment by Race Trends'!DN60), "-")</f>
        <v>5.4672225120592621</v>
      </c>
      <c r="AD61" s="769">
        <f>IFERROR(('Attainment by Race Trends'!DQ60-'Attainment by Race Trends'!DP60), "-")</f>
        <v>2.9337313367007596</v>
      </c>
      <c r="AE61" s="769" t="str">
        <f>IFERROR(('Attainment by Race Trends'!DS60-'Attainment by Race Trends'!DR60), "-")</f>
        <v>-</v>
      </c>
      <c r="AF61" s="769">
        <f>IFERROR(('Attainment by Race Trends'!DU60-'Attainment by Race Trends'!DT60), "-")</f>
        <v>-1.8677527987354594</v>
      </c>
      <c r="AG61" s="769">
        <f>IFERROR(('Attainment by Race Trends'!DW60-'Attainment by Race Trends'!DV60), "-")</f>
        <v>-3.9621245431412895</v>
      </c>
      <c r="AH61" s="769">
        <f>IFERROR(('Attainment by Race Trends'!DY60-'Attainment by Race Trends'!DX60), "-")</f>
        <v>6.1640973358851845</v>
      </c>
      <c r="AI61" s="573"/>
      <c r="AJ61" s="573"/>
      <c r="AK61" s="13"/>
      <c r="AL61" s="573"/>
      <c r="AM61" s="705"/>
      <c r="AN61" s="15"/>
      <c r="AO61" s="698"/>
      <c r="AP61" s="15"/>
    </row>
    <row r="62" spans="1:42">
      <c r="A62" s="37" t="s">
        <v>57</v>
      </c>
      <c r="B62" s="37"/>
      <c r="C62" s="573">
        <f>+'Attainment by Race Trends'!CU61</f>
        <v>94.378097278545383</v>
      </c>
      <c r="D62" s="573">
        <f>+'Attainment by Race Trends'!CW61</f>
        <v>85.904298199196333</v>
      </c>
      <c r="E62" s="573">
        <f>+'Attainment by Race Trends'!CY61</f>
        <v>73.554896446212609</v>
      </c>
      <c r="F62" s="573">
        <f>+'Attainment by Race Trends'!DA61</f>
        <v>79.796983437996047</v>
      </c>
      <c r="G62" s="769" t="str">
        <f>+'Attainment by Race Trends'!DC61</f>
        <v>-</v>
      </c>
      <c r="H62" s="769">
        <f>+'Attainment by Race Trends'!DE61</f>
        <v>70.696138677428237</v>
      </c>
      <c r="I62" s="769">
        <f>+'Attainment by Race Trends'!DG61</f>
        <v>81.929931867451216</v>
      </c>
      <c r="J62" s="769">
        <f>+'Attainment by Race Trends'!DI61</f>
        <v>69.315234458220274</v>
      </c>
      <c r="K62" s="112">
        <f>+'Attainment by Race Trends'!DK61</f>
        <v>46.609754743664631</v>
      </c>
      <c r="L62" s="13">
        <f>+'Attainment by Race Trends'!DM61</f>
        <v>27.562248854860847</v>
      </c>
      <c r="M62" s="13">
        <f>+'Attainment by Race Trends'!DO61</f>
        <v>23.306741914005325</v>
      </c>
      <c r="N62" s="769">
        <f>+'Attainment by Race Trends'!DQ61</f>
        <v>49.445061888159799</v>
      </c>
      <c r="O62" s="769" t="str">
        <f>+'Attainment by Race Trends'!DS61</f>
        <v>-</v>
      </c>
      <c r="P62" s="769">
        <f>+'Attainment by Race Trends'!DU61</f>
        <v>19.030148976035431</v>
      </c>
      <c r="Q62" s="769">
        <f>+'Attainment by Race Trends'!DW61</f>
        <v>32.888665221430784</v>
      </c>
      <c r="R62" s="776">
        <f>+'Attainment by Race Trends'!DY61</f>
        <v>19.061894180110798</v>
      </c>
      <c r="S62" s="573">
        <f>IFERROR(('Attainment by Race Trends'!CU61-'Attainment by Race Trends'!CT61), "-")</f>
        <v>1.3297577447605278</v>
      </c>
      <c r="T62" s="573">
        <f>IFERROR(('Attainment by Race Trends'!CW61-'Attainment by Race Trends'!CV61), "-")</f>
        <v>2.4068313273505169</v>
      </c>
      <c r="U62" s="573">
        <f>IFERROR(('Attainment by Race Trends'!CY61-'Attainment by Race Trends'!CX61), "-")</f>
        <v>4.6259539431018908</v>
      </c>
      <c r="V62" s="769">
        <f>IFERROR(('Attainment by Race Trends'!DA61-'Attainment by Race Trends'!CZ61), "-")</f>
        <v>1.0380357666206947</v>
      </c>
      <c r="W62" s="769" t="str">
        <f>IFERROR(('Attainment by Race Trends'!DC61-'Attainment by Race Trends'!DB61), "-")</f>
        <v>-</v>
      </c>
      <c r="X62" s="769">
        <f>IFERROR(('Attainment by Race Trends'!DE61-'Attainment by Race Trends'!DD61), "-")</f>
        <v>-2.7239707358900063</v>
      </c>
      <c r="Y62" s="769">
        <f>IFERROR(('Attainment by Race Trends'!DG61-'Attainment by Race Trends'!DF61), "-")</f>
        <v>81.929931867451216</v>
      </c>
      <c r="Z62" s="776">
        <f>IFERROR(('Attainment by Race Trends'!DI61-'Attainment by Race Trends'!DH61), "-")</f>
        <v>4.1810292503567013</v>
      </c>
      <c r="AA62" s="573">
        <f>IFERROR(('Attainment by Race Trends'!DK61-'Attainment by Race Trends'!DJ61), "-")</f>
        <v>4.5467428971936172</v>
      </c>
      <c r="AB62" s="573">
        <f>IFERROR(('Attainment by Race Trends'!DM61-'Attainment by Race Trends'!DL61), "-")</f>
        <v>4.0241502554626969</v>
      </c>
      <c r="AC62" s="573">
        <f>IFERROR(('Attainment by Race Trends'!DO61-'Attainment by Race Trends'!DN61), "-")</f>
        <v>5.1713646024936395</v>
      </c>
      <c r="AD62" s="769">
        <f>IFERROR(('Attainment by Race Trends'!DQ61-'Attainment by Race Trends'!DP61), "-")</f>
        <v>3.2960319310278337</v>
      </c>
      <c r="AE62" s="769" t="str">
        <f>IFERROR(('Attainment by Race Trends'!DS61-'Attainment by Race Trends'!DR61), "-")</f>
        <v>-</v>
      </c>
      <c r="AF62" s="769">
        <f>IFERROR(('Attainment by Race Trends'!DU61-'Attainment by Race Trends'!DT61), "-")</f>
        <v>2.9535177324545572</v>
      </c>
      <c r="AG62" s="769">
        <f>IFERROR(('Attainment by Race Trends'!DW61-'Attainment by Race Trends'!DV61), "-")</f>
        <v>32.888665221430784</v>
      </c>
      <c r="AH62" s="769">
        <f>IFERROR(('Attainment by Race Trends'!DY61-'Attainment by Race Trends'!DX61), "-")</f>
        <v>5.5249193137778096</v>
      </c>
      <c r="AI62" s="573"/>
      <c r="AJ62" s="573"/>
      <c r="AK62" s="573"/>
      <c r="AL62" s="573"/>
      <c r="AM62" s="705"/>
      <c r="AN62" s="15"/>
      <c r="AO62" s="697"/>
      <c r="AP62" s="15"/>
    </row>
    <row r="63" spans="1:42">
      <c r="A63" s="37" t="s">
        <v>58</v>
      </c>
      <c r="B63" s="37"/>
      <c r="C63" s="573">
        <f>+'Attainment by Race Trends'!CU62</f>
        <v>94.082252484241451</v>
      </c>
      <c r="D63" s="573">
        <f>+'Attainment by Race Trends'!CW62</f>
        <v>87.954933608148465</v>
      </c>
      <c r="E63" s="573">
        <f>+'Attainment by Race Trends'!CY62</f>
        <v>76.146810712811941</v>
      </c>
      <c r="F63" s="573">
        <f>+'Attainment by Race Trends'!DA62</f>
        <v>83.375286356142936</v>
      </c>
      <c r="G63" s="769" t="str">
        <f>+'Attainment by Race Trends'!DC62</f>
        <v>-</v>
      </c>
      <c r="H63" s="769">
        <f>+'Attainment by Race Trends'!DE62</f>
        <v>75.806131232205516</v>
      </c>
      <c r="I63" s="769">
        <f>+'Attainment by Race Trends'!DG62</f>
        <v>86.619892330773979</v>
      </c>
      <c r="J63" s="769">
        <f>+'Attainment by Race Trends'!DI62</f>
        <v>71.722882754163052</v>
      </c>
      <c r="K63" s="112">
        <f>+'Attainment by Race Trends'!DK62</f>
        <v>36.286865849832878</v>
      </c>
      <c r="L63" s="13">
        <f>+'Attainment by Race Trends'!DM62</f>
        <v>21.89927457328335</v>
      </c>
      <c r="M63" s="13">
        <f>+'Attainment by Race Trends'!DO62</f>
        <v>20.028175588372584</v>
      </c>
      <c r="N63" s="769">
        <f>+'Attainment by Race Trends'!DQ62</f>
        <v>57.360538058987075</v>
      </c>
      <c r="O63" s="769" t="str">
        <f>+'Attainment by Race Trends'!DS62</f>
        <v>-</v>
      </c>
      <c r="P63" s="769">
        <f>+'Attainment by Race Trends'!DU62</f>
        <v>18.201681785075813</v>
      </c>
      <c r="Q63" s="769">
        <f>+'Attainment by Race Trends'!DW62</f>
        <v>28.706424852175449</v>
      </c>
      <c r="R63" s="776">
        <f>+'Attainment by Race Trends'!DY62</f>
        <v>16.620230987736218</v>
      </c>
      <c r="S63" s="573">
        <f>IFERROR(('Attainment by Race Trends'!CU62-'Attainment by Race Trends'!CT62), "-")</f>
        <v>1.8680611837309442</v>
      </c>
      <c r="T63" s="573">
        <f>IFERROR(('Attainment by Race Trends'!CW62-'Attainment by Race Trends'!CV62), "-")</f>
        <v>2.3808723626134878</v>
      </c>
      <c r="U63" s="573">
        <f>IFERROR(('Attainment by Race Trends'!CY62-'Attainment by Race Trends'!CX62), "-")</f>
        <v>5.8330715382410006</v>
      </c>
      <c r="V63" s="769">
        <f>IFERROR(('Attainment by Race Trends'!DA62-'Attainment by Race Trends'!CZ62), "-")</f>
        <v>0.32982567703808741</v>
      </c>
      <c r="W63" s="769" t="str">
        <f>IFERROR(('Attainment by Race Trends'!DC62-'Attainment by Race Trends'!DB62), "-")</f>
        <v>-</v>
      </c>
      <c r="X63" s="769">
        <f>IFERROR(('Attainment by Race Trends'!DE62-'Attainment by Race Trends'!DD62), "-")</f>
        <v>8.2112112692474426</v>
      </c>
      <c r="Y63" s="769">
        <f>IFERROR(('Attainment by Race Trends'!DG62-'Attainment by Race Trends'!DF62), "-")</f>
        <v>-1.3310304880179586</v>
      </c>
      <c r="Z63" s="776">
        <f>IFERROR(('Attainment by Race Trends'!DI62-'Attainment by Race Trends'!DH62), "-")</f>
        <v>5.4754199489149897</v>
      </c>
      <c r="AA63" s="573">
        <f>IFERROR(('Attainment by Race Trends'!DK62-'Attainment by Race Trends'!DJ62), "-")</f>
        <v>4.1153754196659378</v>
      </c>
      <c r="AB63" s="573">
        <f>IFERROR(('Attainment by Race Trends'!DM62-'Attainment by Race Trends'!DL62), "-")</f>
        <v>2.3956788633139716</v>
      </c>
      <c r="AC63" s="573">
        <f>IFERROR(('Attainment by Race Trends'!DO62-'Attainment by Race Trends'!DN62), "-")</f>
        <v>4.5421283635949088</v>
      </c>
      <c r="AD63" s="769">
        <f>IFERROR(('Attainment by Race Trends'!DQ62-'Attainment by Race Trends'!DP62), "-")</f>
        <v>2.0960905685216673</v>
      </c>
      <c r="AE63" s="769" t="str">
        <f>IFERROR(('Attainment by Race Trends'!DS62-'Attainment by Race Trends'!DR62), "-")</f>
        <v>-</v>
      </c>
      <c r="AF63" s="769">
        <f>IFERROR(('Attainment by Race Trends'!DU62-'Attainment by Race Trends'!DT62), "-")</f>
        <v>4.4763212876555194</v>
      </c>
      <c r="AG63" s="769">
        <f>IFERROR(('Attainment by Race Trends'!DW62-'Attainment by Race Trends'!DV62), "-")</f>
        <v>-0.71810405851118375</v>
      </c>
      <c r="AH63" s="769">
        <f>IFERROR(('Attainment by Race Trends'!DY62-'Attainment by Race Trends'!DX62), "-")</f>
        <v>7.0922364004183542</v>
      </c>
      <c r="AI63" s="573"/>
      <c r="AJ63" s="573"/>
      <c r="AK63" s="573"/>
      <c r="AL63" s="573"/>
      <c r="AM63" s="705"/>
      <c r="AN63" s="15"/>
      <c r="AO63" s="697"/>
      <c r="AP63" s="15"/>
    </row>
    <row r="64" spans="1:42">
      <c r="A64" s="37" t="s">
        <v>59</v>
      </c>
      <c r="B64" s="37"/>
      <c r="C64" s="573">
        <f>+'Attainment by Race Trends'!CU63</f>
        <v>93.330556649576707</v>
      </c>
      <c r="D64" s="573">
        <f>+'Attainment by Race Trends'!CW63</f>
        <v>82.910111059694586</v>
      </c>
      <c r="E64" s="573">
        <f>+'Attainment by Race Trends'!CY63</f>
        <v>70.696437268197656</v>
      </c>
      <c r="F64" s="573">
        <f>+'Attainment by Race Trends'!DA63</f>
        <v>86.3507718696398</v>
      </c>
      <c r="G64" s="769" t="str">
        <f>+'Attainment by Race Trends'!DC63</f>
        <v>-</v>
      </c>
      <c r="H64" s="769" t="str">
        <f>+'Attainment by Race Trends'!DE63</f>
        <v>-</v>
      </c>
      <c r="I64" s="769">
        <f>+'Attainment by Race Trends'!DG63</f>
        <v>80.318163963862858</v>
      </c>
      <c r="J64" s="769">
        <f>+'Attainment by Race Trends'!DI63</f>
        <v>64.714574451823296</v>
      </c>
      <c r="K64" s="112">
        <f>+'Attainment by Race Trends'!DK63</f>
        <v>41.126404171299313</v>
      </c>
      <c r="L64" s="13">
        <f>+'Attainment by Race Trends'!DM63</f>
        <v>22.642873669597407</v>
      </c>
      <c r="M64" s="13">
        <f>+'Attainment by Race Trends'!DO63</f>
        <v>15.644551005881691</v>
      </c>
      <c r="N64" s="769">
        <f>+'Attainment by Race Trends'!DQ63</f>
        <v>46.916809605488851</v>
      </c>
      <c r="O64" s="769" t="str">
        <f>+'Attainment by Race Trends'!DS63</f>
        <v>-</v>
      </c>
      <c r="P64" s="769" t="str">
        <f>+'Attainment by Race Trends'!DU63</f>
        <v>-</v>
      </c>
      <c r="Q64" s="769">
        <f>+'Attainment by Race Trends'!DW63</f>
        <v>22.466472139610573</v>
      </c>
      <c r="R64" s="776">
        <f>+'Attainment by Race Trends'!DY63</f>
        <v>15.804134042155679</v>
      </c>
      <c r="S64" s="573">
        <f>IFERROR(('Attainment by Race Trends'!CU63-'Attainment by Race Trends'!CT63), "-")</f>
        <v>2.1552060006797547</v>
      </c>
      <c r="T64" s="573">
        <f>IFERROR(('Attainment by Race Trends'!CW63-'Attainment by Race Trends'!CV63), "-")</f>
        <v>-2.1547615976816701</v>
      </c>
      <c r="U64" s="573">
        <f>IFERROR(('Attainment by Race Trends'!CY63-'Attainment by Race Trends'!CX63), "-")</f>
        <v>-1.4329313403349175</v>
      </c>
      <c r="V64" s="769">
        <f>IFERROR(('Attainment by Race Trends'!DA63-'Attainment by Race Trends'!CZ63), "-")</f>
        <v>-4.5495057490091284</v>
      </c>
      <c r="W64" s="769" t="str">
        <f>IFERROR(('Attainment by Race Trends'!DC63-'Attainment by Race Trends'!DB63), "-")</f>
        <v>-</v>
      </c>
      <c r="X64" s="769" t="str">
        <f>IFERROR(('Attainment by Race Trends'!DE63-'Attainment by Race Trends'!DD63), "-")</f>
        <v>-</v>
      </c>
      <c r="Y64" s="769">
        <f>IFERROR(('Attainment by Race Trends'!DG63-'Attainment by Race Trends'!DF63), "-")</f>
        <v>-2.6335998950284392</v>
      </c>
      <c r="Z64" s="776">
        <f>IFERROR(('Attainment by Race Trends'!DI63-'Attainment by Race Trends'!DH63), "-")</f>
        <v>-0.74205527687368544</v>
      </c>
      <c r="AA64" s="573">
        <f>IFERROR(('Attainment by Race Trends'!DK63-'Attainment by Race Trends'!DJ63), "-")</f>
        <v>3.5773657265559891</v>
      </c>
      <c r="AB64" s="573">
        <f>IFERROR(('Attainment by Race Trends'!DM63-'Attainment by Race Trends'!DL63), "-")</f>
        <v>1.7706968315387819</v>
      </c>
      <c r="AC64" s="573">
        <f>IFERROR(('Attainment by Race Trends'!DO63-'Attainment by Race Trends'!DN63), "-")</f>
        <v>2.4139922722031564</v>
      </c>
      <c r="AD64" s="769">
        <f>IFERROR(('Attainment by Race Trends'!DQ63-'Attainment by Race Trends'!DP63), "-")</f>
        <v>-3.072173781458666</v>
      </c>
      <c r="AE64" s="769" t="str">
        <f>IFERROR(('Attainment by Race Trends'!DS63-'Attainment by Race Trends'!DR63), "-")</f>
        <v>-</v>
      </c>
      <c r="AF64" s="769" t="str">
        <f>IFERROR(('Attainment by Race Trends'!DU63-'Attainment by Race Trends'!DT63), "-")</f>
        <v>-</v>
      </c>
      <c r="AG64" s="769">
        <f>IFERROR(('Attainment by Race Trends'!DW63-'Attainment by Race Trends'!DV63), "-")</f>
        <v>-4.905738083571574</v>
      </c>
      <c r="AH64" s="769">
        <f>IFERROR(('Attainment by Race Trends'!DY63-'Attainment by Race Trends'!DX63), "-")</f>
        <v>3.2560020060603261</v>
      </c>
      <c r="AI64" s="573"/>
      <c r="AJ64" s="573"/>
      <c r="AK64" s="573"/>
      <c r="AL64" s="573"/>
      <c r="AM64" s="705"/>
      <c r="AN64" s="15"/>
      <c r="AO64" s="15"/>
      <c r="AP64" s="15"/>
    </row>
    <row r="65" spans="1:42">
      <c r="A65" s="265" t="s">
        <v>60</v>
      </c>
      <c r="B65" s="265"/>
      <c r="C65" s="573">
        <f>+'Attainment by Race Trends'!CU64</f>
        <v>94.800516486395452</v>
      </c>
      <c r="D65" s="13">
        <f>+'Attainment by Race Trends'!CW64</f>
        <v>83.682795698924721</v>
      </c>
      <c r="E65" s="573">
        <f>+'Attainment by Race Trends'!CY64</f>
        <v>94.669310626385155</v>
      </c>
      <c r="F65" s="573">
        <f>+'Attainment by Race Trends'!DA64</f>
        <v>83.523965141612194</v>
      </c>
      <c r="G65" s="769" t="str">
        <f>+'Attainment by Race Trends'!DC64</f>
        <v>-</v>
      </c>
      <c r="H65" s="769" t="str">
        <f>+'Attainment by Race Trends'!DE64</f>
        <v>-</v>
      </c>
      <c r="I65" s="769">
        <f>+'Attainment by Race Trends'!DG64</f>
        <v>95.472300159542272</v>
      </c>
      <c r="J65" s="769" t="str">
        <f>+'Attainment by Race Trends'!DI64</f>
        <v>-</v>
      </c>
      <c r="K65" s="112">
        <f>+'Attainment by Race Trends'!DK64</f>
        <v>44.375725139413902</v>
      </c>
      <c r="L65" s="13">
        <f>+'Attainment by Race Trends'!DM64</f>
        <v>35.725806451612904</v>
      </c>
      <c r="M65" s="284">
        <f>+'Attainment by Race Trends'!DO64</f>
        <v>57.984369532252423</v>
      </c>
      <c r="N65" s="769">
        <f>+'Attainment by Race Trends'!DQ64</f>
        <v>0</v>
      </c>
      <c r="O65" s="769" t="str">
        <f>+'Attainment by Race Trends'!DS64</f>
        <v>-</v>
      </c>
      <c r="P65" s="769" t="str">
        <f>+'Attainment by Race Trends'!DU64</f>
        <v>-</v>
      </c>
      <c r="Q65" s="769">
        <f>+'Attainment by Race Trends'!DW64</f>
        <v>45.232986741486492</v>
      </c>
      <c r="R65" s="776" t="str">
        <f>+'Attainment by Race Trends'!DY64</f>
        <v>-</v>
      </c>
      <c r="S65" s="573">
        <f>IFERROR(('Attainment by Race Trends'!CU64-'Attainment by Race Trends'!CT64), "-")</f>
        <v>2.4225528829619662</v>
      </c>
      <c r="T65" s="689" t="str">
        <f>IFERROR(('Attainment by Race Trends'!CW64-'Attainment by Race Trends'!CV64), "-")</f>
        <v>-</v>
      </c>
      <c r="U65" s="284">
        <f>IFERROR(('Attainment by Race Trends'!CY64-'Attainment by Race Trends'!CX64), "-")</f>
        <v>7.2231469639190493</v>
      </c>
      <c r="V65" s="769">
        <f>IFERROR(('Attainment by Race Trends'!DA64-'Attainment by Race Trends'!CZ64), "-")</f>
        <v>0.39007122181918419</v>
      </c>
      <c r="W65" s="769" t="str">
        <f>IFERROR(('Attainment by Race Trends'!DC64-'Attainment by Race Trends'!DB64), "-")</f>
        <v>-</v>
      </c>
      <c r="X65" s="769" t="str">
        <f>IFERROR(('Attainment by Race Trends'!DE64-'Attainment by Race Trends'!DD64), "-")</f>
        <v>-</v>
      </c>
      <c r="Y65" s="769">
        <f>IFERROR(('Attainment by Race Trends'!DG64-'Attainment by Race Trends'!DF64), "-")</f>
        <v>95.472300159542272</v>
      </c>
      <c r="Z65" s="776" t="str">
        <f>IFERROR(('Attainment by Race Trends'!DI64-'Attainment by Race Trends'!DH64), "-")</f>
        <v>-</v>
      </c>
      <c r="AA65" s="573">
        <f>IFERROR(('Attainment by Race Trends'!DK64-'Attainment by Race Trends'!DJ64), "-")</f>
        <v>7.9201514936879462</v>
      </c>
      <c r="AB65" s="13" t="str">
        <f>IFERROR(('Attainment by Race Trends'!DM64-'Attainment by Race Trends'!DL64), "-")</f>
        <v>-</v>
      </c>
      <c r="AC65" s="13">
        <f>IFERROR(('Attainment by Race Trends'!DO64-'Attainment by Race Trends'!DN64), "-")</f>
        <v>22.476314021006608</v>
      </c>
      <c r="AD65" s="769">
        <f>IFERROR(('Attainment by Race Trends'!DQ64-'Attainment by Race Trends'!DP64), "-")</f>
        <v>-50.598318240620955</v>
      </c>
      <c r="AE65" s="769" t="str">
        <f>IFERROR(('Attainment by Race Trends'!DS64-'Attainment by Race Trends'!DR64), "-")</f>
        <v>-</v>
      </c>
      <c r="AF65" s="769" t="str">
        <f>IFERROR(('Attainment by Race Trends'!DU64-'Attainment by Race Trends'!DT64), "-")</f>
        <v>-</v>
      </c>
      <c r="AG65" s="769">
        <f>IFERROR(('Attainment by Race Trends'!DW64-'Attainment by Race Trends'!DV64), "-")</f>
        <v>45.232986741486492</v>
      </c>
      <c r="AH65" s="769" t="str">
        <f>IFERROR(('Attainment by Race Trends'!DY64-'Attainment by Race Trends'!DX64), "-")</f>
        <v>-</v>
      </c>
      <c r="AI65" s="13"/>
      <c r="AJ65" s="573"/>
      <c r="AK65" s="13"/>
      <c r="AL65" s="13"/>
      <c r="AM65" s="767"/>
      <c r="AN65" s="15"/>
      <c r="AO65" s="15"/>
      <c r="AP65" s="15"/>
    </row>
    <row r="66" spans="1:42">
      <c r="A66" s="283" t="s">
        <v>61</v>
      </c>
      <c r="B66" s="283"/>
      <c r="C66" s="576">
        <f>+'Attainment by Race Trends'!CU65</f>
        <v>99.427090221387573</v>
      </c>
      <c r="D66" s="576">
        <f>+'Attainment by Race Trends'!CW65</f>
        <v>89.459322280907173</v>
      </c>
      <c r="E66" s="576">
        <f>+'Attainment by Race Trends'!CY65</f>
        <v>79.626874922523854</v>
      </c>
      <c r="F66" s="576">
        <f>+'Attainment by Race Trends'!DA65</f>
        <v>94.071146245059296</v>
      </c>
      <c r="G66" s="773" t="str">
        <f>+'Attainment by Race Trends'!DC65</f>
        <v>-</v>
      </c>
      <c r="H66" s="773" t="str">
        <f>+'Attainment by Race Trends'!DE65</f>
        <v>-</v>
      </c>
      <c r="I66" s="773">
        <f>+'Attainment by Race Trends'!DG65</f>
        <v>93.180486375622621</v>
      </c>
      <c r="J66" s="773">
        <f>+'Attainment by Race Trends'!DI65</f>
        <v>61.82634730538922</v>
      </c>
      <c r="K66" s="577">
        <f>+'Attainment by Race Trends'!DK65</f>
        <v>93.00076705372021</v>
      </c>
      <c r="L66" s="292">
        <f>+'Attainment by Race Trends'!DM65</f>
        <v>33.714590107090267</v>
      </c>
      <c r="M66" s="292">
        <f>+'Attainment by Race Trends'!DO65</f>
        <v>57.396388578984336</v>
      </c>
      <c r="N66" s="773">
        <f>+'Attainment by Race Trends'!DQ65</f>
        <v>0</v>
      </c>
      <c r="O66" s="773" t="str">
        <f>+'Attainment by Race Trends'!DS65</f>
        <v>-</v>
      </c>
      <c r="P66" s="773" t="str">
        <f>+'Attainment by Race Trends'!DU65</f>
        <v>-</v>
      </c>
      <c r="Q66" s="773">
        <f>+'Attainment by Race Trends'!DW65</f>
        <v>67.150112315655832</v>
      </c>
      <c r="R66" s="779">
        <f>+'Attainment by Race Trends'!DY65</f>
        <v>35.453231468098281</v>
      </c>
      <c r="S66" s="576">
        <f>IFERROR(('Attainment by Race Trends'!CU65-'Attainment by Race Trends'!CT65), "-")</f>
        <v>-8.7438250768769876E-3</v>
      </c>
      <c r="T66" s="576">
        <f>IFERROR(('Attainment by Race Trends'!CW65-'Attainment by Race Trends'!CV65), "-")</f>
        <v>3.0699491581120952</v>
      </c>
      <c r="U66" s="576">
        <f>IFERROR(('Attainment by Race Trends'!CY65-'Attainment by Race Trends'!CX65), "-")</f>
        <v>11.811294636355328</v>
      </c>
      <c r="V66" s="773">
        <f>IFERROR(('Attainment by Race Trends'!DA65-'Attainment by Race Trends'!CZ65), "-")</f>
        <v>-2.4728056707934485</v>
      </c>
      <c r="W66" s="773" t="str">
        <f>IFERROR(('Attainment by Race Trends'!DC65-'Attainment by Race Trends'!DB65), "-")</f>
        <v>-</v>
      </c>
      <c r="X66" s="773" t="str">
        <f>IFERROR(('Attainment by Race Trends'!DE65-'Attainment by Race Trends'!DD65), "-")</f>
        <v>-</v>
      </c>
      <c r="Y66" s="773">
        <f>IFERROR(('Attainment by Race Trends'!DG65-'Attainment by Race Trends'!DF65), "-")</f>
        <v>-2.9142121270079002</v>
      </c>
      <c r="Z66" s="779">
        <f>IFERROR(('Attainment by Race Trends'!DI65-'Attainment by Race Trends'!DH65), "-")</f>
        <v>4.943746852251941</v>
      </c>
      <c r="AA66" s="576">
        <f>IFERROR(('Attainment by Race Trends'!DK65-'Attainment by Race Trends'!DJ65), "-")</f>
        <v>0.96881877949752493</v>
      </c>
      <c r="AB66" s="576">
        <f>IFERROR(('Attainment by Race Trends'!DM65-'Attainment by Race Trends'!DL65), "-")</f>
        <v>8.1004307499280266</v>
      </c>
      <c r="AC66" s="576">
        <f>IFERROR(('Attainment by Race Trends'!DO65-'Attainment by Race Trends'!DN65), "-")</f>
        <v>15.86379716403998</v>
      </c>
      <c r="AD66" s="789">
        <f>IFERROR(('Attainment by Race Trends'!DQ65-'Attainment by Race Trends'!DP65), "-")</f>
        <v>-85.57976458802905</v>
      </c>
      <c r="AE66" s="773" t="str">
        <f>IFERROR(('Attainment by Race Trends'!DS65-'Attainment by Race Trends'!DR65), "-")</f>
        <v>-</v>
      </c>
      <c r="AF66" s="773" t="str">
        <f>IFERROR(('Attainment by Race Trends'!DU65-'Attainment by Race Trends'!DT65), "-")</f>
        <v>-</v>
      </c>
      <c r="AG66" s="773">
        <f>IFERROR(('Attainment by Race Trends'!DW65-'Attainment by Race Trends'!DV65), "-")</f>
        <v>-7.2833154463838241</v>
      </c>
      <c r="AH66" s="773">
        <f>IFERROR(('Attainment by Race Trends'!DY65-'Attainment by Race Trends'!DX65), "-")</f>
        <v>11.362973919663453</v>
      </c>
      <c r="AI66" s="573"/>
      <c r="AJ66" s="573"/>
      <c r="AK66" s="573"/>
      <c r="AL66" s="573"/>
      <c r="AM66" s="705"/>
      <c r="AN66" s="15"/>
      <c r="AO66" s="15"/>
      <c r="AP66" s="15"/>
    </row>
    <row r="67" spans="1:42" ht="15.75" customHeight="1">
      <c r="A67" s="37" t="s">
        <v>82</v>
      </c>
      <c r="B67" s="37"/>
      <c r="C67" s="573"/>
      <c r="D67" s="573"/>
      <c r="E67" s="573"/>
      <c r="F67" s="573"/>
      <c r="G67" s="573"/>
      <c r="H67" s="573"/>
      <c r="I67" s="573"/>
      <c r="J67" s="573"/>
      <c r="K67" s="13"/>
      <c r="L67" s="13"/>
      <c r="M67" s="13"/>
      <c r="N67" s="13"/>
      <c r="O67" s="13"/>
      <c r="P67" s="13"/>
      <c r="Q67" s="13"/>
      <c r="R67" s="13"/>
      <c r="S67" s="573"/>
      <c r="T67" s="573"/>
      <c r="U67" s="573"/>
      <c r="V67" s="573"/>
      <c r="W67" s="573"/>
      <c r="X67" s="573"/>
      <c r="Y67" s="573"/>
      <c r="Z67" s="573"/>
      <c r="AA67" s="573"/>
      <c r="AB67" s="573"/>
      <c r="AC67" s="573"/>
      <c r="AD67" s="705"/>
      <c r="AE67" s="706"/>
      <c r="AF67" s="706"/>
      <c r="AG67" s="706"/>
      <c r="AH67" s="706"/>
      <c r="AI67" s="15"/>
      <c r="AJ67" s="15"/>
      <c r="AK67" s="15"/>
      <c r="AL67" s="15"/>
      <c r="AM67" s="15"/>
      <c r="AN67" s="15"/>
      <c r="AO67" s="15"/>
      <c r="AP67" s="15"/>
    </row>
    <row r="68" spans="1:42" ht="15.75" customHeight="1">
      <c r="A68" s="801" t="s">
        <v>83</v>
      </c>
      <c r="B68" s="799"/>
      <c r="C68" s="799"/>
      <c r="D68" s="799"/>
      <c r="E68" s="799"/>
      <c r="F68" s="799"/>
      <c r="G68" s="799"/>
      <c r="H68" s="799"/>
      <c r="I68" s="799"/>
      <c r="J68" s="799"/>
      <c r="K68" s="799"/>
      <c r="L68" s="799"/>
      <c r="M68" s="799"/>
      <c r="N68" s="799"/>
      <c r="O68" s="799"/>
      <c r="P68" s="799"/>
      <c r="Q68" s="799"/>
      <c r="R68" s="799"/>
      <c r="S68" s="799"/>
      <c r="T68" s="799"/>
      <c r="U68" s="799"/>
      <c r="V68" s="799"/>
      <c r="W68" s="799"/>
      <c r="X68" s="799"/>
      <c r="Y68" s="799"/>
      <c r="Z68" s="799"/>
      <c r="AA68" s="799"/>
      <c r="AB68" s="799"/>
      <c r="AC68" s="799"/>
      <c r="AD68" s="707"/>
      <c r="AE68" s="706"/>
      <c r="AF68" s="706"/>
      <c r="AG68" s="706"/>
      <c r="AH68" s="706"/>
      <c r="AI68" s="15"/>
      <c r="AJ68" s="15"/>
      <c r="AK68" s="15"/>
      <c r="AL68" s="15"/>
      <c r="AM68" s="15"/>
      <c r="AN68" s="15"/>
      <c r="AO68" s="15"/>
      <c r="AP68" s="15"/>
    </row>
    <row r="69" spans="1:42" ht="15.75" customHeight="1">
      <c r="A69" s="45" t="s">
        <v>84</v>
      </c>
      <c r="B69" s="56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702"/>
      <c r="AE69" s="706"/>
      <c r="AF69" s="706"/>
      <c r="AG69" s="706"/>
      <c r="AH69" s="706"/>
      <c r="AI69" s="15"/>
      <c r="AJ69" s="15"/>
      <c r="AK69" s="15"/>
      <c r="AL69" s="15"/>
      <c r="AM69" s="15"/>
      <c r="AN69" s="15"/>
      <c r="AO69" s="15"/>
      <c r="AP69" s="15"/>
    </row>
    <row r="70" spans="1:42" ht="15.75" customHeight="1">
      <c r="A70" s="120" t="s">
        <v>64</v>
      </c>
      <c r="B70" s="56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702"/>
      <c r="AE70" s="706"/>
      <c r="AF70" s="706"/>
      <c r="AG70" s="706"/>
      <c r="AH70" s="706"/>
      <c r="AI70" s="15"/>
      <c r="AJ70" s="15"/>
      <c r="AK70" s="15"/>
      <c r="AL70" s="15"/>
      <c r="AM70" s="15"/>
      <c r="AN70" s="15"/>
      <c r="AO70" s="15"/>
      <c r="AP70" s="15"/>
    </row>
    <row r="71" spans="1:42" ht="15.75" customHeight="1">
      <c r="A71" s="120" t="s">
        <v>85</v>
      </c>
      <c r="B71" s="56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702"/>
      <c r="AE71" s="706"/>
      <c r="AF71" s="706"/>
      <c r="AG71" s="706"/>
      <c r="AH71" s="706"/>
      <c r="AI71" s="15"/>
      <c r="AJ71" s="15"/>
      <c r="AK71" s="15"/>
      <c r="AL71" s="15"/>
      <c r="AM71" s="15"/>
      <c r="AN71" s="15"/>
      <c r="AO71" s="15"/>
      <c r="AP71" s="15"/>
    </row>
    <row r="72" spans="1:42" ht="15.75" customHeight="1">
      <c r="A72" s="120" t="s">
        <v>86</v>
      </c>
      <c r="B72" s="56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702"/>
      <c r="AE72" s="706"/>
      <c r="AF72" s="706"/>
      <c r="AG72" s="706"/>
      <c r="AH72" s="706"/>
      <c r="AI72" s="15"/>
      <c r="AJ72" s="15"/>
      <c r="AK72" s="15"/>
      <c r="AL72" s="15"/>
      <c r="AM72" s="15"/>
      <c r="AN72" s="15"/>
      <c r="AO72" s="15"/>
      <c r="AP72" s="15"/>
    </row>
    <row r="73" spans="1:42" ht="15.75" customHeight="1">
      <c r="A73" s="120"/>
      <c r="B73" s="56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702"/>
      <c r="AE73" s="706"/>
      <c r="AF73" s="706"/>
      <c r="AG73" s="706"/>
      <c r="AH73" s="706"/>
      <c r="AI73" s="15"/>
      <c r="AJ73" s="15"/>
      <c r="AK73" s="15"/>
      <c r="AL73" s="15"/>
      <c r="AM73" s="15"/>
      <c r="AN73" s="15"/>
      <c r="AO73" s="15"/>
      <c r="AP73" s="15"/>
    </row>
    <row r="74" spans="1:42" ht="41.25" customHeight="1">
      <c r="A74" s="499" t="s">
        <v>65</v>
      </c>
      <c r="B74" s="797" t="s">
        <v>87</v>
      </c>
      <c r="C74" s="799"/>
      <c r="D74" s="799"/>
      <c r="E74" s="799"/>
      <c r="F74" s="799"/>
      <c r="G74" s="799"/>
      <c r="H74" s="799"/>
      <c r="I74" s="799"/>
      <c r="J74" s="799"/>
      <c r="K74" s="799"/>
      <c r="L74" s="799"/>
      <c r="M74" s="799"/>
      <c r="N74" s="799"/>
      <c r="O74" s="799"/>
      <c r="P74" s="799"/>
      <c r="Q74" s="799"/>
      <c r="R74" s="799"/>
      <c r="S74" s="800"/>
      <c r="T74" s="800"/>
      <c r="U74" s="800"/>
      <c r="V74" s="800"/>
      <c r="W74" s="800"/>
      <c r="X74" s="800"/>
      <c r="Y74" s="800"/>
      <c r="Z74" s="800"/>
      <c r="AA74" s="800"/>
      <c r="AB74" s="800"/>
      <c r="AC74" s="800"/>
      <c r="AD74" s="708"/>
      <c r="AE74" s="702"/>
      <c r="AF74" s="702"/>
      <c r="AG74" s="702"/>
      <c r="AH74" s="702"/>
      <c r="AI74" s="1"/>
      <c r="AJ74" s="1"/>
      <c r="AK74" s="1"/>
      <c r="AL74" s="1"/>
      <c r="AM74" s="1"/>
      <c r="AN74" s="1"/>
      <c r="AO74" s="1"/>
      <c r="AP74" s="1"/>
    </row>
    <row r="75" spans="1:4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519">
        <v>45505</v>
      </c>
      <c r="AD75" s="702"/>
      <c r="AE75" s="702"/>
      <c r="AF75" s="702"/>
      <c r="AG75" s="702"/>
      <c r="AH75" s="702"/>
      <c r="AI75" s="1"/>
      <c r="AJ75" s="1"/>
      <c r="AK75" s="1"/>
      <c r="AL75" s="1"/>
      <c r="AM75" s="1"/>
      <c r="AN75" s="1"/>
      <c r="AO75" s="1"/>
      <c r="AP75" s="1"/>
    </row>
    <row r="79" spans="1:4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702"/>
      <c r="AE79" s="702"/>
      <c r="AF79" s="702"/>
      <c r="AG79" s="702"/>
      <c r="AH79" s="702"/>
      <c r="AI79" s="1"/>
      <c r="AJ79" s="1"/>
      <c r="AK79" s="1"/>
      <c r="AL79" s="1"/>
      <c r="AM79" s="1"/>
      <c r="AN79" s="1"/>
      <c r="AO79" s="1"/>
      <c r="AP79" s="1"/>
    </row>
  </sheetData>
  <mergeCells count="6">
    <mergeCell ref="AN3:AW3"/>
    <mergeCell ref="B74:AC74"/>
    <mergeCell ref="A68:AC68"/>
    <mergeCell ref="AA5:AH5"/>
    <mergeCell ref="S5:Z5"/>
    <mergeCell ref="AJ3:AM3"/>
  </mergeCells>
  <phoneticPr fontId="8" type="noConversion"/>
  <conditionalFormatting sqref="H6">
    <cfRule type="containsText" dxfId="10" priority="4" operator="containsText" text="2015">
      <formula>NOT(ISERROR(SEARCH("2015",H6)))</formula>
    </cfRule>
  </conditionalFormatting>
  <conditionalFormatting sqref="P6">
    <cfRule type="containsText" dxfId="9" priority="3" operator="containsText" text="2015">
      <formula>NOT(ISERROR(SEARCH("2015",P6)))</formula>
    </cfRule>
  </conditionalFormatting>
  <conditionalFormatting sqref="X6">
    <cfRule type="containsText" dxfId="8" priority="2" operator="containsText" text="2015">
      <formula>NOT(ISERROR(SEARCH("2015",X6)))</formula>
    </cfRule>
  </conditionalFormatting>
  <conditionalFormatting sqref="AF6">
    <cfRule type="containsText" dxfId="7" priority="1" operator="containsText" text="2015">
      <formula>NOT(ISERROR(SEARCH("2015",AF6)))</formula>
    </cfRule>
  </conditionalFormatting>
  <pageMargins left="0.75" right="0.75" top="1" bottom="1" header="0.5" footer="0.5"/>
  <pageSetup scale="64" orientation="portrait" r:id="rId1"/>
  <headerFooter alignWithMargins="0">
    <oddFooter>&amp;LSREB Fact Book&amp;R&amp;D</oddFooter>
  </headerFooter>
  <colBreaks count="1" manualBreakCount="1">
    <brk id="3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8"/>
  </sheetPr>
  <dimension ref="A1:FB96"/>
  <sheetViews>
    <sheetView zoomScale="96" zoomScaleNormal="96" workbookViewId="0">
      <pane xSplit="1" ySplit="6" topLeftCell="EO7" activePane="bottomRight" state="frozen"/>
      <selection pane="bottomRight" activeCell="FB4" sqref="FB4"/>
      <selection pane="bottomLeft" activeCell="A7" sqref="A7"/>
      <selection pane="topRight" activeCell="B1" sqref="B1"/>
    </sheetView>
  </sheetViews>
  <sheetFormatPr defaultColWidth="8.88671875" defaultRowHeight="12.6"/>
  <cols>
    <col min="1" max="1" width="14.33203125" style="1" customWidth="1"/>
    <col min="2" max="3" width="10" style="1" customWidth="1"/>
    <col min="4" max="8" width="9" style="37" customWidth="1"/>
    <col min="9" max="9" width="9.88671875" style="68" customWidth="1"/>
    <col min="10" max="10" width="10" style="37" customWidth="1"/>
    <col min="11" max="12" width="9" style="37" customWidth="1"/>
    <col min="13" max="13" width="10" style="37" customWidth="1"/>
    <col min="14" max="15" width="9" style="37" customWidth="1"/>
    <col min="16" max="16" width="10" style="37" customWidth="1"/>
    <col min="17" max="18" width="9" style="37" customWidth="1"/>
    <col min="19" max="19" width="11.21875" style="1" customWidth="1"/>
    <col min="20" max="20" width="10" style="1" customWidth="1"/>
    <col min="21" max="22" width="9" style="37" customWidth="1"/>
    <col min="23" max="23" width="10" style="1" customWidth="1"/>
    <col min="24" max="25" width="9" style="37" customWidth="1"/>
    <col min="26" max="26" width="10" style="1" customWidth="1"/>
    <col min="27" max="31" width="9" style="37" customWidth="1"/>
    <col min="32" max="32" width="9.88671875" style="68" customWidth="1"/>
    <col min="33" max="34" width="10" style="1" customWidth="1"/>
    <col min="35" max="36" width="9" style="37" customWidth="1"/>
    <col min="37" max="38" width="10" style="1" customWidth="1"/>
    <col min="39" max="40" width="9" style="37" customWidth="1"/>
    <col min="41" max="41" width="10" style="1" customWidth="1"/>
    <col min="42" max="43" width="9" style="37" customWidth="1"/>
    <col min="44" max="44" width="10" style="62" customWidth="1"/>
    <col min="45" max="45" width="9.6640625" style="68" customWidth="1"/>
    <col min="46" max="48" width="10.21875" style="1" customWidth="1"/>
    <col min="49" max="49" width="10" style="1" customWidth="1"/>
    <col min="50" max="50" width="10" style="37" customWidth="1"/>
    <col min="51" max="51" width="9" style="37" customWidth="1"/>
    <col min="52" max="52" width="9.44140625" style="1" customWidth="1"/>
    <col min="53" max="54" width="9" style="37" customWidth="1"/>
    <col min="55" max="55" width="9.44140625" style="1" customWidth="1"/>
    <col min="56" max="60" width="9" style="37" customWidth="1"/>
    <col min="61" max="64" width="9.5546875" style="37" customWidth="1"/>
    <col min="65" max="66" width="9" style="37" customWidth="1"/>
    <col min="67" max="67" width="10.44140625" style="37" customWidth="1"/>
    <col min="68" max="78" width="9" style="37" customWidth="1"/>
    <col min="79" max="79" width="10" style="37" customWidth="1"/>
    <col min="80" max="80" width="9.44140625" style="1" customWidth="1"/>
    <col min="81" max="83" width="9" style="37" customWidth="1"/>
    <col min="84" max="84" width="9.33203125" style="37" customWidth="1"/>
    <col min="85" max="85" width="9.44140625" style="1" customWidth="1"/>
    <col min="86" max="88" width="9" style="37" customWidth="1"/>
    <col min="89" max="89" width="11.77734375" style="1" customWidth="1"/>
    <col min="90" max="90" width="11.44140625" style="1" customWidth="1"/>
    <col min="91" max="93" width="10.77734375" style="1" customWidth="1"/>
    <col min="94" max="94" width="11.77734375" style="1" customWidth="1"/>
    <col min="95" max="96" width="9.5546875" style="1" customWidth="1"/>
    <col min="97" max="98" width="8.88671875" style="1" customWidth="1"/>
    <col min="99" max="99" width="11.77734375" style="1" customWidth="1"/>
    <col min="100" max="100" width="9.5546875" style="1" customWidth="1"/>
    <col min="101" max="103" width="8.88671875" style="1" customWidth="1"/>
    <col min="104" max="104" width="9.77734375" style="1" customWidth="1"/>
    <col min="105" max="105" width="10.21875" style="1" customWidth="1"/>
    <col min="106" max="108" width="8.88671875" style="1" customWidth="1"/>
    <col min="109" max="110" width="9.5546875" style="1" customWidth="1"/>
    <col min="111" max="113" width="8.88671875" style="1" customWidth="1"/>
    <col min="114" max="116" width="10.6640625" style="1" bestFit="1" customWidth="1"/>
    <col min="117" max="118" width="9.88671875" style="1" bestFit="1" customWidth="1"/>
    <col min="119" max="120" width="9.5546875" style="1" customWidth="1"/>
    <col min="121" max="121" width="10" style="1" customWidth="1"/>
    <col min="122" max="122" width="8.88671875" style="338" customWidth="1"/>
    <col min="123" max="123" width="8.88671875" style="1" customWidth="1"/>
    <col min="124" max="125" width="9.5546875" style="1" customWidth="1"/>
    <col min="126" max="126" width="10" style="1" customWidth="1"/>
    <col min="127" max="127" width="8.88671875" style="338" customWidth="1"/>
    <col min="128" max="128" width="8.88671875" style="1" customWidth="1"/>
    <col min="129" max="133" width="8.88671875" style="1"/>
    <col min="134" max="135" width="9.5546875" style="1" bestFit="1" customWidth="1"/>
    <col min="136" max="136" width="10" style="1" bestFit="1" customWidth="1"/>
    <col min="137" max="137" width="8.88671875" style="304"/>
    <col min="138" max="138" width="8.88671875" style="1"/>
    <col min="139" max="140" width="9.5546875" style="1" bestFit="1" customWidth="1"/>
    <col min="141" max="141" width="10" style="1" bestFit="1" customWidth="1"/>
    <col min="142" max="142" width="8.88671875" style="338"/>
    <col min="143" max="143" width="8.88671875" style="1"/>
    <col min="144" max="144" width="9.88671875" style="37" bestFit="1" customWidth="1"/>
    <col min="145" max="145" width="9.5546875" style="37" bestFit="1" customWidth="1"/>
    <col min="146" max="146" width="10" style="1" bestFit="1" customWidth="1"/>
    <col min="147" max="147" width="8.88671875" style="338"/>
    <col min="148" max="148" width="9.88671875" style="1" bestFit="1" customWidth="1"/>
    <col min="149" max="16384" width="8.88671875" style="1"/>
  </cols>
  <sheetData>
    <row r="1" spans="1:158" ht="15.6">
      <c r="B1" s="23" t="s">
        <v>88</v>
      </c>
      <c r="C1" s="21"/>
      <c r="D1" s="1"/>
      <c r="E1" s="65"/>
      <c r="F1" s="65"/>
      <c r="G1" s="65"/>
      <c r="H1" s="65"/>
      <c r="I1" s="1"/>
      <c r="J1" s="2"/>
      <c r="K1" s="65"/>
      <c r="L1" s="65"/>
      <c r="M1" s="2"/>
      <c r="N1" s="65"/>
      <c r="O1" s="65"/>
      <c r="P1" s="2"/>
      <c r="Q1" s="65"/>
      <c r="R1" s="65"/>
      <c r="S1" s="21"/>
      <c r="T1" s="21"/>
      <c r="U1" s="65"/>
      <c r="V1" s="65"/>
      <c r="W1" s="21"/>
      <c r="X1" s="65"/>
      <c r="Y1" s="65"/>
      <c r="Z1" s="21"/>
      <c r="AA1" s="65"/>
      <c r="AB1" s="65"/>
      <c r="AC1" s="65"/>
      <c r="AD1" s="65"/>
      <c r="AE1" s="65"/>
      <c r="AF1" s="1"/>
      <c r="AG1" s="22"/>
      <c r="AH1" s="22"/>
      <c r="AI1" s="65"/>
      <c r="AJ1" s="65"/>
      <c r="AK1" s="22"/>
      <c r="AL1" s="22"/>
      <c r="AM1" s="65"/>
      <c r="AN1" s="65"/>
      <c r="AO1" s="22"/>
      <c r="AP1" s="65"/>
      <c r="AQ1" s="65"/>
      <c r="AR1" s="56"/>
      <c r="AS1" s="1"/>
      <c r="AT1" s="131"/>
      <c r="AW1" s="22"/>
      <c r="AX1" s="65"/>
      <c r="AY1" s="65"/>
      <c r="AZ1" s="22"/>
      <c r="BA1" s="65"/>
      <c r="BB1" s="65"/>
      <c r="BC1" s="22"/>
      <c r="BD1" s="65"/>
      <c r="BE1" s="65"/>
      <c r="BF1" s="65"/>
      <c r="BG1" s="65"/>
      <c r="BH1" s="65"/>
      <c r="BI1" s="358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366" t="s">
        <v>89</v>
      </c>
      <c r="CB1" s="608"/>
      <c r="CC1" s="65"/>
      <c r="CD1" s="65"/>
      <c r="CE1" s="65"/>
      <c r="CF1" s="65"/>
      <c r="CG1" s="22"/>
      <c r="CH1" s="65"/>
      <c r="CI1" s="65"/>
      <c r="CJ1" s="65"/>
      <c r="CP1"/>
      <c r="CQ1" s="2"/>
      <c r="CR1" s="2"/>
      <c r="CS1" s="2"/>
      <c r="CT1" s="2"/>
      <c r="CV1" s="2"/>
      <c r="CW1" s="2"/>
      <c r="CX1" s="2"/>
      <c r="CY1" s="2"/>
      <c r="EH1" s="37"/>
    </row>
    <row r="2" spans="1:158">
      <c r="B2" s="33">
        <v>1940</v>
      </c>
      <c r="C2" s="27">
        <v>1950</v>
      </c>
      <c r="D2" s="20" t="s">
        <v>90</v>
      </c>
      <c r="E2" s="28"/>
      <c r="F2" s="28"/>
      <c r="G2" s="28"/>
      <c r="H2" s="28"/>
      <c r="I2" s="66" t="s">
        <v>91</v>
      </c>
      <c r="J2" s="91"/>
      <c r="K2" s="28"/>
      <c r="L2" s="28"/>
      <c r="M2" s="91"/>
      <c r="N2" s="28"/>
      <c r="O2" s="28"/>
      <c r="P2" s="91"/>
      <c r="Q2" s="28"/>
      <c r="R2" s="28"/>
      <c r="S2" s="29">
        <v>1980</v>
      </c>
      <c r="T2" s="30"/>
      <c r="U2" s="28"/>
      <c r="V2" s="28"/>
      <c r="W2" s="54"/>
      <c r="X2" s="28"/>
      <c r="Y2" s="28"/>
      <c r="Z2" s="28"/>
      <c r="AA2" s="91"/>
      <c r="AB2" s="28"/>
      <c r="AC2" s="28"/>
      <c r="AD2" s="28"/>
      <c r="AE2" s="28"/>
      <c r="AF2" s="66" t="s">
        <v>92</v>
      </c>
      <c r="AG2" s="30"/>
      <c r="AH2" s="54"/>
      <c r="AI2" s="28"/>
      <c r="AJ2" s="28"/>
      <c r="AK2" s="30"/>
      <c r="AL2" s="54"/>
      <c r="AM2" s="28"/>
      <c r="AN2" s="28"/>
      <c r="AO2" s="30"/>
      <c r="AP2" s="28"/>
      <c r="AQ2" s="28"/>
      <c r="AR2" s="57"/>
      <c r="AS2" s="66" t="s">
        <v>93</v>
      </c>
      <c r="AT2" s="30"/>
      <c r="AU2" s="88"/>
      <c r="AV2" s="88"/>
      <c r="AW2" s="36"/>
      <c r="AX2" s="114"/>
      <c r="AY2" s="114"/>
      <c r="AZ2" s="36"/>
      <c r="BA2" s="114"/>
      <c r="BB2" s="114"/>
      <c r="BC2" s="36"/>
      <c r="BD2" s="114"/>
      <c r="BE2" s="114"/>
      <c r="BF2" s="114"/>
      <c r="BG2" s="114"/>
      <c r="BH2" s="114"/>
      <c r="BI2" s="367" t="s">
        <v>94</v>
      </c>
      <c r="BJ2" s="65"/>
      <c r="BK2" s="65"/>
      <c r="BL2" s="30"/>
      <c r="BM2" s="88"/>
      <c r="BN2" s="88"/>
      <c r="BO2" s="36"/>
      <c r="BP2" s="114"/>
      <c r="BQ2" s="114"/>
      <c r="BR2" s="36"/>
      <c r="BS2" s="114"/>
      <c r="BT2" s="114"/>
      <c r="BU2" s="36"/>
      <c r="BV2" s="114"/>
      <c r="BW2" s="114"/>
      <c r="BX2" s="114"/>
      <c r="BY2" s="114"/>
      <c r="BZ2" s="114"/>
      <c r="CA2" s="537" t="s">
        <v>95</v>
      </c>
      <c r="CB2" s="36"/>
      <c r="CC2" s="114"/>
      <c r="CD2" s="114"/>
      <c r="CE2" s="114"/>
      <c r="CF2" s="368" t="s">
        <v>96</v>
      </c>
      <c r="CG2" s="36"/>
      <c r="CH2" s="114"/>
      <c r="CI2" s="114"/>
      <c r="CJ2" s="114"/>
      <c r="CK2" s="368" t="s">
        <v>97</v>
      </c>
      <c r="CL2" s="36"/>
      <c r="CM2" s="114"/>
      <c r="CN2" s="114"/>
      <c r="CO2" s="114"/>
      <c r="CP2" s="119" t="s">
        <v>98</v>
      </c>
      <c r="CR2" s="357"/>
      <c r="CU2" s="368" t="s">
        <v>99</v>
      </c>
      <c r="CZ2" s="537" t="s">
        <v>100</v>
      </c>
      <c r="DA2" s="88"/>
      <c r="DB2" s="88"/>
      <c r="DC2" s="88"/>
      <c r="DD2" s="530"/>
      <c r="DE2" s="1" t="s">
        <v>101</v>
      </c>
      <c r="DJ2" s="672" t="s">
        <v>102</v>
      </c>
      <c r="DK2" s="672"/>
      <c r="DM2" s="673"/>
      <c r="DN2" s="672"/>
      <c r="DO2" s="1" t="s">
        <v>103</v>
      </c>
      <c r="DT2" s="1" t="s">
        <v>104</v>
      </c>
      <c r="ED2" s="1" t="s">
        <v>105</v>
      </c>
      <c r="EE2" s="507"/>
      <c r="EI2" s="1" t="s">
        <v>106</v>
      </c>
      <c r="EL2" s="304"/>
      <c r="EN2" s="37" t="s">
        <v>107</v>
      </c>
      <c r="EQ2" s="304"/>
      <c r="ES2" s="611" t="s">
        <v>108</v>
      </c>
      <c r="ET2" s="611"/>
      <c r="EU2" s="536"/>
      <c r="EV2" s="610"/>
      <c r="EW2" s="536"/>
    </row>
    <row r="3" spans="1:158" ht="60" customHeight="1">
      <c r="A3" s="2"/>
      <c r="B3" s="369"/>
      <c r="C3" s="34"/>
      <c r="D3" s="35" t="s">
        <v>109</v>
      </c>
      <c r="E3" s="35" t="s">
        <v>110</v>
      </c>
      <c r="F3" s="35" t="s">
        <v>111</v>
      </c>
      <c r="G3" s="35" t="s">
        <v>112</v>
      </c>
      <c r="H3" s="35" t="s">
        <v>113</v>
      </c>
      <c r="I3" s="67" t="s">
        <v>109</v>
      </c>
      <c r="J3" s="36" t="s">
        <v>73</v>
      </c>
      <c r="K3" s="35" t="s">
        <v>114</v>
      </c>
      <c r="L3" s="35" t="s">
        <v>111</v>
      </c>
      <c r="M3" s="36" t="s">
        <v>74</v>
      </c>
      <c r="N3" s="35" t="s">
        <v>115</v>
      </c>
      <c r="O3" s="35" t="s">
        <v>116</v>
      </c>
      <c r="P3" s="36" t="s">
        <v>75</v>
      </c>
      <c r="Q3" s="35" t="s">
        <v>117</v>
      </c>
      <c r="R3" s="35" t="s">
        <v>118</v>
      </c>
      <c r="S3" s="29" t="s">
        <v>109</v>
      </c>
      <c r="T3" s="36" t="s">
        <v>73</v>
      </c>
      <c r="U3" s="35" t="s">
        <v>114</v>
      </c>
      <c r="V3" s="35" t="s">
        <v>111</v>
      </c>
      <c r="W3" s="36" t="s">
        <v>74</v>
      </c>
      <c r="X3" s="35" t="s">
        <v>115</v>
      </c>
      <c r="Y3" s="35" t="s">
        <v>116</v>
      </c>
      <c r="Z3" s="36" t="s">
        <v>75</v>
      </c>
      <c r="AA3" s="35" t="s">
        <v>117</v>
      </c>
      <c r="AB3" s="35" t="s">
        <v>118</v>
      </c>
      <c r="AC3" s="35" t="s">
        <v>119</v>
      </c>
      <c r="AD3" s="35" t="s">
        <v>120</v>
      </c>
      <c r="AE3" s="35" t="s">
        <v>121</v>
      </c>
      <c r="AF3" s="67" t="s">
        <v>109</v>
      </c>
      <c r="AG3" s="36" t="s">
        <v>73</v>
      </c>
      <c r="AH3" s="36" t="s">
        <v>122</v>
      </c>
      <c r="AI3" s="35" t="s">
        <v>123</v>
      </c>
      <c r="AJ3" s="35" t="s">
        <v>124</v>
      </c>
      <c r="AK3" s="36" t="s">
        <v>74</v>
      </c>
      <c r="AL3" s="36" t="s">
        <v>125</v>
      </c>
      <c r="AM3" s="35" t="s">
        <v>126</v>
      </c>
      <c r="AN3" s="35" t="s">
        <v>127</v>
      </c>
      <c r="AO3" s="36" t="s">
        <v>75</v>
      </c>
      <c r="AP3" s="35" t="s">
        <v>117</v>
      </c>
      <c r="AQ3" s="35" t="s">
        <v>118</v>
      </c>
      <c r="AR3" s="58" t="s">
        <v>80</v>
      </c>
      <c r="AS3" s="67" t="s">
        <v>109</v>
      </c>
      <c r="AT3" s="36" t="s">
        <v>128</v>
      </c>
      <c r="AU3" s="36" t="s">
        <v>114</v>
      </c>
      <c r="AV3" s="36" t="s">
        <v>111</v>
      </c>
      <c r="AW3" s="36" t="s">
        <v>129</v>
      </c>
      <c r="AX3" s="35" t="s">
        <v>130</v>
      </c>
      <c r="AY3" s="35" t="s">
        <v>131</v>
      </c>
      <c r="AZ3" s="36" t="s">
        <v>132</v>
      </c>
      <c r="BA3" s="35" t="s">
        <v>115</v>
      </c>
      <c r="BB3" s="35" t="s">
        <v>116</v>
      </c>
      <c r="BC3" s="36" t="s">
        <v>75</v>
      </c>
      <c r="BD3" s="35" t="s">
        <v>117</v>
      </c>
      <c r="BE3" s="35" t="s">
        <v>118</v>
      </c>
      <c r="BF3" s="83" t="s">
        <v>133</v>
      </c>
      <c r="BG3" s="83" t="s">
        <v>120</v>
      </c>
      <c r="BH3" s="83" t="s">
        <v>134</v>
      </c>
      <c r="BI3" s="67" t="s">
        <v>135</v>
      </c>
      <c r="BJ3" s="35" t="s">
        <v>136</v>
      </c>
      <c r="BK3" s="35" t="s">
        <v>137</v>
      </c>
      <c r="BL3" s="36" t="s">
        <v>128</v>
      </c>
      <c r="BM3" s="36" t="s">
        <v>114</v>
      </c>
      <c r="BN3" s="36" t="s">
        <v>111</v>
      </c>
      <c r="BO3" s="36" t="s">
        <v>129</v>
      </c>
      <c r="BP3" s="35" t="s">
        <v>130</v>
      </c>
      <c r="BQ3" s="35" t="s">
        <v>131</v>
      </c>
      <c r="BR3" s="36" t="s">
        <v>132</v>
      </c>
      <c r="BS3" s="35" t="s">
        <v>115</v>
      </c>
      <c r="BT3" s="35" t="s">
        <v>116</v>
      </c>
      <c r="BU3" s="36" t="s">
        <v>75</v>
      </c>
      <c r="BV3" s="35" t="s">
        <v>117</v>
      </c>
      <c r="BW3" s="35" t="s">
        <v>118</v>
      </c>
      <c r="BX3" s="83" t="s">
        <v>133</v>
      </c>
      <c r="BY3" s="35" t="s">
        <v>120</v>
      </c>
      <c r="BZ3" s="35" t="s">
        <v>134</v>
      </c>
      <c r="CA3" s="124" t="s">
        <v>109</v>
      </c>
      <c r="CB3" s="546" t="s">
        <v>138</v>
      </c>
      <c r="CC3" s="35" t="s">
        <v>139</v>
      </c>
      <c r="CD3" s="547" t="s">
        <v>140</v>
      </c>
      <c r="CE3" s="35" t="s">
        <v>75</v>
      </c>
      <c r="CF3" s="67" t="s">
        <v>109</v>
      </c>
      <c r="CG3" s="546" t="s">
        <v>141</v>
      </c>
      <c r="CH3" s="35" t="s">
        <v>139</v>
      </c>
      <c r="CI3" s="35" t="s">
        <v>142</v>
      </c>
      <c r="CJ3" s="35" t="s">
        <v>75</v>
      </c>
      <c r="CK3" s="67" t="s">
        <v>109</v>
      </c>
      <c r="CL3" s="546" t="s">
        <v>141</v>
      </c>
      <c r="CM3" s="35" t="s">
        <v>139</v>
      </c>
      <c r="CN3" s="35" t="s">
        <v>142</v>
      </c>
      <c r="CO3" s="35" t="s">
        <v>75</v>
      </c>
      <c r="CP3" s="67" t="s">
        <v>109</v>
      </c>
      <c r="CQ3" s="546" t="s">
        <v>141</v>
      </c>
      <c r="CR3" s="35" t="s">
        <v>143</v>
      </c>
      <c r="CS3" s="35" t="s">
        <v>144</v>
      </c>
      <c r="CT3" s="35" t="s">
        <v>75</v>
      </c>
      <c r="CU3" s="67" t="s">
        <v>109</v>
      </c>
      <c r="CV3" s="546" t="s">
        <v>141</v>
      </c>
      <c r="CW3" s="35" t="s">
        <v>139</v>
      </c>
      <c r="CX3" s="35" t="s">
        <v>144</v>
      </c>
      <c r="CY3" s="35" t="s">
        <v>75</v>
      </c>
      <c r="CZ3" s="67" t="s">
        <v>109</v>
      </c>
      <c r="DA3" s="546" t="s">
        <v>138</v>
      </c>
      <c r="DB3" s="558" t="s">
        <v>145</v>
      </c>
      <c r="DC3" s="426" t="s">
        <v>144</v>
      </c>
      <c r="DD3" s="417" t="s">
        <v>75</v>
      </c>
      <c r="DE3" s="67" t="s">
        <v>109</v>
      </c>
      <c r="DF3" s="546" t="s">
        <v>138</v>
      </c>
      <c r="DG3" s="426" t="s">
        <v>139</v>
      </c>
      <c r="DH3" s="426" t="s">
        <v>144</v>
      </c>
      <c r="DI3" s="417" t="s">
        <v>75</v>
      </c>
      <c r="DJ3" s="67" t="s">
        <v>109</v>
      </c>
      <c r="DK3" s="546" t="s">
        <v>138</v>
      </c>
      <c r="DL3" s="426" t="s">
        <v>139</v>
      </c>
      <c r="DM3" s="510" t="s">
        <v>144</v>
      </c>
      <c r="DN3" s="417" t="s">
        <v>75</v>
      </c>
      <c r="DO3" s="67" t="s">
        <v>109</v>
      </c>
      <c r="DP3" s="546" t="s">
        <v>138</v>
      </c>
      <c r="DQ3" s="426" t="s">
        <v>139</v>
      </c>
      <c r="DR3" s="510" t="s">
        <v>144</v>
      </c>
      <c r="DS3" s="417" t="s">
        <v>75</v>
      </c>
      <c r="DT3" s="67" t="s">
        <v>109</v>
      </c>
      <c r="DU3" s="546" t="s">
        <v>138</v>
      </c>
      <c r="DV3" s="426" t="s">
        <v>139</v>
      </c>
      <c r="DW3" s="510" t="s">
        <v>144</v>
      </c>
      <c r="DX3" s="35" t="s">
        <v>75</v>
      </c>
      <c r="DY3" s="1" t="s">
        <v>146</v>
      </c>
      <c r="DZ3" s="427" t="s">
        <v>147</v>
      </c>
      <c r="EA3" s="427" t="s">
        <v>148</v>
      </c>
      <c r="EB3" s="427" t="s">
        <v>149</v>
      </c>
      <c r="EC3" s="1" t="s">
        <v>80</v>
      </c>
      <c r="ED3" s="67" t="s">
        <v>109</v>
      </c>
      <c r="EE3" s="546" t="s">
        <v>138</v>
      </c>
      <c r="EF3" s="426" t="s">
        <v>145</v>
      </c>
      <c r="EG3" s="510" t="s">
        <v>144</v>
      </c>
      <c r="EH3" s="417" t="s">
        <v>75</v>
      </c>
      <c r="EI3" s="67" t="s">
        <v>109</v>
      </c>
      <c r="EJ3" s="546" t="s">
        <v>138</v>
      </c>
      <c r="EK3" s="426" t="s">
        <v>145</v>
      </c>
      <c r="EL3" s="510" t="s">
        <v>144</v>
      </c>
      <c r="EM3" s="417" t="s">
        <v>75</v>
      </c>
      <c r="EN3" s="67" t="s">
        <v>109</v>
      </c>
      <c r="EO3" s="547" t="s">
        <v>138</v>
      </c>
      <c r="EP3" s="426" t="s">
        <v>145</v>
      </c>
      <c r="EQ3" s="510" t="s">
        <v>144</v>
      </c>
      <c r="ER3" s="417" t="s">
        <v>75</v>
      </c>
      <c r="ES3" s="67" t="s">
        <v>109</v>
      </c>
      <c r="ET3" s="547" t="s">
        <v>138</v>
      </c>
      <c r="EU3" s="426" t="s">
        <v>145</v>
      </c>
      <c r="EV3" s="510" t="s">
        <v>144</v>
      </c>
      <c r="EW3" s="417" t="s">
        <v>75</v>
      </c>
      <c r="EX3" s="1" t="s">
        <v>146</v>
      </c>
      <c r="EY3" s="427" t="s">
        <v>147</v>
      </c>
      <c r="EZ3" s="427" t="s">
        <v>148</v>
      </c>
      <c r="FA3" s="427" t="s">
        <v>149</v>
      </c>
      <c r="FB3" s="1" t="s">
        <v>80</v>
      </c>
    </row>
    <row r="4" spans="1:158">
      <c r="A4" s="140" t="s">
        <v>5</v>
      </c>
      <c r="B4" s="370">
        <v>74775836</v>
      </c>
      <c r="C4" s="323">
        <v>87483480</v>
      </c>
      <c r="D4" s="322">
        <f>+D5+D23+D38+D52+D63</f>
        <v>99438084</v>
      </c>
      <c r="E4" s="313">
        <f t="shared" ref="E4:CH4" si="0">+E5+E23+E38+E52+E63</f>
        <v>43258756</v>
      </c>
      <c r="F4" s="313">
        <f t="shared" si="0"/>
        <v>46322418</v>
      </c>
      <c r="G4" s="313">
        <f t="shared" si="0"/>
        <v>4671797</v>
      </c>
      <c r="H4" s="313">
        <f t="shared" si="0"/>
        <v>5185153</v>
      </c>
      <c r="I4" s="314">
        <f t="shared" si="0"/>
        <v>106833937</v>
      </c>
      <c r="J4" s="315">
        <f t="shared" si="0"/>
        <v>95319285</v>
      </c>
      <c r="K4" s="313">
        <f t="shared" si="0"/>
        <v>45145132</v>
      </c>
      <c r="L4" s="313">
        <f t="shared" si="0"/>
        <v>50174153</v>
      </c>
      <c r="M4" s="315">
        <f t="shared" si="0"/>
        <v>10248774</v>
      </c>
      <c r="N4" s="313">
        <f t="shared" si="0"/>
        <v>4655623</v>
      </c>
      <c r="O4" s="313">
        <f t="shared" si="0"/>
        <v>5593151</v>
      </c>
      <c r="P4" s="315">
        <f t="shared" si="0"/>
        <v>3896750</v>
      </c>
      <c r="Q4" s="313">
        <f t="shared" si="0"/>
        <v>1902635</v>
      </c>
      <c r="R4" s="313">
        <f t="shared" si="0"/>
        <v>1994115</v>
      </c>
      <c r="S4" s="316">
        <f t="shared" si="0"/>
        <v>132835687</v>
      </c>
      <c r="T4" s="317">
        <f t="shared" si="0"/>
        <v>110233308</v>
      </c>
      <c r="U4" s="313">
        <f t="shared" si="0"/>
        <v>52018709</v>
      </c>
      <c r="V4" s="313">
        <f t="shared" si="0"/>
        <v>58214599</v>
      </c>
      <c r="W4" s="317">
        <f t="shared" si="0"/>
        <v>13018605</v>
      </c>
      <c r="X4" s="313">
        <f t="shared" si="0"/>
        <v>5815526</v>
      </c>
      <c r="Y4" s="313">
        <f t="shared" si="0"/>
        <v>7203079</v>
      </c>
      <c r="Z4" s="317">
        <f t="shared" si="0"/>
        <v>6739290</v>
      </c>
      <c r="AA4" s="313">
        <f t="shared" si="0"/>
        <v>3246773</v>
      </c>
      <c r="AB4" s="313">
        <f t="shared" si="0"/>
        <v>3492517</v>
      </c>
      <c r="AC4" s="315">
        <f t="shared" si="0"/>
        <v>2727688</v>
      </c>
      <c r="AD4" s="315">
        <f t="shared" si="0"/>
        <v>1276060</v>
      </c>
      <c r="AE4" s="315">
        <f t="shared" si="0"/>
        <v>1451628</v>
      </c>
      <c r="AF4" s="314">
        <f t="shared" si="0"/>
        <v>158868436</v>
      </c>
      <c r="AG4" s="317">
        <f t="shared" si="0"/>
        <v>132023308</v>
      </c>
      <c r="AH4" s="317">
        <f t="shared" si="0"/>
        <v>125898648</v>
      </c>
      <c r="AI4" s="313">
        <f t="shared" si="0"/>
        <v>59790642</v>
      </c>
      <c r="AJ4" s="313">
        <f t="shared" si="0"/>
        <v>66108006</v>
      </c>
      <c r="AK4" s="317">
        <f t="shared" si="0"/>
        <v>16761234</v>
      </c>
      <c r="AL4" s="317">
        <f t="shared" si="0"/>
        <v>16432555</v>
      </c>
      <c r="AM4" s="313">
        <f t="shared" si="0"/>
        <v>7343902</v>
      </c>
      <c r="AN4" s="313">
        <f t="shared" si="0"/>
        <v>9088653</v>
      </c>
      <c r="AO4" s="317">
        <f t="shared" si="0"/>
        <v>11226793</v>
      </c>
      <c r="AP4" s="313">
        <f t="shared" si="0"/>
        <v>5569274</v>
      </c>
      <c r="AQ4" s="313">
        <f t="shared" si="0"/>
        <v>5657519</v>
      </c>
      <c r="AR4" s="318">
        <f t="shared" si="0"/>
        <v>5310440</v>
      </c>
      <c r="AS4" s="314">
        <f t="shared" si="0"/>
        <v>182211639</v>
      </c>
      <c r="AT4" s="317">
        <f t="shared" si="0"/>
        <v>143085659</v>
      </c>
      <c r="AU4" s="319">
        <f t="shared" si="0"/>
        <v>68622786</v>
      </c>
      <c r="AV4" s="319">
        <f t="shared" si="0"/>
        <v>74462873</v>
      </c>
      <c r="AW4" s="317">
        <f t="shared" si="0"/>
        <v>133786263</v>
      </c>
      <c r="AX4" s="313">
        <f t="shared" si="0"/>
        <v>64027316</v>
      </c>
      <c r="AY4" s="313">
        <f t="shared" si="0"/>
        <v>69758947</v>
      </c>
      <c r="AZ4" s="317">
        <f t="shared" si="0"/>
        <v>19858095</v>
      </c>
      <c r="BA4" s="313">
        <f t="shared" si="0"/>
        <v>8980716</v>
      </c>
      <c r="BB4" s="313">
        <f t="shared" si="0"/>
        <v>10877379</v>
      </c>
      <c r="BC4" s="317">
        <f t="shared" si="0"/>
        <v>18270377</v>
      </c>
      <c r="BD4" s="313">
        <f t="shared" si="0"/>
        <v>9186431</v>
      </c>
      <c r="BE4" s="313">
        <f t="shared" si="0"/>
        <v>9083946</v>
      </c>
      <c r="BF4" s="315">
        <f t="shared" si="0"/>
        <v>19267885</v>
      </c>
      <c r="BG4" s="315">
        <f t="shared" si="0"/>
        <v>9474184</v>
      </c>
      <c r="BH4" s="315">
        <f t="shared" si="0"/>
        <v>9793701</v>
      </c>
      <c r="BI4" s="212">
        <f t="shared" ref="BI4:BL4" si="1">+BI5+BI23+BI38+BI52+BI63</f>
        <v>202053193</v>
      </c>
      <c r="BJ4" s="360">
        <f t="shared" ref="BJ4:BK4" si="2">+BJ5+BJ23+BJ38+BJ52+BJ63</f>
        <v>97209127</v>
      </c>
      <c r="BK4" s="360">
        <f t="shared" si="2"/>
        <v>104844066</v>
      </c>
      <c r="BL4" s="360">
        <f t="shared" si="1"/>
        <v>156003144</v>
      </c>
      <c r="BM4" s="360">
        <f t="shared" ref="BM4:BN4" si="3">+BM5+BM23+BM38+BM52+BM63</f>
        <v>75557622</v>
      </c>
      <c r="BN4" s="360">
        <f t="shared" si="3"/>
        <v>80445522</v>
      </c>
      <c r="BO4" s="360">
        <f t="shared" ref="BO4:BW4" si="4">+BO5+BO23+BO38+BO52+BO63</f>
        <v>139027540</v>
      </c>
      <c r="BP4" s="360">
        <f t="shared" si="4"/>
        <v>67144752</v>
      </c>
      <c r="BQ4" s="360">
        <f t="shared" si="4"/>
        <v>71882788</v>
      </c>
      <c r="BR4" s="360">
        <f t="shared" si="4"/>
        <v>23168136</v>
      </c>
      <c r="BS4" s="360">
        <f t="shared" si="4"/>
        <v>10572867</v>
      </c>
      <c r="BT4" s="360">
        <f t="shared" si="4"/>
        <v>12595269</v>
      </c>
      <c r="BU4" s="360">
        <f t="shared" si="4"/>
        <v>26466221</v>
      </c>
      <c r="BV4" s="360">
        <f t="shared" si="4"/>
        <v>13245900</v>
      </c>
      <c r="BW4" s="360">
        <f t="shared" si="4"/>
        <v>13220321</v>
      </c>
      <c r="BX4" s="360">
        <f t="shared" ref="BX4:BZ4" si="5">+BX5+BX23+BX38+BX52+BX63</f>
        <v>22881913</v>
      </c>
      <c r="BY4" s="360">
        <f t="shared" si="5"/>
        <v>11078638</v>
      </c>
      <c r="BZ4" s="360">
        <f t="shared" si="5"/>
        <v>11803275</v>
      </c>
      <c r="CA4" s="320">
        <f t="shared" si="0"/>
        <v>195646383</v>
      </c>
      <c r="CB4" s="317">
        <f t="shared" si="0"/>
        <v>137728802</v>
      </c>
      <c r="CC4" s="313">
        <f t="shared" si="0"/>
        <v>21846370</v>
      </c>
      <c r="CD4" s="313">
        <f t="shared" si="0"/>
        <v>23026363</v>
      </c>
      <c r="CE4" s="313">
        <f t="shared" si="0"/>
        <v>23964281</v>
      </c>
      <c r="CF4" s="321">
        <f t="shared" si="0"/>
        <v>197794576</v>
      </c>
      <c r="CG4" s="317">
        <f t="shared" si="0"/>
        <v>152690957</v>
      </c>
      <c r="CH4" s="313">
        <f t="shared" si="0"/>
        <v>22166023</v>
      </c>
      <c r="CI4" s="313">
        <f t="shared" ref="CI4:CO4" si="6">+CI5+CI23+CI38+CI52+CI63</f>
        <v>22937596</v>
      </c>
      <c r="CJ4" s="313">
        <f t="shared" si="6"/>
        <v>24725562</v>
      </c>
      <c r="CK4" s="321">
        <f t="shared" si="6"/>
        <v>199812920</v>
      </c>
      <c r="CL4" s="313">
        <f t="shared" si="6"/>
        <v>154635503</v>
      </c>
      <c r="CM4" s="313">
        <f t="shared" si="6"/>
        <v>22618460</v>
      </c>
      <c r="CN4" s="313">
        <f t="shared" si="6"/>
        <v>22558957</v>
      </c>
      <c r="CO4" s="313">
        <f t="shared" si="6"/>
        <v>25287089</v>
      </c>
      <c r="CP4" s="321">
        <f t="shared" ref="CP4:CS4" si="7">+CP5+CP23+CP38+CP52+CP63</f>
        <v>202053193</v>
      </c>
      <c r="CQ4" s="209">
        <f t="shared" si="7"/>
        <v>156003144</v>
      </c>
      <c r="CR4" s="209">
        <f t="shared" si="7"/>
        <v>23168136</v>
      </c>
      <c r="CS4" s="209">
        <f t="shared" si="7"/>
        <v>22881913</v>
      </c>
      <c r="CT4" s="209">
        <f>+CT5+CT23+CT38+CT52+CT63</f>
        <v>26466221</v>
      </c>
      <c r="CU4" s="321">
        <f t="shared" ref="CU4:DD4" si="8">+CU5+CU23+CU38+CU52+CU63</f>
        <v>204348469</v>
      </c>
      <c r="CV4" s="209">
        <f t="shared" si="8"/>
        <v>157438474</v>
      </c>
      <c r="CW4" s="209">
        <f t="shared" si="8"/>
        <v>23497289</v>
      </c>
      <c r="CX4" s="209">
        <f>+CX5+CX23+CX38+CX52+CX63</f>
        <v>23412706</v>
      </c>
      <c r="CY4" s="418">
        <f t="shared" si="8"/>
        <v>27341167</v>
      </c>
      <c r="CZ4" s="209">
        <f t="shared" si="8"/>
        <v>206597203</v>
      </c>
      <c r="DA4" s="362">
        <f t="shared" si="8"/>
        <v>140316679</v>
      </c>
      <c r="DB4" s="362">
        <f t="shared" si="8"/>
        <v>23900027</v>
      </c>
      <c r="DC4" s="362">
        <f t="shared" si="8"/>
        <v>23819900</v>
      </c>
      <c r="DD4" s="418">
        <f t="shared" si="8"/>
        <v>28160679</v>
      </c>
      <c r="DE4" s="418">
        <f t="shared" ref="DE4:DF4" si="9">+DE5+DE23+DE38+DE52+DE63</f>
        <v>208797616</v>
      </c>
      <c r="DF4" s="418">
        <f t="shared" si="9"/>
        <v>140911329</v>
      </c>
      <c r="DG4" s="418">
        <f t="shared" ref="DG4:DP4" si="10">+DG5+DG23+DG38+DG52+DG63</f>
        <v>24250831</v>
      </c>
      <c r="DH4" s="418">
        <f t="shared" si="10"/>
        <v>24394536</v>
      </c>
      <c r="DI4" s="418">
        <f t="shared" si="10"/>
        <v>28948817</v>
      </c>
      <c r="DJ4" s="418">
        <f t="shared" ref="DJ4:DN4" si="11">+DJ5+DJ23+DJ38+DJ52+DJ63</f>
        <v>213725624</v>
      </c>
      <c r="DK4" s="418">
        <f t="shared" si="11"/>
        <v>142031565</v>
      </c>
      <c r="DL4" s="679">
        <f t="shared" si="11"/>
        <v>25122473</v>
      </c>
      <c r="DM4" s="418">
        <f t="shared" si="11"/>
        <v>25909746</v>
      </c>
      <c r="DN4" s="418">
        <f t="shared" si="11"/>
        <v>30696216</v>
      </c>
      <c r="DO4" s="418">
        <f t="shared" si="10"/>
        <v>216447163</v>
      </c>
      <c r="DP4" s="418">
        <f t="shared" si="10"/>
        <v>142711173</v>
      </c>
      <c r="DQ4" s="418">
        <f t="shared" ref="DQ4" si="12">+DQ5+DQ23+DQ38+DQ52+DQ63</f>
        <v>25568681</v>
      </c>
      <c r="DR4" s="418">
        <f t="shared" ref="DR4:DV4" si="13">+DR5+DR23+DR38+DR52+DR63</f>
        <v>26896071</v>
      </c>
      <c r="DS4" s="418">
        <f t="shared" si="13"/>
        <v>31653207</v>
      </c>
      <c r="DT4" s="418">
        <f t="shared" si="13"/>
        <v>218475480</v>
      </c>
      <c r="DU4" s="418">
        <f t="shared" si="13"/>
        <v>143232044</v>
      </c>
      <c r="DV4" s="418">
        <f t="shared" si="13"/>
        <v>25918800</v>
      </c>
      <c r="DW4" s="418">
        <f t="shared" ref="DW4:EF4" si="14">+DW5+DW23+DW38+DW52+DW63</f>
        <v>27991057</v>
      </c>
      <c r="DX4" s="209">
        <f t="shared" si="14"/>
        <v>32331742</v>
      </c>
      <c r="DY4" s="418">
        <f>+DY5+DY23+DY38+DY52+DY63</f>
        <v>12325474</v>
      </c>
      <c r="DZ4" s="418">
        <f t="shared" si="14"/>
        <v>381563</v>
      </c>
      <c r="EA4" s="418">
        <f t="shared" si="14"/>
        <v>1606097</v>
      </c>
      <c r="EB4" s="418">
        <f t="shared" si="14"/>
        <v>3702117</v>
      </c>
      <c r="EC4" s="418">
        <f t="shared" si="14"/>
        <v>7636539</v>
      </c>
      <c r="ED4" s="540">
        <f t="shared" si="14"/>
        <v>221250083</v>
      </c>
      <c r="EE4" s="418">
        <f t="shared" si="14"/>
        <v>143648000</v>
      </c>
      <c r="EF4" s="418">
        <f t="shared" si="14"/>
        <v>26456336</v>
      </c>
      <c r="EG4" s="613">
        <f t="shared" ref="EG4:EK4" si="15">+EG5+EG23+EG38+EG52+EG63</f>
        <v>29003424</v>
      </c>
      <c r="EH4" s="418">
        <f t="shared" si="15"/>
        <v>33474043</v>
      </c>
      <c r="EI4" s="540">
        <f t="shared" si="15"/>
        <v>223158847</v>
      </c>
      <c r="EJ4" s="418">
        <f t="shared" si="15"/>
        <v>0</v>
      </c>
      <c r="EK4" s="418">
        <f t="shared" si="15"/>
        <v>0</v>
      </c>
      <c r="EL4" s="418">
        <f t="shared" ref="EL4:EP4" si="16">+EL5+EL23+EL38+EL52+EL63</f>
        <v>0</v>
      </c>
      <c r="EM4" s="418">
        <f t="shared" si="16"/>
        <v>0</v>
      </c>
      <c r="EN4" s="612">
        <f t="shared" si="16"/>
        <v>224898568</v>
      </c>
      <c r="EO4" s="613">
        <f t="shared" si="16"/>
        <v>144203068</v>
      </c>
      <c r="EP4" s="418">
        <f t="shared" si="16"/>
        <v>27325092</v>
      </c>
      <c r="EQ4" s="418">
        <f t="shared" ref="EQ4:EU4" si="17">+EQ5+EQ23+EQ38+EQ52+EQ63</f>
        <v>30087407</v>
      </c>
      <c r="ER4" s="418">
        <f t="shared" si="17"/>
        <v>34949077</v>
      </c>
      <c r="ES4" s="612">
        <f t="shared" si="17"/>
        <v>228193464</v>
      </c>
      <c r="ET4" s="613">
        <f t="shared" si="17"/>
        <v>141967368</v>
      </c>
      <c r="EU4" s="418">
        <f t="shared" si="17"/>
        <v>26356621</v>
      </c>
      <c r="EV4" s="418">
        <f t="shared" ref="EV4:EW4" si="18">+EV5+EV23+EV38+EV52+EV63</f>
        <v>54164906</v>
      </c>
      <c r="EW4" s="418">
        <f t="shared" si="18"/>
        <v>36598855</v>
      </c>
      <c r="EX4" s="418">
        <f t="shared" ref="EX4" si="19">+EX5+EX23+EX38+EX52+EX63</f>
        <v>13750877</v>
      </c>
      <c r="EY4" s="418">
        <f t="shared" ref="EY4" si="20">+EY5+EY23+EY38+EY52+EY63</f>
        <v>314059</v>
      </c>
      <c r="EZ4" s="418">
        <f t="shared" ref="EZ4:FB4" si="21">+EZ5+EZ23+EZ38+EZ52+EZ63</f>
        <v>1955571</v>
      </c>
      <c r="FA4" s="418">
        <f t="shared" si="21"/>
        <v>23590746</v>
      </c>
      <c r="FB4" s="418">
        <f t="shared" si="21"/>
        <v>14553653</v>
      </c>
    </row>
    <row r="5" spans="1:158">
      <c r="A5" s="38" t="s">
        <v>6</v>
      </c>
      <c r="B5" s="198">
        <f>SUM(B7:B22)</f>
        <v>20760728</v>
      </c>
      <c r="C5" s="303">
        <f t="shared" ref="C5:CF5" si="22">SUM(C7:C22)</f>
        <v>24647210</v>
      </c>
      <c r="D5" s="304">
        <f t="shared" si="22"/>
        <v>28514719</v>
      </c>
      <c r="E5" s="215">
        <f t="shared" si="22"/>
        <v>11324628</v>
      </c>
      <c r="F5" s="215">
        <f t="shared" si="22"/>
        <v>12151136</v>
      </c>
      <c r="G5" s="215">
        <f t="shared" si="22"/>
        <v>2338284</v>
      </c>
      <c r="H5" s="215">
        <f t="shared" si="22"/>
        <v>2700671</v>
      </c>
      <c r="I5" s="218">
        <f t="shared" si="22"/>
        <v>32908243</v>
      </c>
      <c r="J5" s="199">
        <f t="shared" si="22"/>
        <v>27640073</v>
      </c>
      <c r="K5" s="215">
        <f t="shared" si="22"/>
        <v>13086747</v>
      </c>
      <c r="L5" s="215">
        <f t="shared" si="22"/>
        <v>14553326</v>
      </c>
      <c r="M5" s="199">
        <f t="shared" si="22"/>
        <v>5107646</v>
      </c>
      <c r="N5" s="215">
        <f t="shared" si="22"/>
        <v>2308026</v>
      </c>
      <c r="O5" s="215">
        <f t="shared" si="22"/>
        <v>2799620</v>
      </c>
      <c r="P5" s="199">
        <f t="shared" si="22"/>
        <v>1220317</v>
      </c>
      <c r="Q5" s="215">
        <f t="shared" si="22"/>
        <v>583605</v>
      </c>
      <c r="R5" s="215">
        <f t="shared" si="22"/>
        <v>636712</v>
      </c>
      <c r="S5" s="218">
        <f t="shared" si="22"/>
        <v>43292147</v>
      </c>
      <c r="T5" s="201">
        <f t="shared" si="22"/>
        <v>34118235</v>
      </c>
      <c r="U5" s="215">
        <f t="shared" si="22"/>
        <v>16124385</v>
      </c>
      <c r="V5" s="215">
        <f t="shared" si="22"/>
        <v>17993850</v>
      </c>
      <c r="W5" s="201">
        <f t="shared" si="22"/>
        <v>6556927</v>
      </c>
      <c r="X5" s="215">
        <f t="shared" si="22"/>
        <v>2924000</v>
      </c>
      <c r="Y5" s="215">
        <f t="shared" si="22"/>
        <v>3632927</v>
      </c>
      <c r="Z5" s="201">
        <f t="shared" si="22"/>
        <v>2121402</v>
      </c>
      <c r="AA5" s="215">
        <f t="shared" si="22"/>
        <v>1006320</v>
      </c>
      <c r="AB5" s="215">
        <f t="shared" si="22"/>
        <v>1115082</v>
      </c>
      <c r="AC5" s="310">
        <f t="shared" si="22"/>
        <v>464687</v>
      </c>
      <c r="AD5" s="310">
        <f t="shared" si="22"/>
        <v>208594</v>
      </c>
      <c r="AE5" s="199">
        <f t="shared" si="22"/>
        <v>256093</v>
      </c>
      <c r="AF5" s="218">
        <f t="shared" si="22"/>
        <v>53926454</v>
      </c>
      <c r="AG5" s="173">
        <f t="shared" si="22"/>
        <v>43346825</v>
      </c>
      <c r="AH5" s="196">
        <f t="shared" si="22"/>
        <v>41015834</v>
      </c>
      <c r="AI5" s="215">
        <f t="shared" si="22"/>
        <v>19486175</v>
      </c>
      <c r="AJ5" s="215">
        <f t="shared" si="22"/>
        <v>21529659</v>
      </c>
      <c r="AK5" s="173">
        <f t="shared" si="22"/>
        <v>8481889</v>
      </c>
      <c r="AL5" s="196">
        <f t="shared" si="22"/>
        <v>8412502</v>
      </c>
      <c r="AM5" s="215">
        <f t="shared" si="22"/>
        <v>3736845</v>
      </c>
      <c r="AN5" s="215">
        <f t="shared" si="22"/>
        <v>4675657</v>
      </c>
      <c r="AO5" s="173">
        <f t="shared" si="22"/>
        <v>3533865</v>
      </c>
      <c r="AP5" s="215">
        <f t="shared" si="22"/>
        <v>1728026</v>
      </c>
      <c r="AQ5" s="215">
        <f t="shared" si="22"/>
        <v>1805839</v>
      </c>
      <c r="AR5" s="311">
        <f t="shared" si="22"/>
        <v>964253</v>
      </c>
      <c r="AS5" s="218">
        <f t="shared" si="22"/>
        <v>64536998</v>
      </c>
      <c r="AT5" s="173">
        <f t="shared" si="22"/>
        <v>49395127</v>
      </c>
      <c r="AU5" s="173">
        <f t="shared" si="22"/>
        <v>23695610</v>
      </c>
      <c r="AV5" s="173">
        <f t="shared" si="22"/>
        <v>25699517</v>
      </c>
      <c r="AW5" s="196">
        <f t="shared" si="22"/>
        <v>45486361</v>
      </c>
      <c r="AX5" s="215">
        <f t="shared" si="22"/>
        <v>21772371</v>
      </c>
      <c r="AY5" s="215">
        <f t="shared" si="22"/>
        <v>23713990</v>
      </c>
      <c r="AZ5" s="173">
        <f t="shared" si="22"/>
        <v>10616527</v>
      </c>
      <c r="BA5" s="215">
        <f t="shared" si="22"/>
        <v>4785827</v>
      </c>
      <c r="BB5" s="215">
        <f t="shared" si="22"/>
        <v>5830700</v>
      </c>
      <c r="BC5" s="173">
        <f t="shared" si="22"/>
        <v>6192878</v>
      </c>
      <c r="BD5" s="215">
        <f t="shared" si="22"/>
        <v>3127144</v>
      </c>
      <c r="BE5" s="215">
        <f t="shared" si="22"/>
        <v>3065734</v>
      </c>
      <c r="BF5" s="310">
        <f t="shared" si="22"/>
        <v>4525344</v>
      </c>
      <c r="BG5" s="310">
        <f t="shared" si="22"/>
        <v>2263622</v>
      </c>
      <c r="BH5" s="199">
        <f t="shared" si="22"/>
        <v>2261722</v>
      </c>
      <c r="BI5" s="218">
        <f t="shared" ref="BI5:BL5" si="23">SUM(BI7:BI22)</f>
        <v>74140773</v>
      </c>
      <c r="BJ5" s="199">
        <f t="shared" ref="BJ5:BK5" si="24">SUM(BJ7:BJ22)</f>
        <v>35510048</v>
      </c>
      <c r="BK5" s="199">
        <f t="shared" si="24"/>
        <v>38630725</v>
      </c>
      <c r="BL5" s="199">
        <f t="shared" si="23"/>
        <v>55558168</v>
      </c>
      <c r="BM5" s="199">
        <f t="shared" ref="BM5:BN5" si="25">SUM(BM7:BM22)</f>
        <v>26861821</v>
      </c>
      <c r="BN5" s="199">
        <f t="shared" si="25"/>
        <v>28696347</v>
      </c>
      <c r="BO5" s="199">
        <f t="shared" ref="BO5:BW5" si="26">SUM(BO7:BO22)</f>
        <v>48435566</v>
      </c>
      <c r="BP5" s="199">
        <f t="shared" si="26"/>
        <v>23341375</v>
      </c>
      <c r="BQ5" s="199">
        <f t="shared" si="26"/>
        <v>25094191</v>
      </c>
      <c r="BR5" s="199">
        <f t="shared" si="26"/>
        <v>12877208</v>
      </c>
      <c r="BS5" s="199">
        <f t="shared" si="26"/>
        <v>5841073</v>
      </c>
      <c r="BT5" s="199">
        <f t="shared" si="26"/>
        <v>7036135</v>
      </c>
      <c r="BU5" s="199">
        <f t="shared" si="26"/>
        <v>9683808</v>
      </c>
      <c r="BV5" s="199">
        <f t="shared" si="26"/>
        <v>4863597</v>
      </c>
      <c r="BW5" s="199">
        <f t="shared" si="26"/>
        <v>4820211</v>
      </c>
      <c r="BX5" s="199">
        <f t="shared" ref="BX5:BZ5" si="27">SUM(BX7:BX22)</f>
        <v>5705397</v>
      </c>
      <c r="BY5" s="199">
        <f t="shared" si="27"/>
        <v>2807154</v>
      </c>
      <c r="BZ5" s="199">
        <f t="shared" si="27"/>
        <v>2898243</v>
      </c>
      <c r="CA5" s="312">
        <f t="shared" si="22"/>
        <v>70753477</v>
      </c>
      <c r="CB5" s="173">
        <f t="shared" si="22"/>
        <v>47551987</v>
      </c>
      <c r="CC5" s="215">
        <f t="shared" si="22"/>
        <v>11990435</v>
      </c>
      <c r="CD5" s="215">
        <f t="shared" si="22"/>
        <v>5775578</v>
      </c>
      <c r="CE5" s="215">
        <f t="shared" si="22"/>
        <v>8468466</v>
      </c>
      <c r="CF5" s="195">
        <f t="shared" si="22"/>
        <v>71799388</v>
      </c>
      <c r="CG5" s="173">
        <f t="shared" ref="CG5:CO5" si="28">SUM(CG7:CG22)</f>
        <v>53845758</v>
      </c>
      <c r="CH5" s="215">
        <f t="shared" si="28"/>
        <v>12208649</v>
      </c>
      <c r="CI5" s="215">
        <f t="shared" si="28"/>
        <v>5744981</v>
      </c>
      <c r="CJ5" s="215">
        <f t="shared" si="28"/>
        <v>8796668</v>
      </c>
      <c r="CK5" s="195">
        <f t="shared" si="28"/>
        <v>72742748</v>
      </c>
      <c r="CL5" s="173">
        <f t="shared" si="28"/>
        <v>54594944</v>
      </c>
      <c r="CM5" s="215">
        <f t="shared" si="28"/>
        <v>12505513</v>
      </c>
      <c r="CN5" s="215">
        <f t="shared" si="28"/>
        <v>5642291</v>
      </c>
      <c r="CO5" s="215">
        <f t="shared" si="28"/>
        <v>9080183</v>
      </c>
      <c r="CP5" s="195">
        <f t="shared" ref="CP5:CS5" si="29">SUM(CP7:CP22)</f>
        <v>74140773</v>
      </c>
      <c r="CQ5" s="362">
        <f t="shared" si="29"/>
        <v>55558168</v>
      </c>
      <c r="CR5" s="362">
        <f t="shared" si="29"/>
        <v>12877208</v>
      </c>
      <c r="CS5" s="362">
        <f t="shared" si="29"/>
        <v>5705397</v>
      </c>
      <c r="CT5" s="362">
        <f>SUM(CT7:CT22)</f>
        <v>9683808</v>
      </c>
      <c r="CU5" s="195">
        <f t="shared" ref="CU5:DD5" si="30">SUM(CU7:CU22)</f>
        <v>75184723</v>
      </c>
      <c r="CV5" s="362">
        <f t="shared" si="30"/>
        <v>56258342</v>
      </c>
      <c r="CW5" s="362">
        <f t="shared" si="30"/>
        <v>13116248</v>
      </c>
      <c r="CX5" s="362">
        <f>SUM(CX7:CX22)</f>
        <v>5810133</v>
      </c>
      <c r="CY5" s="415">
        <f t="shared" si="30"/>
        <v>10053457</v>
      </c>
      <c r="CZ5" s="362">
        <f t="shared" si="30"/>
        <v>76214718</v>
      </c>
      <c r="DA5" s="362">
        <f t="shared" si="30"/>
        <v>49088929</v>
      </c>
      <c r="DB5" s="362">
        <f t="shared" si="30"/>
        <v>13361869</v>
      </c>
      <c r="DC5" s="362">
        <f t="shared" si="30"/>
        <v>5842327</v>
      </c>
      <c r="DD5" s="415">
        <f t="shared" si="30"/>
        <v>10386883</v>
      </c>
      <c r="DE5" s="415">
        <f t="shared" ref="DE5:DF5" si="31">SUM(DE7:DE22)</f>
        <v>77209746</v>
      </c>
      <c r="DF5" s="415">
        <f t="shared" si="31"/>
        <v>49388407</v>
      </c>
      <c r="DG5" s="415">
        <f t="shared" ref="DG5:DP5" si="32">SUM(DG7:DG22)</f>
        <v>13592135</v>
      </c>
      <c r="DH5" s="415">
        <f t="shared" si="32"/>
        <v>5949413</v>
      </c>
      <c r="DI5" s="415">
        <f t="shared" si="32"/>
        <v>10708589</v>
      </c>
      <c r="DJ5" s="415">
        <f t="shared" ref="DJ5:DN5" si="33">SUM(DJ7:DJ22)</f>
        <v>79409876</v>
      </c>
      <c r="DK5" s="415">
        <f t="shared" si="33"/>
        <v>50018840</v>
      </c>
      <c r="DL5" s="680">
        <f t="shared" si="33"/>
        <v>14179961</v>
      </c>
      <c r="DM5" s="415">
        <f t="shared" si="33"/>
        <v>6182522</v>
      </c>
      <c r="DN5" s="415">
        <f t="shared" si="33"/>
        <v>11393159</v>
      </c>
      <c r="DO5" s="415">
        <f t="shared" si="32"/>
        <v>80711975</v>
      </c>
      <c r="DP5" s="415">
        <f t="shared" si="32"/>
        <v>50418496</v>
      </c>
      <c r="DQ5" s="415">
        <f t="shared" ref="DQ5" si="34">SUM(DQ7:DQ22)</f>
        <v>14462976</v>
      </c>
      <c r="DR5" s="415">
        <f t="shared" ref="DR5:DV5" si="35">SUM(DR7:DR22)</f>
        <v>6506668</v>
      </c>
      <c r="DS5" s="415">
        <f t="shared" si="35"/>
        <v>11797935</v>
      </c>
      <c r="DT5" s="415">
        <f t="shared" si="35"/>
        <v>81785538</v>
      </c>
      <c r="DU5" s="415">
        <f t="shared" si="35"/>
        <v>50777150</v>
      </c>
      <c r="DV5" s="415">
        <f t="shared" si="35"/>
        <v>14721020</v>
      </c>
      <c r="DW5" s="415">
        <f t="shared" ref="DW5:EF5" si="36">SUM(DW7:DW22)</f>
        <v>6830184</v>
      </c>
      <c r="DX5" s="362">
        <f t="shared" si="36"/>
        <v>12106084</v>
      </c>
      <c r="DY5" s="362">
        <f t="shared" si="36"/>
        <v>2772476</v>
      </c>
      <c r="DZ5" s="362">
        <f t="shared" si="36"/>
        <v>33339</v>
      </c>
      <c r="EA5" s="362">
        <f t="shared" si="36"/>
        <v>510497</v>
      </c>
      <c r="EB5" s="362">
        <f t="shared" si="36"/>
        <v>1319078</v>
      </c>
      <c r="EC5" s="362">
        <f t="shared" si="36"/>
        <v>2194794</v>
      </c>
      <c r="ED5" s="541">
        <f t="shared" si="36"/>
        <v>82991889</v>
      </c>
      <c r="EE5" s="415">
        <f t="shared" si="36"/>
        <v>50992249</v>
      </c>
      <c r="EF5" s="415">
        <f t="shared" si="36"/>
        <v>15000952</v>
      </c>
      <c r="EG5" s="422">
        <f t="shared" ref="EG5:EK5" si="37">SUM(EG7:EG22)</f>
        <v>7141994</v>
      </c>
      <c r="EH5" s="415">
        <f t="shared" si="37"/>
        <v>12605318</v>
      </c>
      <c r="EI5" s="541">
        <f t="shared" si="37"/>
        <v>84051989</v>
      </c>
      <c r="EJ5" s="415">
        <f t="shared" si="37"/>
        <v>0</v>
      </c>
      <c r="EK5" s="415">
        <f t="shared" si="37"/>
        <v>0</v>
      </c>
      <c r="EL5" s="415">
        <f t="shared" ref="EL5:EP5" si="38">SUM(EL7:EL22)</f>
        <v>0</v>
      </c>
      <c r="EM5" s="415">
        <f t="shared" si="38"/>
        <v>0</v>
      </c>
      <c r="EN5" s="543">
        <f t="shared" si="38"/>
        <v>84990594</v>
      </c>
      <c r="EO5" s="422">
        <f t="shared" si="38"/>
        <v>51457891</v>
      </c>
      <c r="EP5" s="415">
        <f t="shared" si="38"/>
        <v>15571655</v>
      </c>
      <c r="EQ5" s="415">
        <f t="shared" ref="EQ5:EU5" si="39">SUM(EQ7:EQ22)</f>
        <v>7674814</v>
      </c>
      <c r="ER5" s="415">
        <f t="shared" si="39"/>
        <v>13320337</v>
      </c>
      <c r="ES5" s="543">
        <f t="shared" si="39"/>
        <v>86364199</v>
      </c>
      <c r="ET5" s="422">
        <f t="shared" si="39"/>
        <v>50746715</v>
      </c>
      <c r="EU5" s="415">
        <f t="shared" si="39"/>
        <v>15131092</v>
      </c>
      <c r="EV5" s="415">
        <f t="shared" ref="EV5:EW5" si="40">SUM(EV7:EV22)</f>
        <v>17945012</v>
      </c>
      <c r="EW5" s="415">
        <f t="shared" si="40"/>
        <v>13951520</v>
      </c>
      <c r="EX5" s="415">
        <f t="shared" ref="EX5" si="41">SUM(EX7:EX22)</f>
        <v>3221080</v>
      </c>
      <c r="EY5" s="415">
        <f t="shared" ref="EY5" si="42">SUM(EY7:EY22)</f>
        <v>28118</v>
      </c>
      <c r="EZ5" s="415">
        <f t="shared" ref="EZ5:FB5" si="43">SUM(EZ7:EZ22)</f>
        <v>589938</v>
      </c>
      <c r="FA5" s="415">
        <f t="shared" si="43"/>
        <v>9946747</v>
      </c>
      <c r="FB5" s="415">
        <f t="shared" si="43"/>
        <v>4159129</v>
      </c>
    </row>
    <row r="6" spans="1:158">
      <c r="A6" s="141" t="s">
        <v>150</v>
      </c>
      <c r="B6" s="8"/>
      <c r="C6" s="17"/>
      <c r="J6" s="92"/>
      <c r="M6" s="92"/>
      <c r="P6" s="92"/>
      <c r="S6" s="68"/>
      <c r="T6" s="90"/>
      <c r="W6" s="90"/>
      <c r="Z6" s="90"/>
      <c r="AC6" s="92"/>
      <c r="AD6" s="92"/>
      <c r="AE6" s="92"/>
      <c r="AG6" s="3"/>
      <c r="AH6" s="55"/>
      <c r="AK6" s="3"/>
      <c r="AL6" s="55"/>
      <c r="AO6" s="3"/>
      <c r="AR6" s="59"/>
      <c r="AT6" s="3"/>
      <c r="AU6" s="115"/>
      <c r="AV6" s="115"/>
      <c r="AW6" s="55"/>
      <c r="AZ6" s="3"/>
      <c r="BC6" s="3"/>
      <c r="BF6" s="92"/>
      <c r="BG6" s="92"/>
      <c r="BH6" s="92"/>
      <c r="BI6" s="68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125"/>
      <c r="CB6" s="3"/>
      <c r="CF6" s="68"/>
      <c r="CG6" s="3"/>
      <c r="CK6" s="50"/>
      <c r="CP6" s="50"/>
      <c r="CQ6" s="357"/>
      <c r="CU6" s="50"/>
      <c r="CV6" s="357"/>
      <c r="CY6" s="49"/>
      <c r="DA6" s="37"/>
      <c r="DD6" s="49"/>
      <c r="ED6" s="50"/>
      <c r="EI6" s="50"/>
      <c r="EN6" s="68"/>
    </row>
    <row r="7" spans="1:158" ht="15.6">
      <c r="A7" s="38" t="s">
        <v>8</v>
      </c>
      <c r="B7" s="371">
        <v>1354736</v>
      </c>
      <c r="C7" s="6">
        <v>1559445</v>
      </c>
      <c r="D7" s="37">
        <v>1669871</v>
      </c>
      <c r="E7" s="37">
        <v>593285</v>
      </c>
      <c r="F7" s="37">
        <v>638973</v>
      </c>
      <c r="G7" s="37">
        <v>196165</v>
      </c>
      <c r="H7" s="37">
        <v>241448</v>
      </c>
      <c r="I7" s="68">
        <v>1808798</v>
      </c>
      <c r="J7" s="92">
        <f t="shared" ref="J7:J22" si="44">+K7+L7</f>
        <v>1399206</v>
      </c>
      <c r="K7" s="37">
        <v>660345</v>
      </c>
      <c r="L7" s="37">
        <v>738861</v>
      </c>
      <c r="M7" s="92">
        <f t="shared" ref="M7:M22" si="45">+N7+O7</f>
        <v>406635</v>
      </c>
      <c r="N7" s="37">
        <v>177519</v>
      </c>
      <c r="O7" s="37">
        <v>229116</v>
      </c>
      <c r="P7" s="92">
        <f t="shared" ref="P7:P22" si="46">+Q7+R7</f>
        <v>5312</v>
      </c>
      <c r="Q7" s="37">
        <v>2647</v>
      </c>
      <c r="R7" s="37">
        <v>2665</v>
      </c>
      <c r="S7" s="7">
        <v>2217315</v>
      </c>
      <c r="T7" s="38">
        <v>1712044</v>
      </c>
      <c r="U7" s="37">
        <v>804503</v>
      </c>
      <c r="V7" s="37">
        <v>907541</v>
      </c>
      <c r="W7" s="38">
        <f t="shared" ref="W7:W22" si="47">+X7+Y7</f>
        <v>477273</v>
      </c>
      <c r="X7" s="37">
        <v>206582</v>
      </c>
      <c r="Y7" s="37">
        <v>270691</v>
      </c>
      <c r="Z7" s="38">
        <v>16166</v>
      </c>
      <c r="AA7" s="37">
        <v>7481</v>
      </c>
      <c r="AB7" s="37">
        <v>8685</v>
      </c>
      <c r="AC7" s="92">
        <v>10900</v>
      </c>
      <c r="AD7" s="92">
        <v>4576</v>
      </c>
      <c r="AE7" s="92">
        <v>6324</v>
      </c>
      <c r="AF7" s="68">
        <v>2545969</v>
      </c>
      <c r="AG7" s="39">
        <v>1963783</v>
      </c>
      <c r="AH7" s="55">
        <f t="shared" ref="AH7:AH22" si="48">+AI7+AJ7</f>
        <v>1955332</v>
      </c>
      <c r="AI7" s="37">
        <v>922257</v>
      </c>
      <c r="AJ7" s="37">
        <v>1033075</v>
      </c>
      <c r="AK7" s="38">
        <v>556648</v>
      </c>
      <c r="AL7" s="55">
        <f t="shared" ref="AL7:AL22" si="49">+AM7+AN7</f>
        <v>555421</v>
      </c>
      <c r="AM7" s="37">
        <v>238244</v>
      </c>
      <c r="AN7" s="37">
        <v>317177</v>
      </c>
      <c r="AO7" s="38">
        <v>12345</v>
      </c>
      <c r="AP7" s="37">
        <v>5965</v>
      </c>
      <c r="AQ7" s="37">
        <v>6380</v>
      </c>
      <c r="AR7" s="59">
        <f t="shared" ref="AR7:AR22" si="50">+AF7-AH7-AL7-AO7</f>
        <v>22871</v>
      </c>
      <c r="AS7" s="68">
        <v>2887400</v>
      </c>
      <c r="AT7" s="38">
        <v>2157934</v>
      </c>
      <c r="AU7" s="115">
        <v>1030234</v>
      </c>
      <c r="AV7" s="115">
        <v>1127700</v>
      </c>
      <c r="AW7" s="55">
        <f t="shared" ref="AW7:AW22" si="51">+AX7+AY7</f>
        <v>2139281</v>
      </c>
      <c r="AX7" s="37">
        <v>1020007</v>
      </c>
      <c r="AY7" s="37">
        <v>1119274</v>
      </c>
      <c r="AZ7" s="38">
        <v>657233</v>
      </c>
      <c r="BA7" s="37">
        <v>287485</v>
      </c>
      <c r="BB7" s="37">
        <v>369748</v>
      </c>
      <c r="BC7" s="38">
        <v>36486</v>
      </c>
      <c r="BD7" s="37">
        <v>20543</v>
      </c>
      <c r="BE7" s="37">
        <v>15943</v>
      </c>
      <c r="BF7" s="92">
        <v>72233</v>
      </c>
      <c r="BG7" s="92">
        <v>35635</v>
      </c>
      <c r="BH7" s="92">
        <v>36598</v>
      </c>
      <c r="BI7" s="68">
        <v>3142304</v>
      </c>
      <c r="BJ7" s="37">
        <v>1487450</v>
      </c>
      <c r="BK7" s="37">
        <v>1654854</v>
      </c>
      <c r="BL7" s="37">
        <v>2287448</v>
      </c>
      <c r="BM7" s="37">
        <v>1101808</v>
      </c>
      <c r="BN7" s="37">
        <v>1185640</v>
      </c>
      <c r="BO7" s="37">
        <v>2230592</v>
      </c>
      <c r="BP7" s="37">
        <v>1070239</v>
      </c>
      <c r="BQ7" s="37">
        <v>1160353</v>
      </c>
      <c r="BR7" s="37">
        <v>749101</v>
      </c>
      <c r="BS7" s="37">
        <v>331915</v>
      </c>
      <c r="BT7" s="37">
        <v>417186</v>
      </c>
      <c r="BU7" s="37">
        <v>86356</v>
      </c>
      <c r="BV7" s="37">
        <v>49158</v>
      </c>
      <c r="BW7" s="37">
        <v>37198</v>
      </c>
      <c r="BX7" s="92">
        <f>+BY7+BZ7</f>
        <v>105755</v>
      </c>
      <c r="BY7" s="37">
        <v>53727</v>
      </c>
      <c r="BZ7" s="37">
        <v>52028</v>
      </c>
      <c r="CA7" s="125">
        <v>3015910</v>
      </c>
      <c r="CB7" s="38">
        <v>2186668</v>
      </c>
      <c r="CC7" s="37">
        <v>709114</v>
      </c>
      <c r="CD7" s="37">
        <v>84727</v>
      </c>
      <c r="CE7" s="37">
        <v>56260</v>
      </c>
      <c r="CF7" s="68">
        <v>3052298</v>
      </c>
      <c r="CG7" s="38">
        <v>2243752</v>
      </c>
      <c r="CH7" s="37">
        <v>720674</v>
      </c>
      <c r="CI7" s="37">
        <v>87872</v>
      </c>
      <c r="CJ7" s="37">
        <v>59715</v>
      </c>
      <c r="CK7" s="42">
        <v>3083943</v>
      </c>
      <c r="CL7" s="40">
        <v>2259463</v>
      </c>
      <c r="CM7" s="41">
        <v>729457</v>
      </c>
      <c r="CN7" s="41">
        <v>95023</v>
      </c>
      <c r="CO7" s="41">
        <v>66327</v>
      </c>
      <c r="CP7" s="42">
        <v>3142304</v>
      </c>
      <c r="CQ7" s="356">
        <v>2287448</v>
      </c>
      <c r="CR7" s="356">
        <v>749101</v>
      </c>
      <c r="CS7" s="41">
        <v>105755</v>
      </c>
      <c r="CT7" s="356">
        <v>86356</v>
      </c>
      <c r="CU7" s="42">
        <v>3168795</v>
      </c>
      <c r="CV7" s="356">
        <v>2298964</v>
      </c>
      <c r="CW7" s="356">
        <v>758175</v>
      </c>
      <c r="CX7" s="215">
        <f>CU7-CV7-CW7</f>
        <v>111656</v>
      </c>
      <c r="CY7" s="419">
        <v>91611</v>
      </c>
      <c r="CZ7" s="37">
        <v>3192004</v>
      </c>
      <c r="DA7" s="37">
        <v>2248296</v>
      </c>
      <c r="DB7" s="37">
        <v>770560</v>
      </c>
      <c r="DC7" s="37">
        <v>111437</v>
      </c>
      <c r="DD7" s="371">
        <v>95055</v>
      </c>
      <c r="DE7" s="37">
        <v>3213252</v>
      </c>
      <c r="DF7" s="37">
        <v>2256581</v>
      </c>
      <c r="DG7" s="1">
        <v>778726</v>
      </c>
      <c r="DH7" s="37">
        <v>115814</v>
      </c>
      <c r="DI7" s="37">
        <v>95467</v>
      </c>
      <c r="DJ7" s="37">
        <v>3256766</v>
      </c>
      <c r="DK7" s="37">
        <v>2269895</v>
      </c>
      <c r="DL7" s="37">
        <v>803651</v>
      </c>
      <c r="DM7" s="669">
        <v>120665</v>
      </c>
      <c r="DN7" s="37">
        <v>99416</v>
      </c>
      <c r="DO7" s="37">
        <v>3282252</v>
      </c>
      <c r="DP7" s="507">
        <v>2279702</v>
      </c>
      <c r="DQ7" s="37">
        <v>816758</v>
      </c>
      <c r="DR7" s="338">
        <v>120563</v>
      </c>
      <c r="DS7" s="37">
        <v>96774</v>
      </c>
      <c r="DT7" s="37">
        <v>3300713</v>
      </c>
      <c r="DU7" s="507">
        <v>2285863</v>
      </c>
      <c r="DV7" s="37">
        <v>825982</v>
      </c>
      <c r="DW7" s="338">
        <v>129431</v>
      </c>
      <c r="DX7" s="37">
        <v>98289</v>
      </c>
      <c r="DY7" s="37">
        <v>42268</v>
      </c>
      <c r="DZ7" s="1">
        <v>0</v>
      </c>
      <c r="EA7" s="1">
        <v>17530</v>
      </c>
      <c r="EB7" s="1">
        <v>34811</v>
      </c>
      <c r="EC7" s="701">
        <v>34822</v>
      </c>
      <c r="ED7" s="68">
        <v>3309607</v>
      </c>
      <c r="EE7" s="507">
        <v>2283461</v>
      </c>
      <c r="EF7" s="28">
        <v>833006</v>
      </c>
      <c r="EG7" s="304">
        <v>132622</v>
      </c>
      <c r="EH7" s="37">
        <v>95591</v>
      </c>
      <c r="EI7" s="68">
        <v>3337464</v>
      </c>
      <c r="EJ7" s="507"/>
      <c r="EK7" s="28"/>
      <c r="EM7" s="37"/>
      <c r="EN7" s="37">
        <v>3360058</v>
      </c>
      <c r="EO7" s="37">
        <v>2299781</v>
      </c>
      <c r="EP7" s="28">
        <v>855485</v>
      </c>
      <c r="EQ7" s="304">
        <v>140021</v>
      </c>
      <c r="ER7" s="37">
        <v>104045</v>
      </c>
      <c r="ES7" s="37">
        <v>3451208</v>
      </c>
      <c r="ET7" s="37">
        <v>2332798</v>
      </c>
      <c r="EU7" s="28">
        <v>846228</v>
      </c>
      <c r="EV7" s="304">
        <v>249893</v>
      </c>
      <c r="EW7" s="37">
        <v>113536</v>
      </c>
      <c r="EX7" s="37">
        <v>49205</v>
      </c>
      <c r="EZ7" s="1">
        <v>15329</v>
      </c>
      <c r="FA7" s="1">
        <v>132934</v>
      </c>
      <c r="FB7" s="701">
        <v>52425</v>
      </c>
    </row>
    <row r="8" spans="1:158" ht="15.6">
      <c r="A8" s="38" t="s">
        <v>9</v>
      </c>
      <c r="B8" s="371">
        <v>968286</v>
      </c>
      <c r="C8" s="6">
        <v>1000830</v>
      </c>
      <c r="D8" s="37">
        <v>964032</v>
      </c>
      <c r="E8" s="37">
        <v>380577</v>
      </c>
      <c r="F8" s="37">
        <v>405758</v>
      </c>
      <c r="G8" s="37">
        <v>81338</v>
      </c>
      <c r="H8" s="37">
        <v>96359</v>
      </c>
      <c r="I8" s="68">
        <v>1057512</v>
      </c>
      <c r="J8" s="92">
        <f t="shared" si="44"/>
        <v>896784</v>
      </c>
      <c r="K8" s="37">
        <v>425396</v>
      </c>
      <c r="L8" s="37">
        <v>471388</v>
      </c>
      <c r="M8" s="92">
        <f t="shared" si="45"/>
        <v>158531</v>
      </c>
      <c r="N8" s="37">
        <v>70893</v>
      </c>
      <c r="O8" s="37">
        <v>87638</v>
      </c>
      <c r="P8" s="92">
        <f t="shared" si="46"/>
        <v>3592</v>
      </c>
      <c r="Q8" s="37">
        <v>1856</v>
      </c>
      <c r="R8" s="37">
        <v>1736</v>
      </c>
      <c r="S8" s="7">
        <v>1337118</v>
      </c>
      <c r="T8" s="38">
        <v>1144700</v>
      </c>
      <c r="U8" s="37">
        <v>539284</v>
      </c>
      <c r="V8" s="37">
        <v>605416</v>
      </c>
      <c r="W8" s="38">
        <f t="shared" si="47"/>
        <v>173979</v>
      </c>
      <c r="X8" s="37">
        <v>76189</v>
      </c>
      <c r="Y8" s="37">
        <v>97790</v>
      </c>
      <c r="Z8" s="38">
        <v>7384</v>
      </c>
      <c r="AA8" s="37">
        <v>3413</v>
      </c>
      <c r="AB8" s="37">
        <v>3971</v>
      </c>
      <c r="AC8" s="92">
        <v>10794</v>
      </c>
      <c r="AD8" s="92">
        <v>4661</v>
      </c>
      <c r="AE8" s="92">
        <v>6133</v>
      </c>
      <c r="AF8" s="68">
        <v>1496150</v>
      </c>
      <c r="AG8" s="39">
        <v>1282917</v>
      </c>
      <c r="AH8" s="55">
        <f t="shared" si="48"/>
        <v>1277449</v>
      </c>
      <c r="AI8" s="37">
        <v>601469</v>
      </c>
      <c r="AJ8" s="37">
        <v>675980</v>
      </c>
      <c r="AK8" s="38">
        <v>195058</v>
      </c>
      <c r="AL8" s="55">
        <f t="shared" si="49"/>
        <v>194544</v>
      </c>
      <c r="AM8" s="37">
        <v>83782</v>
      </c>
      <c r="AN8" s="37">
        <v>110762</v>
      </c>
      <c r="AO8" s="38">
        <v>9097</v>
      </c>
      <c r="AP8" s="37">
        <v>4674</v>
      </c>
      <c r="AQ8" s="37">
        <v>4423</v>
      </c>
      <c r="AR8" s="59">
        <f t="shared" si="50"/>
        <v>15060</v>
      </c>
      <c r="AS8" s="68">
        <v>1731200</v>
      </c>
      <c r="AT8" s="38">
        <v>1443509</v>
      </c>
      <c r="AU8" s="115">
        <v>690234</v>
      </c>
      <c r="AV8" s="115">
        <v>753275</v>
      </c>
      <c r="AW8" s="55">
        <f t="shared" si="51"/>
        <v>1425174</v>
      </c>
      <c r="AX8" s="37">
        <v>679858</v>
      </c>
      <c r="AY8" s="37">
        <v>745316</v>
      </c>
      <c r="AZ8" s="38">
        <v>225985</v>
      </c>
      <c r="BA8" s="37">
        <v>100399</v>
      </c>
      <c r="BB8" s="37">
        <v>125586</v>
      </c>
      <c r="BC8" s="38">
        <v>40019</v>
      </c>
      <c r="BD8" s="37">
        <v>23149</v>
      </c>
      <c r="BE8" s="37">
        <v>16870</v>
      </c>
      <c r="BF8" s="92">
        <v>61706</v>
      </c>
      <c r="BG8" s="92">
        <v>31495</v>
      </c>
      <c r="BH8" s="92">
        <v>30211</v>
      </c>
      <c r="BI8" s="68">
        <v>1904101</v>
      </c>
      <c r="BJ8" s="37">
        <v>913199</v>
      </c>
      <c r="BK8" s="37">
        <v>990902</v>
      </c>
      <c r="BL8" s="37">
        <v>1554774</v>
      </c>
      <c r="BM8" s="37">
        <v>752312</v>
      </c>
      <c r="BN8" s="37">
        <v>802462</v>
      </c>
      <c r="BO8" s="37">
        <v>1505365</v>
      </c>
      <c r="BP8" s="37">
        <v>725802</v>
      </c>
      <c r="BQ8" s="37">
        <v>779563</v>
      </c>
      <c r="BR8" s="37">
        <v>261148</v>
      </c>
      <c r="BS8" s="37">
        <v>118520</v>
      </c>
      <c r="BT8" s="37">
        <v>142628</v>
      </c>
      <c r="BU8" s="37">
        <v>82357</v>
      </c>
      <c r="BV8" s="37">
        <v>44130</v>
      </c>
      <c r="BW8" s="37">
        <v>38227</v>
      </c>
      <c r="BX8" s="92">
        <f t="shared" ref="BX8:BX22" si="52">+BY8+BZ8</f>
        <v>88179</v>
      </c>
      <c r="BY8" s="37">
        <v>42367</v>
      </c>
      <c r="BZ8" s="37">
        <v>45812</v>
      </c>
      <c r="CA8" s="125">
        <v>1842453</v>
      </c>
      <c r="CB8" s="38">
        <v>1479024</v>
      </c>
      <c r="CC8" s="37">
        <v>247323</v>
      </c>
      <c r="CD8" s="37">
        <v>80686</v>
      </c>
      <c r="CE8" s="37">
        <v>66483</v>
      </c>
      <c r="CF8" s="68">
        <v>1863115</v>
      </c>
      <c r="CG8" s="38">
        <v>1528921</v>
      </c>
      <c r="CH8" s="37">
        <v>249957</v>
      </c>
      <c r="CI8" s="37">
        <v>84237</v>
      </c>
      <c r="CJ8" s="37">
        <v>71079</v>
      </c>
      <c r="CK8" s="42">
        <v>1888459</v>
      </c>
      <c r="CL8" s="40">
        <v>1545946</v>
      </c>
      <c r="CM8" s="41">
        <v>255376</v>
      </c>
      <c r="CN8" s="41">
        <v>87137</v>
      </c>
      <c r="CO8" s="41">
        <v>76669</v>
      </c>
      <c r="CP8" s="42">
        <v>1904101</v>
      </c>
      <c r="CQ8" s="356">
        <v>1554774</v>
      </c>
      <c r="CR8" s="356">
        <v>261148</v>
      </c>
      <c r="CS8" s="41">
        <v>88179</v>
      </c>
      <c r="CT8" s="356">
        <v>82357</v>
      </c>
      <c r="CU8" s="42">
        <v>1922911</v>
      </c>
      <c r="CV8" s="356">
        <v>1566246</v>
      </c>
      <c r="CW8" s="356">
        <v>265416</v>
      </c>
      <c r="CX8" s="215">
        <f t="shared" ref="CX8:CX22" si="53">CU8-CV8-CW8</f>
        <v>91249</v>
      </c>
      <c r="CY8" s="419">
        <v>87066</v>
      </c>
      <c r="CZ8" s="37">
        <v>1938675</v>
      </c>
      <c r="DA8" s="37">
        <v>1520367</v>
      </c>
      <c r="DB8" s="37">
        <v>268707</v>
      </c>
      <c r="DC8" s="37">
        <v>89739</v>
      </c>
      <c r="DD8" s="371">
        <v>91013</v>
      </c>
      <c r="DE8" s="37">
        <v>1951058</v>
      </c>
      <c r="DF8" s="37">
        <v>1523889</v>
      </c>
      <c r="DG8" s="1">
        <v>270175</v>
      </c>
      <c r="DH8" s="37">
        <v>93597</v>
      </c>
      <c r="DI8" s="37">
        <v>94882</v>
      </c>
      <c r="DJ8" s="37">
        <v>1968414</v>
      </c>
      <c r="DK8" s="37">
        <v>1529290</v>
      </c>
      <c r="DL8" s="37">
        <v>276933</v>
      </c>
      <c r="DM8" s="669">
        <v>88346</v>
      </c>
      <c r="DN8" s="37">
        <v>98960</v>
      </c>
      <c r="DO8" s="37">
        <v>1987819</v>
      </c>
      <c r="DP8" s="37">
        <v>1538245</v>
      </c>
      <c r="DQ8" s="37">
        <v>282880</v>
      </c>
      <c r="DR8" s="338">
        <v>98028</v>
      </c>
      <c r="DS8" s="37">
        <v>99470</v>
      </c>
      <c r="DT8" s="37">
        <v>1990448</v>
      </c>
      <c r="DU8" s="37">
        <v>1537148</v>
      </c>
      <c r="DV8" s="37">
        <v>281785</v>
      </c>
      <c r="DW8" s="338">
        <v>113033</v>
      </c>
      <c r="DX8" s="37">
        <v>101002</v>
      </c>
      <c r="DY8" s="1">
        <v>28508</v>
      </c>
      <c r="DZ8" s="1">
        <v>0</v>
      </c>
      <c r="EA8" s="1">
        <v>11027</v>
      </c>
      <c r="EB8" s="1">
        <v>31719</v>
      </c>
      <c r="EC8" s="701">
        <v>41779</v>
      </c>
      <c r="ED8" s="68">
        <v>2008398</v>
      </c>
      <c r="EE8" s="37">
        <v>1540589</v>
      </c>
      <c r="EF8" s="28">
        <v>278042</v>
      </c>
      <c r="EG8" s="304">
        <v>125242</v>
      </c>
      <c r="EH8" s="37">
        <v>107132</v>
      </c>
      <c r="EI8" s="68">
        <v>2021939</v>
      </c>
      <c r="EJ8" s="37"/>
      <c r="EK8" s="28"/>
      <c r="EM8" s="37"/>
      <c r="EN8" s="37">
        <v>2036456</v>
      </c>
      <c r="EO8" s="37">
        <v>1550578</v>
      </c>
      <c r="EP8" s="28">
        <v>292048</v>
      </c>
      <c r="EQ8" s="304">
        <v>114720</v>
      </c>
      <c r="ER8" s="37">
        <v>117900</v>
      </c>
      <c r="ES8" s="37">
        <v>2037763</v>
      </c>
      <c r="ET8" s="37">
        <v>1481204</v>
      </c>
      <c r="EU8" s="28">
        <v>276968</v>
      </c>
      <c r="EV8" s="304">
        <v>252385</v>
      </c>
      <c r="EW8" s="37">
        <v>122921</v>
      </c>
      <c r="EX8" s="1">
        <v>30422</v>
      </c>
      <c r="EZ8" s="1">
        <v>11466</v>
      </c>
      <c r="FA8" s="1">
        <v>161552</v>
      </c>
      <c r="FB8" s="701">
        <v>48945</v>
      </c>
    </row>
    <row r="9" spans="1:158" ht="15.6">
      <c r="A9" s="38" t="s">
        <v>10</v>
      </c>
      <c r="B9" s="371">
        <v>158428</v>
      </c>
      <c r="C9" s="6">
        <v>189215</v>
      </c>
      <c r="D9" s="37">
        <v>245692</v>
      </c>
      <c r="E9" s="37">
        <v>104211</v>
      </c>
      <c r="F9" s="37">
        <v>110108</v>
      </c>
      <c r="G9" s="37">
        <v>15612</v>
      </c>
      <c r="H9" s="37">
        <v>15761</v>
      </c>
      <c r="I9" s="68">
        <v>287395</v>
      </c>
      <c r="J9" s="92">
        <f t="shared" si="44"/>
        <v>250674</v>
      </c>
      <c r="K9" s="37">
        <v>119437</v>
      </c>
      <c r="L9" s="37">
        <v>131237</v>
      </c>
      <c r="M9" s="92">
        <f t="shared" si="45"/>
        <v>34892</v>
      </c>
      <c r="N9" s="37">
        <v>16282</v>
      </c>
      <c r="O9" s="37">
        <v>18610</v>
      </c>
      <c r="P9" s="92">
        <f t="shared" si="46"/>
        <v>2411</v>
      </c>
      <c r="Q9" s="37">
        <v>1228</v>
      </c>
      <c r="R9" s="37">
        <v>1183</v>
      </c>
      <c r="S9" s="7">
        <v>344657</v>
      </c>
      <c r="T9" s="53">
        <f>+U9+V9</f>
        <v>290601</v>
      </c>
      <c r="U9" s="37">
        <v>136948</v>
      </c>
      <c r="V9" s="37">
        <v>153653</v>
      </c>
      <c r="W9" s="38">
        <f t="shared" si="47"/>
        <v>46592</v>
      </c>
      <c r="X9" s="37">
        <v>21005</v>
      </c>
      <c r="Y9" s="37">
        <v>25587</v>
      </c>
      <c r="Z9" s="53">
        <f>+AA9+AB9</f>
        <v>3948</v>
      </c>
      <c r="AA9" s="37">
        <v>1979</v>
      </c>
      <c r="AB9" s="37">
        <v>1969</v>
      </c>
      <c r="AC9" s="92">
        <v>3196</v>
      </c>
      <c r="AD9" s="92">
        <v>1376</v>
      </c>
      <c r="AE9" s="92">
        <v>1820</v>
      </c>
      <c r="AF9" s="68">
        <v>428499</v>
      </c>
      <c r="AG9" s="39">
        <v>355185</v>
      </c>
      <c r="AH9" s="55">
        <f t="shared" si="48"/>
        <v>351751</v>
      </c>
      <c r="AI9" s="37">
        <v>167449</v>
      </c>
      <c r="AJ9" s="37">
        <v>184302</v>
      </c>
      <c r="AK9" s="38">
        <v>62720</v>
      </c>
      <c r="AL9" s="55">
        <f t="shared" si="49"/>
        <v>62131</v>
      </c>
      <c r="AM9" s="37">
        <v>27940</v>
      </c>
      <c r="AN9" s="37">
        <v>34191</v>
      </c>
      <c r="AO9" s="38">
        <v>7565</v>
      </c>
      <c r="AP9" s="37">
        <v>3955</v>
      </c>
      <c r="AQ9" s="37">
        <v>3610</v>
      </c>
      <c r="AR9" s="59">
        <f t="shared" si="50"/>
        <v>7052</v>
      </c>
      <c r="AS9" s="68">
        <v>514658</v>
      </c>
      <c r="AT9" s="38">
        <v>401337</v>
      </c>
      <c r="AU9" s="115">
        <v>191629</v>
      </c>
      <c r="AV9" s="115">
        <v>209708</v>
      </c>
      <c r="AW9" s="55">
        <f t="shared" si="51"/>
        <v>392794</v>
      </c>
      <c r="AX9" s="37">
        <v>187087</v>
      </c>
      <c r="AY9" s="37">
        <v>205707</v>
      </c>
      <c r="AZ9" s="38">
        <v>86825</v>
      </c>
      <c r="BA9" s="37">
        <v>39478</v>
      </c>
      <c r="BB9" s="37">
        <v>47347</v>
      </c>
      <c r="BC9" s="38">
        <v>18301</v>
      </c>
      <c r="BD9" s="37">
        <v>9767</v>
      </c>
      <c r="BE9" s="37">
        <v>8534</v>
      </c>
      <c r="BF9" s="92">
        <v>26496</v>
      </c>
      <c r="BG9" s="92">
        <v>13071</v>
      </c>
      <c r="BH9" s="92">
        <v>13425</v>
      </c>
      <c r="BI9" s="68">
        <v>596009</v>
      </c>
      <c r="BJ9" s="37">
        <v>282154</v>
      </c>
      <c r="BK9" s="37">
        <v>313855</v>
      </c>
      <c r="BL9" s="37">
        <v>444812</v>
      </c>
      <c r="BM9" s="37">
        <v>212433</v>
      </c>
      <c r="BN9" s="37">
        <v>232379</v>
      </c>
      <c r="BO9" s="37">
        <v>422057</v>
      </c>
      <c r="BP9" s="37">
        <v>200718</v>
      </c>
      <c r="BQ9" s="37">
        <v>221339</v>
      </c>
      <c r="BR9" s="37">
        <v>112571</v>
      </c>
      <c r="BS9" s="37">
        <v>50782</v>
      </c>
      <c r="BT9" s="37">
        <v>61789</v>
      </c>
      <c r="BU9" s="37">
        <v>35108</v>
      </c>
      <c r="BV9" s="37">
        <v>18302</v>
      </c>
      <c r="BW9" s="37">
        <v>16806</v>
      </c>
      <c r="BX9" s="92">
        <f t="shared" si="52"/>
        <v>38626</v>
      </c>
      <c r="BY9" s="37">
        <v>18939</v>
      </c>
      <c r="BZ9" s="37">
        <v>19687</v>
      </c>
      <c r="CA9" s="125">
        <v>565305</v>
      </c>
      <c r="CB9" s="38">
        <v>412968</v>
      </c>
      <c r="CC9" s="37">
        <v>103294</v>
      </c>
      <c r="CD9" s="37">
        <v>32915</v>
      </c>
      <c r="CE9" s="37">
        <v>27213</v>
      </c>
      <c r="CF9" s="68">
        <v>573425</v>
      </c>
      <c r="CG9" s="38">
        <v>433611</v>
      </c>
      <c r="CH9" s="37">
        <v>105984</v>
      </c>
      <c r="CI9" s="37">
        <v>33830</v>
      </c>
      <c r="CJ9" s="37">
        <v>28423</v>
      </c>
      <c r="CK9" s="42">
        <v>586450</v>
      </c>
      <c r="CL9" s="40">
        <v>442197</v>
      </c>
      <c r="CM9" s="41">
        <v>109659</v>
      </c>
      <c r="CN9" s="41">
        <v>34594</v>
      </c>
      <c r="CO9" s="41">
        <v>30279</v>
      </c>
      <c r="CP9" s="42">
        <v>596009</v>
      </c>
      <c r="CQ9" s="356">
        <v>444812</v>
      </c>
      <c r="CR9" s="356">
        <v>112571</v>
      </c>
      <c r="CS9" s="41">
        <v>38626</v>
      </c>
      <c r="CT9" s="356">
        <v>35108</v>
      </c>
      <c r="CU9" s="42">
        <v>603421</v>
      </c>
      <c r="CV9" s="356">
        <v>448058</v>
      </c>
      <c r="CW9" s="356">
        <v>115344</v>
      </c>
      <c r="CX9" s="215">
        <f t="shared" si="53"/>
        <v>40019</v>
      </c>
      <c r="CY9" s="419">
        <v>36805</v>
      </c>
      <c r="CZ9" s="37">
        <v>610658</v>
      </c>
      <c r="DA9" s="37">
        <v>426637</v>
      </c>
      <c r="DB9" s="37">
        <v>118054</v>
      </c>
      <c r="DC9" s="37">
        <v>41014</v>
      </c>
      <c r="DD9" s="371">
        <v>38299</v>
      </c>
      <c r="DE9" s="37">
        <v>620032</v>
      </c>
      <c r="DF9" s="37">
        <v>430046</v>
      </c>
      <c r="DG9" s="1">
        <v>121477</v>
      </c>
      <c r="DH9" s="37">
        <v>43492</v>
      </c>
      <c r="DI9" s="37">
        <v>40242</v>
      </c>
      <c r="DJ9" s="37">
        <v>640343</v>
      </c>
      <c r="DK9" s="37">
        <v>440632</v>
      </c>
      <c r="DL9" s="37">
        <v>128116</v>
      </c>
      <c r="DM9" s="669">
        <v>41828</v>
      </c>
      <c r="DN9" s="37">
        <v>42404</v>
      </c>
      <c r="DO9" s="37">
        <v>652636</v>
      </c>
      <c r="DP9" s="37">
        <v>445757</v>
      </c>
      <c r="DQ9" s="37">
        <v>128898</v>
      </c>
      <c r="DR9" s="338">
        <v>45050</v>
      </c>
      <c r="DS9" s="37">
        <v>44801</v>
      </c>
      <c r="DT9" s="37">
        <v>662547</v>
      </c>
      <c r="DU9" s="37">
        <v>449466</v>
      </c>
      <c r="DV9" s="37">
        <v>132020</v>
      </c>
      <c r="DW9" s="338">
        <v>47597</v>
      </c>
      <c r="DX9" s="37">
        <v>45728</v>
      </c>
      <c r="DY9" s="1">
        <v>25509</v>
      </c>
      <c r="DZ9" s="1">
        <v>0</v>
      </c>
      <c r="EA9" s="1">
        <v>2945</v>
      </c>
      <c r="EB9" s="1">
        <v>9596</v>
      </c>
      <c r="EC9" s="701">
        <v>9547</v>
      </c>
      <c r="ED9" s="68">
        <v>673686</v>
      </c>
      <c r="EE9" s="37">
        <v>452331</v>
      </c>
      <c r="EF9" s="28">
        <v>137339</v>
      </c>
      <c r="EG9" s="304">
        <v>47547</v>
      </c>
      <c r="EH9" s="37">
        <v>47762</v>
      </c>
      <c r="EI9" s="68">
        <v>679700</v>
      </c>
      <c r="EJ9" s="37"/>
      <c r="EK9" s="28"/>
      <c r="EM9" s="37"/>
      <c r="EN9" s="37">
        <v>687311</v>
      </c>
      <c r="EO9" s="37">
        <v>457913</v>
      </c>
      <c r="EP9" s="28">
        <v>145150</v>
      </c>
      <c r="EQ9" s="304">
        <v>47833</v>
      </c>
      <c r="ER9" s="37">
        <v>49372</v>
      </c>
      <c r="ES9" s="37">
        <v>711104</v>
      </c>
      <c r="ET9" s="37">
        <v>458972</v>
      </c>
      <c r="EU9" s="28">
        <v>138516</v>
      </c>
      <c r="EV9" s="304">
        <v>104445</v>
      </c>
      <c r="EW9" s="37">
        <v>54254</v>
      </c>
      <c r="EX9" s="1">
        <v>29184</v>
      </c>
      <c r="FA9" s="1">
        <v>47375</v>
      </c>
      <c r="FB9" s="701">
        <v>27886</v>
      </c>
    </row>
    <row r="10" spans="1:158" ht="15.6">
      <c r="A10" s="38" t="s">
        <v>11</v>
      </c>
      <c r="B10" s="371">
        <v>1082389</v>
      </c>
      <c r="C10" s="6">
        <v>1637240</v>
      </c>
      <c r="D10" s="37">
        <v>2845445</v>
      </c>
      <c r="E10" s="37">
        <v>1166313</v>
      </c>
      <c r="F10" s="37">
        <v>1260760</v>
      </c>
      <c r="G10" s="37">
        <v>202167</v>
      </c>
      <c r="H10" s="37">
        <v>216205</v>
      </c>
      <c r="I10" s="68">
        <v>3967881</v>
      </c>
      <c r="J10" s="92">
        <f t="shared" si="44"/>
        <v>3487376</v>
      </c>
      <c r="K10" s="37">
        <v>1627049</v>
      </c>
      <c r="L10" s="37">
        <v>1860327</v>
      </c>
      <c r="M10" s="92">
        <f t="shared" si="45"/>
        <v>467311</v>
      </c>
      <c r="N10" s="37">
        <v>215076</v>
      </c>
      <c r="O10" s="37">
        <v>252235</v>
      </c>
      <c r="P10" s="92">
        <f t="shared" si="46"/>
        <v>252148</v>
      </c>
      <c r="Q10" s="37">
        <v>117850</v>
      </c>
      <c r="R10" s="37">
        <v>134298</v>
      </c>
      <c r="S10" s="7">
        <v>6250125</v>
      </c>
      <c r="T10" s="38">
        <v>5042362</v>
      </c>
      <c r="U10" s="37">
        <v>2351894</v>
      </c>
      <c r="V10" s="37">
        <v>2690468</v>
      </c>
      <c r="W10" s="38">
        <f t="shared" si="47"/>
        <v>634348</v>
      </c>
      <c r="X10" s="37">
        <v>286844</v>
      </c>
      <c r="Y10" s="37">
        <v>347504</v>
      </c>
      <c r="Z10" s="38">
        <v>520215</v>
      </c>
      <c r="AA10" s="37">
        <v>239521</v>
      </c>
      <c r="AB10" s="37">
        <v>280694</v>
      </c>
      <c r="AC10" s="92">
        <v>46994</v>
      </c>
      <c r="AD10" s="92">
        <v>20109</v>
      </c>
      <c r="AE10" s="92">
        <v>26885</v>
      </c>
      <c r="AF10" s="68">
        <v>8887168</v>
      </c>
      <c r="AG10" s="39">
        <v>7691434</v>
      </c>
      <c r="AH10" s="55">
        <f t="shared" si="48"/>
        <v>6859111</v>
      </c>
      <c r="AI10" s="37">
        <v>3243820</v>
      </c>
      <c r="AJ10" s="37">
        <v>3615291</v>
      </c>
      <c r="AK10" s="38">
        <v>946774</v>
      </c>
      <c r="AL10" s="55">
        <f t="shared" si="49"/>
        <v>915427</v>
      </c>
      <c r="AM10" s="37">
        <v>413817</v>
      </c>
      <c r="AN10" s="37">
        <v>501610</v>
      </c>
      <c r="AO10" s="38">
        <v>996125</v>
      </c>
      <c r="AP10" s="37">
        <v>474003</v>
      </c>
      <c r="AQ10" s="37">
        <v>522122</v>
      </c>
      <c r="AR10" s="59">
        <f t="shared" si="50"/>
        <v>116505</v>
      </c>
      <c r="AS10" s="68">
        <v>11024645</v>
      </c>
      <c r="AT10" s="38">
        <v>9052318</v>
      </c>
      <c r="AU10" s="115">
        <v>4321471</v>
      </c>
      <c r="AV10" s="115">
        <v>4730847</v>
      </c>
      <c r="AW10" s="55">
        <f t="shared" si="51"/>
        <v>7721842</v>
      </c>
      <c r="AX10" s="37">
        <v>3687607</v>
      </c>
      <c r="AY10" s="37">
        <v>4034235</v>
      </c>
      <c r="AZ10" s="38">
        <v>1285014</v>
      </c>
      <c r="BA10" s="37">
        <v>590433</v>
      </c>
      <c r="BB10" s="37">
        <v>694581</v>
      </c>
      <c r="BC10" s="38">
        <v>1695497</v>
      </c>
      <c r="BD10" s="37">
        <v>818666</v>
      </c>
      <c r="BE10" s="37">
        <v>876831</v>
      </c>
      <c r="BF10" s="92">
        <v>687313</v>
      </c>
      <c r="BG10" s="92">
        <v>335197</v>
      </c>
      <c r="BH10" s="92">
        <v>352116</v>
      </c>
      <c r="BI10" s="68">
        <v>12931148</v>
      </c>
      <c r="BJ10" s="37">
        <v>6185462</v>
      </c>
      <c r="BK10" s="37">
        <v>6745686</v>
      </c>
      <c r="BL10" s="37">
        <v>10380705</v>
      </c>
      <c r="BM10" s="37">
        <v>4996703</v>
      </c>
      <c r="BN10" s="37">
        <v>5384002</v>
      </c>
      <c r="BO10" s="37">
        <v>8196397</v>
      </c>
      <c r="BP10" s="37">
        <v>3955148</v>
      </c>
      <c r="BQ10" s="37">
        <v>4241249</v>
      </c>
      <c r="BR10" s="37">
        <v>1735303</v>
      </c>
      <c r="BS10" s="37">
        <v>800269</v>
      </c>
      <c r="BT10" s="37">
        <v>935034</v>
      </c>
      <c r="BU10" s="37">
        <v>2593704</v>
      </c>
      <c r="BV10" s="37">
        <v>1246492</v>
      </c>
      <c r="BW10" s="37">
        <v>1347212</v>
      </c>
      <c r="BX10" s="92">
        <f t="shared" si="52"/>
        <v>815140</v>
      </c>
      <c r="BY10" s="37">
        <v>388490</v>
      </c>
      <c r="BZ10" s="37">
        <v>426650</v>
      </c>
      <c r="CA10" s="125">
        <v>12412464</v>
      </c>
      <c r="CB10" s="38">
        <v>8162700</v>
      </c>
      <c r="CC10" s="37">
        <v>1581165</v>
      </c>
      <c r="CD10" s="37">
        <v>885303</v>
      </c>
      <c r="CE10" s="37">
        <v>2293178</v>
      </c>
      <c r="CF10" s="68">
        <v>12566850</v>
      </c>
      <c r="CG10" s="38">
        <v>10093696</v>
      </c>
      <c r="CH10" s="37">
        <v>1622196</v>
      </c>
      <c r="CI10" s="37">
        <v>850958</v>
      </c>
      <c r="CJ10" s="37">
        <v>2367189</v>
      </c>
      <c r="CK10" s="42">
        <v>12683655</v>
      </c>
      <c r="CL10" s="40">
        <v>10192519</v>
      </c>
      <c r="CM10" s="41">
        <v>1665822</v>
      </c>
      <c r="CN10" s="41">
        <v>825314</v>
      </c>
      <c r="CO10" s="41">
        <v>2443754</v>
      </c>
      <c r="CP10" s="42">
        <v>12931148</v>
      </c>
      <c r="CQ10" s="356">
        <v>10380705</v>
      </c>
      <c r="CR10" s="356">
        <v>1735303</v>
      </c>
      <c r="CS10" s="41">
        <v>815140</v>
      </c>
      <c r="CT10" s="356">
        <v>2593704</v>
      </c>
      <c r="CU10" s="42">
        <v>13099541</v>
      </c>
      <c r="CV10" s="356">
        <v>10482850</v>
      </c>
      <c r="CW10" s="356">
        <v>1775966</v>
      </c>
      <c r="CX10" s="215">
        <f t="shared" si="53"/>
        <v>840725</v>
      </c>
      <c r="CY10" s="419">
        <v>2677986</v>
      </c>
      <c r="CZ10" s="37">
        <v>13307799</v>
      </c>
      <c r="DA10" s="37">
        <v>8276904</v>
      </c>
      <c r="DB10" s="37">
        <v>1822474</v>
      </c>
      <c r="DC10" s="37">
        <v>845818</v>
      </c>
      <c r="DD10" s="371">
        <v>2772558</v>
      </c>
      <c r="DE10" s="37">
        <v>13523012</v>
      </c>
      <c r="DF10" s="37">
        <v>8327906</v>
      </c>
      <c r="DG10" s="1">
        <v>1869427</v>
      </c>
      <c r="DH10" s="37">
        <v>869750</v>
      </c>
      <c r="DI10" s="37">
        <v>2868263</v>
      </c>
      <c r="DJ10" s="37">
        <v>14041196</v>
      </c>
      <c r="DK10" s="37">
        <v>8473627</v>
      </c>
      <c r="DL10" s="37">
        <v>1972278</v>
      </c>
      <c r="DM10" s="669">
        <v>921909</v>
      </c>
      <c r="DN10" s="37">
        <v>3101324</v>
      </c>
      <c r="DO10" s="37">
        <v>14394281</v>
      </c>
      <c r="DP10" s="37">
        <v>8606703</v>
      </c>
      <c r="DQ10" s="37">
        <v>2036510</v>
      </c>
      <c r="DR10" s="338">
        <v>985556</v>
      </c>
      <c r="DS10" s="37">
        <v>3235668</v>
      </c>
      <c r="DT10" s="37">
        <v>14703671</v>
      </c>
      <c r="DU10" s="37">
        <v>8727205</v>
      </c>
      <c r="DV10" s="37">
        <v>2082501</v>
      </c>
      <c r="DW10" s="338">
        <v>1036241</v>
      </c>
      <c r="DX10" s="37">
        <v>3356171</v>
      </c>
      <c r="DY10" s="1">
        <v>402415</v>
      </c>
      <c r="DZ10" s="1">
        <v>8418</v>
      </c>
      <c r="EA10" s="1">
        <v>37597</v>
      </c>
      <c r="EB10" s="1">
        <v>228102</v>
      </c>
      <c r="EC10" s="701">
        <v>359709</v>
      </c>
      <c r="ED10" s="68">
        <v>15020177</v>
      </c>
      <c r="EE10" s="37">
        <v>8767219</v>
      </c>
      <c r="EF10" s="28">
        <v>2137020</v>
      </c>
      <c r="EG10" s="304">
        <v>1108347</v>
      </c>
      <c r="EH10" s="37">
        <v>3545630</v>
      </c>
      <c r="EI10" s="68">
        <v>15302125</v>
      </c>
      <c r="EJ10" s="37"/>
      <c r="EK10" s="28"/>
      <c r="EM10" s="37"/>
      <c r="EN10" s="37">
        <v>15484502</v>
      </c>
      <c r="EO10" s="37">
        <v>8887273</v>
      </c>
      <c r="EP10" s="28">
        <v>2216463</v>
      </c>
      <c r="EQ10" s="304">
        <v>1244600</v>
      </c>
      <c r="ER10" s="37">
        <v>3773205</v>
      </c>
      <c r="ES10" s="37">
        <v>15762122</v>
      </c>
      <c r="ET10" s="37">
        <v>8728435</v>
      </c>
      <c r="EU10" s="28">
        <v>2134759</v>
      </c>
      <c r="EV10" s="304">
        <v>4220365</v>
      </c>
      <c r="EW10" s="37">
        <v>3934980</v>
      </c>
      <c r="EX10" s="1">
        <v>454797</v>
      </c>
      <c r="EY10" s="1">
        <v>8502</v>
      </c>
      <c r="EZ10" s="1">
        <v>43970</v>
      </c>
      <c r="FA10" s="1">
        <v>2790467</v>
      </c>
      <c r="FB10" s="701">
        <v>922629</v>
      </c>
    </row>
    <row r="11" spans="1:158" ht="15.6">
      <c r="A11" s="38" t="s">
        <v>12</v>
      </c>
      <c r="B11" s="371">
        <v>1533488</v>
      </c>
      <c r="C11" s="6">
        <v>1778475</v>
      </c>
      <c r="D11" s="37">
        <v>2014845</v>
      </c>
      <c r="E11" s="37">
        <v>725314</v>
      </c>
      <c r="F11" s="37">
        <v>785981</v>
      </c>
      <c r="G11" s="37">
        <v>224618</v>
      </c>
      <c r="H11" s="37">
        <v>278932</v>
      </c>
      <c r="I11" s="68">
        <v>2355810</v>
      </c>
      <c r="J11" s="92">
        <f t="shared" si="44"/>
        <v>1827032</v>
      </c>
      <c r="K11" s="37">
        <v>866945</v>
      </c>
      <c r="L11" s="37">
        <v>960087</v>
      </c>
      <c r="M11" s="92">
        <f t="shared" si="45"/>
        <v>524481</v>
      </c>
      <c r="N11" s="37">
        <v>230192</v>
      </c>
      <c r="O11" s="37">
        <v>294289</v>
      </c>
      <c r="P11" s="92">
        <f t="shared" si="46"/>
        <v>12233</v>
      </c>
      <c r="Q11" s="37">
        <v>6266</v>
      </c>
      <c r="R11" s="37">
        <v>5967</v>
      </c>
      <c r="S11" s="7">
        <v>3085528</v>
      </c>
      <c r="T11" s="38">
        <v>2334255</v>
      </c>
      <c r="U11" s="37">
        <v>1102079</v>
      </c>
      <c r="V11" s="37">
        <v>1232176</v>
      </c>
      <c r="W11" s="38">
        <f t="shared" si="47"/>
        <v>701817</v>
      </c>
      <c r="X11" s="37">
        <v>306462</v>
      </c>
      <c r="Y11" s="37">
        <v>395355</v>
      </c>
      <c r="Z11" s="38">
        <v>28258</v>
      </c>
      <c r="AA11" s="37">
        <v>13375</v>
      </c>
      <c r="AB11" s="37">
        <v>14883</v>
      </c>
      <c r="AC11" s="92">
        <v>19466</v>
      </c>
      <c r="AD11" s="92">
        <v>8220</v>
      </c>
      <c r="AE11" s="92">
        <v>11246</v>
      </c>
      <c r="AF11" s="68">
        <v>4023420</v>
      </c>
      <c r="AG11" s="39">
        <v>2997958</v>
      </c>
      <c r="AH11" s="55">
        <f t="shared" si="48"/>
        <v>2968205</v>
      </c>
      <c r="AI11" s="37">
        <v>1418694</v>
      </c>
      <c r="AJ11" s="37">
        <v>1549511</v>
      </c>
      <c r="AK11" s="38">
        <v>954209</v>
      </c>
      <c r="AL11" s="55">
        <f t="shared" si="49"/>
        <v>950868</v>
      </c>
      <c r="AM11" s="37">
        <v>417451</v>
      </c>
      <c r="AN11" s="37">
        <v>533417</v>
      </c>
      <c r="AO11" s="38">
        <v>52191</v>
      </c>
      <c r="AP11" s="37">
        <v>29362</v>
      </c>
      <c r="AQ11" s="37">
        <v>22829</v>
      </c>
      <c r="AR11" s="59">
        <f t="shared" si="50"/>
        <v>52156</v>
      </c>
      <c r="AS11" s="68">
        <v>5185965</v>
      </c>
      <c r="AT11" s="38">
        <v>3576248</v>
      </c>
      <c r="AU11" s="115">
        <v>1735538</v>
      </c>
      <c r="AV11" s="115">
        <v>1840710</v>
      </c>
      <c r="AW11" s="55">
        <f t="shared" si="51"/>
        <v>3472812</v>
      </c>
      <c r="AX11" s="37">
        <v>1674426</v>
      </c>
      <c r="AY11" s="37">
        <v>1798386</v>
      </c>
      <c r="AZ11" s="38">
        <v>1333161</v>
      </c>
      <c r="BA11" s="37">
        <v>598092</v>
      </c>
      <c r="BB11" s="37">
        <v>735069</v>
      </c>
      <c r="BC11" s="38">
        <v>213190</v>
      </c>
      <c r="BD11" s="37">
        <v>128243</v>
      </c>
      <c r="BE11" s="37">
        <v>84947</v>
      </c>
      <c r="BF11" s="92">
        <v>276556</v>
      </c>
      <c r="BG11" s="92">
        <v>147240</v>
      </c>
      <c r="BH11" s="92">
        <v>129316</v>
      </c>
      <c r="BI11" s="68">
        <v>6154545</v>
      </c>
      <c r="BJ11" s="37">
        <v>2927724</v>
      </c>
      <c r="BK11" s="37">
        <v>3226821</v>
      </c>
      <c r="BL11" s="37">
        <v>3968238</v>
      </c>
      <c r="BM11" s="37">
        <v>1927723</v>
      </c>
      <c r="BN11" s="37">
        <v>2040515</v>
      </c>
      <c r="BO11" s="37">
        <v>3737726</v>
      </c>
      <c r="BP11" s="37">
        <v>1803187</v>
      </c>
      <c r="BQ11" s="37">
        <v>1934539</v>
      </c>
      <c r="BR11" s="37">
        <v>1739498</v>
      </c>
      <c r="BS11" s="37">
        <v>774479</v>
      </c>
      <c r="BT11" s="37">
        <v>965019</v>
      </c>
      <c r="BU11" s="37">
        <v>418623</v>
      </c>
      <c r="BV11" s="37">
        <v>229571</v>
      </c>
      <c r="BW11" s="37">
        <v>189052</v>
      </c>
      <c r="BX11" s="92">
        <f t="shared" si="52"/>
        <v>446809</v>
      </c>
      <c r="BY11" s="37">
        <v>225522</v>
      </c>
      <c r="BZ11" s="37">
        <v>221287</v>
      </c>
      <c r="CA11" s="125">
        <v>5945347</v>
      </c>
      <c r="CB11" s="38">
        <v>3742579</v>
      </c>
      <c r="CC11" s="37">
        <v>1617445</v>
      </c>
      <c r="CD11" s="37">
        <v>421064</v>
      </c>
      <c r="CE11" s="37">
        <v>359478</v>
      </c>
      <c r="CF11" s="68">
        <v>6069802</v>
      </c>
      <c r="CG11" s="38">
        <v>3973866</v>
      </c>
      <c r="CH11" s="37">
        <v>1671508</v>
      </c>
      <c r="CI11" s="37">
        <v>424428</v>
      </c>
      <c r="CJ11" s="37">
        <v>377578</v>
      </c>
      <c r="CK11" s="42">
        <v>6155887</v>
      </c>
      <c r="CL11" s="40">
        <v>4009958</v>
      </c>
      <c r="CM11" s="41">
        <v>1719375</v>
      </c>
      <c r="CN11" s="41">
        <v>426554</v>
      </c>
      <c r="CO11" s="41">
        <v>389266</v>
      </c>
      <c r="CP11" s="42">
        <v>6154545</v>
      </c>
      <c r="CQ11" s="356">
        <v>3968238</v>
      </c>
      <c r="CR11" s="356">
        <v>1739498</v>
      </c>
      <c r="CS11" s="41">
        <v>446809</v>
      </c>
      <c r="CT11" s="356">
        <v>418623</v>
      </c>
      <c r="CU11" s="42">
        <v>6243020</v>
      </c>
      <c r="CV11" s="356">
        <v>4016700</v>
      </c>
      <c r="CW11" s="356">
        <v>1776855</v>
      </c>
      <c r="CX11" s="215">
        <f t="shared" si="53"/>
        <v>449465</v>
      </c>
      <c r="CY11" s="419">
        <v>437227</v>
      </c>
      <c r="CZ11" s="37">
        <v>6326651</v>
      </c>
      <c r="DA11" s="37">
        <v>3792076</v>
      </c>
      <c r="DB11" s="37">
        <v>1812411</v>
      </c>
      <c r="DC11" s="37">
        <v>458054</v>
      </c>
      <c r="DD11" s="371">
        <v>448846</v>
      </c>
      <c r="DE11" s="37">
        <v>6403956</v>
      </c>
      <c r="DF11" s="37">
        <v>3812750</v>
      </c>
      <c r="DG11" s="1">
        <v>1843831</v>
      </c>
      <c r="DH11" s="37">
        <v>460434</v>
      </c>
      <c r="DI11" s="37">
        <v>461061</v>
      </c>
      <c r="DJ11" s="37">
        <v>6576408</v>
      </c>
      <c r="DK11" s="37">
        <v>3851535</v>
      </c>
      <c r="DL11" s="37">
        <v>1942277</v>
      </c>
      <c r="DM11" s="669">
        <v>480998</v>
      </c>
      <c r="DN11" s="37">
        <v>471297</v>
      </c>
      <c r="DO11" s="37">
        <v>6683767</v>
      </c>
      <c r="DP11" s="37">
        <v>3880273</v>
      </c>
      <c r="DQ11" s="37">
        <v>1973154</v>
      </c>
      <c r="DR11" s="338">
        <v>514449</v>
      </c>
      <c r="DS11" s="37">
        <v>491368</v>
      </c>
      <c r="DT11" s="37">
        <v>6785395</v>
      </c>
      <c r="DU11" s="37">
        <v>3895137</v>
      </c>
      <c r="DV11" s="37">
        <v>2034955</v>
      </c>
      <c r="DW11" s="338">
        <v>549854</v>
      </c>
      <c r="DX11" s="37">
        <v>499428</v>
      </c>
      <c r="DY11" s="1">
        <v>271011</v>
      </c>
      <c r="DZ11" s="1">
        <v>0</v>
      </c>
      <c r="EA11" s="1">
        <v>23396</v>
      </c>
      <c r="EB11" s="1">
        <v>96984</v>
      </c>
      <c r="EC11" s="701">
        <v>158463</v>
      </c>
      <c r="ED11" s="68">
        <v>6896026</v>
      </c>
      <c r="EE11" s="37">
        <v>3914442</v>
      </c>
      <c r="EF11" s="28">
        <v>2079786</v>
      </c>
      <c r="EG11" s="304">
        <v>560771</v>
      </c>
      <c r="EH11" s="37">
        <v>520525</v>
      </c>
      <c r="EI11" s="68">
        <v>6978172</v>
      </c>
      <c r="EJ11" s="37"/>
      <c r="EK11" s="28"/>
      <c r="EM11" s="37"/>
      <c r="EN11" s="37">
        <v>7080222</v>
      </c>
      <c r="EO11" s="37">
        <v>3947682</v>
      </c>
      <c r="EP11" s="28">
        <v>2186956</v>
      </c>
      <c r="EQ11" s="304">
        <v>610303</v>
      </c>
      <c r="ER11" s="37">
        <v>546665</v>
      </c>
      <c r="ES11" s="37">
        <v>7234271</v>
      </c>
      <c r="ET11" s="37">
        <v>3914514</v>
      </c>
      <c r="EU11" s="28">
        <v>2158222</v>
      </c>
      <c r="EV11" s="304">
        <v>1071427</v>
      </c>
      <c r="EW11" s="37">
        <v>574391</v>
      </c>
      <c r="EX11" s="1">
        <v>319465</v>
      </c>
      <c r="EZ11" s="1">
        <v>29622</v>
      </c>
      <c r="FA11" s="1">
        <v>501148</v>
      </c>
      <c r="FB11" s="701">
        <v>221192</v>
      </c>
    </row>
    <row r="12" spans="1:158" ht="15.6">
      <c r="A12" s="38" t="s">
        <v>13</v>
      </c>
      <c r="B12" s="371">
        <v>1440929</v>
      </c>
      <c r="C12" s="6">
        <v>1552505</v>
      </c>
      <c r="D12" s="37">
        <v>1609957</v>
      </c>
      <c r="E12" s="37">
        <v>723030</v>
      </c>
      <c r="F12" s="37">
        <v>770755</v>
      </c>
      <c r="G12" s="37">
        <v>54820</v>
      </c>
      <c r="H12" s="37">
        <v>61352</v>
      </c>
      <c r="I12" s="68">
        <v>1713298</v>
      </c>
      <c r="J12" s="92">
        <f t="shared" si="44"/>
        <v>1599747</v>
      </c>
      <c r="K12" s="37">
        <v>758138</v>
      </c>
      <c r="L12" s="37">
        <v>841609</v>
      </c>
      <c r="M12" s="92">
        <f t="shared" si="45"/>
        <v>111101</v>
      </c>
      <c r="N12" s="37">
        <v>49878</v>
      </c>
      <c r="O12" s="37">
        <v>61223</v>
      </c>
      <c r="P12" s="92">
        <f t="shared" si="46"/>
        <v>4299</v>
      </c>
      <c r="Q12" s="37">
        <v>2244</v>
      </c>
      <c r="R12" s="37">
        <v>2055</v>
      </c>
      <c r="S12" s="7">
        <v>2086692</v>
      </c>
      <c r="T12" s="38">
        <v>1938499</v>
      </c>
      <c r="U12" s="37">
        <v>916164</v>
      </c>
      <c r="V12" s="37">
        <v>1022335</v>
      </c>
      <c r="W12" s="38">
        <f t="shared" si="47"/>
        <v>126397</v>
      </c>
      <c r="X12" s="37">
        <v>56395</v>
      </c>
      <c r="Y12" s="37">
        <v>70002</v>
      </c>
      <c r="Z12" s="38">
        <v>12610</v>
      </c>
      <c r="AA12" s="37">
        <v>6045</v>
      </c>
      <c r="AB12" s="37">
        <v>6565</v>
      </c>
      <c r="AC12" s="92">
        <v>8796</v>
      </c>
      <c r="AD12" s="92">
        <v>3576</v>
      </c>
      <c r="AE12" s="92">
        <v>5220</v>
      </c>
      <c r="AF12" s="68">
        <v>2333833</v>
      </c>
      <c r="AG12" s="39">
        <v>2170449</v>
      </c>
      <c r="AH12" s="55">
        <f t="shared" si="48"/>
        <v>2163659</v>
      </c>
      <c r="AI12" s="37">
        <v>1016860</v>
      </c>
      <c r="AJ12" s="37">
        <v>1146799</v>
      </c>
      <c r="AK12" s="38">
        <v>146827</v>
      </c>
      <c r="AL12" s="55">
        <f t="shared" si="49"/>
        <v>146133</v>
      </c>
      <c r="AM12" s="37">
        <v>64491</v>
      </c>
      <c r="AN12" s="37">
        <v>81642</v>
      </c>
      <c r="AO12" s="38">
        <v>10150</v>
      </c>
      <c r="AP12" s="37">
        <v>5276</v>
      </c>
      <c r="AQ12" s="37">
        <v>4874</v>
      </c>
      <c r="AR12" s="59">
        <f t="shared" si="50"/>
        <v>13891</v>
      </c>
      <c r="AS12" s="68">
        <v>2646397</v>
      </c>
      <c r="AT12" s="38">
        <v>2419631</v>
      </c>
      <c r="AU12" s="115">
        <v>1151192</v>
      </c>
      <c r="AV12" s="115">
        <v>1268439</v>
      </c>
      <c r="AW12" s="55">
        <f t="shared" si="51"/>
        <v>2404049</v>
      </c>
      <c r="AX12" s="37">
        <v>1142178</v>
      </c>
      <c r="AY12" s="37">
        <v>1261871</v>
      </c>
      <c r="AZ12" s="38">
        <v>170321</v>
      </c>
      <c r="BA12" s="37">
        <v>79221</v>
      </c>
      <c r="BB12" s="37">
        <v>91100</v>
      </c>
      <c r="BC12" s="38">
        <v>28131</v>
      </c>
      <c r="BD12" s="37">
        <v>17218</v>
      </c>
      <c r="BE12" s="37">
        <v>10913</v>
      </c>
      <c r="BF12" s="92">
        <v>56445</v>
      </c>
      <c r="BG12" s="92">
        <v>29012</v>
      </c>
      <c r="BH12" s="92">
        <v>27433</v>
      </c>
      <c r="BI12" s="68">
        <v>2879829</v>
      </c>
      <c r="BJ12" s="37">
        <v>1384210</v>
      </c>
      <c r="BK12" s="37">
        <v>1495619</v>
      </c>
      <c r="BL12" s="37">
        <v>2599546</v>
      </c>
      <c r="BM12" s="37">
        <v>1248630</v>
      </c>
      <c r="BN12" s="37">
        <v>1350916</v>
      </c>
      <c r="BO12" s="37">
        <v>2564470</v>
      </c>
      <c r="BP12" s="37">
        <v>1229792</v>
      </c>
      <c r="BQ12" s="37">
        <v>1334678</v>
      </c>
      <c r="BR12" s="37">
        <v>200327</v>
      </c>
      <c r="BS12" s="37">
        <v>95027</v>
      </c>
      <c r="BT12" s="37">
        <v>105300</v>
      </c>
      <c r="BU12" s="37">
        <v>59210</v>
      </c>
      <c r="BV12" s="37">
        <v>33166</v>
      </c>
      <c r="BW12" s="37">
        <v>26044</v>
      </c>
      <c r="BX12" s="92">
        <f t="shared" si="52"/>
        <v>79956</v>
      </c>
      <c r="BY12" s="37">
        <v>40553</v>
      </c>
      <c r="BZ12" s="37">
        <v>39403</v>
      </c>
      <c r="CA12" s="125">
        <v>2808673</v>
      </c>
      <c r="CB12" s="38">
        <v>2529901</v>
      </c>
      <c r="CC12" s="37">
        <v>186256</v>
      </c>
      <c r="CD12" s="37">
        <v>67082</v>
      </c>
      <c r="CE12" s="37">
        <v>44119</v>
      </c>
      <c r="CF12" s="68">
        <v>2840521</v>
      </c>
      <c r="CG12" s="38">
        <v>2582511</v>
      </c>
      <c r="CH12" s="37">
        <v>188277</v>
      </c>
      <c r="CI12" s="37">
        <v>69733</v>
      </c>
      <c r="CJ12" s="37">
        <v>46429</v>
      </c>
      <c r="CK12" s="42">
        <v>2853559</v>
      </c>
      <c r="CL12" s="40">
        <v>2587562</v>
      </c>
      <c r="CM12" s="41">
        <v>191594</v>
      </c>
      <c r="CN12" s="41">
        <v>74403</v>
      </c>
      <c r="CO12" s="41">
        <v>49728</v>
      </c>
      <c r="CP12" s="42">
        <v>2879829</v>
      </c>
      <c r="CQ12" s="356">
        <v>2599546</v>
      </c>
      <c r="CR12" s="356">
        <v>200327</v>
      </c>
      <c r="CS12" s="41">
        <v>79956</v>
      </c>
      <c r="CT12" s="356">
        <v>59210</v>
      </c>
      <c r="CU12" s="42">
        <v>2902918</v>
      </c>
      <c r="CV12" s="356">
        <v>2615442</v>
      </c>
      <c r="CW12" s="356">
        <v>205571</v>
      </c>
      <c r="CX12" s="215">
        <f t="shared" si="53"/>
        <v>81905</v>
      </c>
      <c r="CY12" s="419">
        <v>62299</v>
      </c>
      <c r="CZ12" s="37">
        <v>2922675</v>
      </c>
      <c r="DA12" s="37">
        <v>2588479</v>
      </c>
      <c r="DB12" s="37">
        <v>207680</v>
      </c>
      <c r="DC12" s="37">
        <v>84965</v>
      </c>
      <c r="DD12" s="371">
        <v>66113</v>
      </c>
      <c r="DE12" s="37">
        <v>2937179</v>
      </c>
      <c r="DF12" s="37">
        <v>2596287</v>
      </c>
      <c r="DG12" s="1">
        <v>210236</v>
      </c>
      <c r="DH12" s="37">
        <v>87280</v>
      </c>
      <c r="DI12" s="37">
        <v>68177</v>
      </c>
      <c r="DJ12" s="37">
        <v>2967181</v>
      </c>
      <c r="DK12" s="37">
        <v>2611800</v>
      </c>
      <c r="DL12" s="37">
        <v>217377</v>
      </c>
      <c r="DM12" s="669">
        <v>92200</v>
      </c>
      <c r="DN12" s="37">
        <v>70136</v>
      </c>
      <c r="DO12" s="37">
        <v>2988790</v>
      </c>
      <c r="DP12" s="37">
        <v>2621431</v>
      </c>
      <c r="DQ12" s="37">
        <v>223191</v>
      </c>
      <c r="DR12" s="338">
        <v>94074</v>
      </c>
      <c r="DS12" s="37">
        <v>70554</v>
      </c>
      <c r="DT12" s="37">
        <v>2995509</v>
      </c>
      <c r="DU12" s="37">
        <v>2626648</v>
      </c>
      <c r="DV12" s="37">
        <v>223064</v>
      </c>
      <c r="DW12" s="338">
        <v>96817</v>
      </c>
      <c r="DX12" s="37">
        <v>72292</v>
      </c>
      <c r="DY12" s="1">
        <v>39780</v>
      </c>
      <c r="DZ12" s="1">
        <v>0</v>
      </c>
      <c r="EA12" s="1">
        <v>8520</v>
      </c>
      <c r="EB12" s="1">
        <v>27423</v>
      </c>
      <c r="EC12" s="701">
        <v>21094</v>
      </c>
      <c r="ED12" s="68">
        <v>3018953</v>
      </c>
      <c r="EE12" s="37">
        <v>2637733</v>
      </c>
      <c r="EF12" s="28">
        <v>224307</v>
      </c>
      <c r="EG12" s="304">
        <v>96230</v>
      </c>
      <c r="EH12" s="37">
        <v>76434</v>
      </c>
      <c r="EI12" s="68">
        <v>3039414</v>
      </c>
      <c r="EJ12" s="37"/>
      <c r="EK12" s="28"/>
      <c r="EM12" s="37"/>
      <c r="EN12" s="37">
        <v>3048442</v>
      </c>
      <c r="EO12" s="37">
        <v>2648824</v>
      </c>
      <c r="EP12" s="28">
        <v>232582</v>
      </c>
      <c r="EQ12" s="304">
        <v>107468</v>
      </c>
      <c r="ER12" s="37">
        <v>84517</v>
      </c>
      <c r="ES12" s="37">
        <v>3077867</v>
      </c>
      <c r="ET12" s="37">
        <v>2626394</v>
      </c>
      <c r="EU12" s="28">
        <v>201722</v>
      </c>
      <c r="EV12" s="304">
        <v>233667</v>
      </c>
      <c r="EW12" s="37">
        <v>88516</v>
      </c>
      <c r="EX12" s="1">
        <v>42119</v>
      </c>
      <c r="EZ12" s="1">
        <v>6780</v>
      </c>
      <c r="FA12" s="1">
        <v>151253</v>
      </c>
      <c r="FB12" s="701">
        <v>33515</v>
      </c>
    </row>
    <row r="13" spans="1:158" ht="15.6">
      <c r="A13" s="38" t="s">
        <v>14</v>
      </c>
      <c r="B13" s="371">
        <v>1204647</v>
      </c>
      <c r="C13" s="6">
        <v>1415145</v>
      </c>
      <c r="D13" s="37">
        <v>1639215</v>
      </c>
      <c r="E13" s="37">
        <v>569406</v>
      </c>
      <c r="F13" s="37">
        <v>606148</v>
      </c>
      <c r="G13" s="37">
        <v>212029</v>
      </c>
      <c r="H13" s="37">
        <v>251632</v>
      </c>
      <c r="I13" s="68">
        <v>1809914</v>
      </c>
      <c r="J13" s="92">
        <f t="shared" si="44"/>
        <v>1335486</v>
      </c>
      <c r="K13" s="37">
        <v>634495</v>
      </c>
      <c r="L13" s="37">
        <v>700991</v>
      </c>
      <c r="M13" s="92">
        <f t="shared" si="45"/>
        <v>469899</v>
      </c>
      <c r="N13" s="37">
        <v>209408</v>
      </c>
      <c r="O13" s="37">
        <v>260491</v>
      </c>
      <c r="P13" s="92">
        <f t="shared" si="46"/>
        <v>32123</v>
      </c>
      <c r="Q13" s="37">
        <v>15578</v>
      </c>
      <c r="R13" s="37">
        <v>16545</v>
      </c>
      <c r="S13" s="7">
        <v>2281481</v>
      </c>
      <c r="T13" s="38">
        <v>1635229</v>
      </c>
      <c r="U13" s="37">
        <v>780790</v>
      </c>
      <c r="V13" s="37">
        <v>854439</v>
      </c>
      <c r="W13" s="38">
        <f t="shared" si="47"/>
        <v>577085</v>
      </c>
      <c r="X13" s="37">
        <v>253416</v>
      </c>
      <c r="Y13" s="37">
        <v>323669</v>
      </c>
      <c r="Z13" s="38">
        <v>49861</v>
      </c>
      <c r="AA13" s="37">
        <v>23434</v>
      </c>
      <c r="AB13" s="37">
        <v>26427</v>
      </c>
      <c r="AC13" s="92">
        <v>17575</v>
      </c>
      <c r="AD13" s="92">
        <v>8508</v>
      </c>
      <c r="AE13" s="92">
        <v>9067</v>
      </c>
      <c r="AF13" s="68">
        <v>2536994</v>
      </c>
      <c r="AG13" s="39">
        <v>1813602</v>
      </c>
      <c r="AH13" s="55">
        <f t="shared" si="48"/>
        <v>1775436</v>
      </c>
      <c r="AI13" s="37">
        <v>843797</v>
      </c>
      <c r="AJ13" s="37">
        <v>931639</v>
      </c>
      <c r="AK13" s="38">
        <v>678809</v>
      </c>
      <c r="AL13" s="55">
        <f t="shared" si="49"/>
        <v>675611</v>
      </c>
      <c r="AM13" s="37">
        <v>293951</v>
      </c>
      <c r="AN13" s="37">
        <v>381660</v>
      </c>
      <c r="AO13" s="38">
        <v>53137</v>
      </c>
      <c r="AP13" s="37">
        <v>25252</v>
      </c>
      <c r="AQ13" s="37">
        <v>27885</v>
      </c>
      <c r="AR13" s="59">
        <f t="shared" si="50"/>
        <v>32810</v>
      </c>
      <c r="AS13" s="68">
        <v>2775468</v>
      </c>
      <c r="AT13" s="38">
        <v>1896770</v>
      </c>
      <c r="AU13" s="115">
        <v>908316</v>
      </c>
      <c r="AV13" s="115">
        <v>988454</v>
      </c>
      <c r="AW13" s="55">
        <f t="shared" si="51"/>
        <v>1858253</v>
      </c>
      <c r="AX13" s="37">
        <v>889572</v>
      </c>
      <c r="AY13" s="37">
        <v>968681</v>
      </c>
      <c r="AZ13" s="38">
        <v>784799</v>
      </c>
      <c r="BA13" s="37">
        <v>348557</v>
      </c>
      <c r="BB13" s="37">
        <v>436242</v>
      </c>
      <c r="BC13" s="38">
        <v>63345</v>
      </c>
      <c r="BD13" s="37">
        <v>31205</v>
      </c>
      <c r="BE13" s="37">
        <v>32140</v>
      </c>
      <c r="BF13" s="92">
        <v>93899</v>
      </c>
      <c r="BG13" s="92">
        <v>46454</v>
      </c>
      <c r="BH13" s="92">
        <v>47445</v>
      </c>
      <c r="BI13" s="68">
        <v>2900712</v>
      </c>
      <c r="BJ13" s="37">
        <v>1387668</v>
      </c>
      <c r="BK13" s="37">
        <v>1513044</v>
      </c>
      <c r="BL13" s="37">
        <v>1947396</v>
      </c>
      <c r="BM13" s="37">
        <v>946616</v>
      </c>
      <c r="BN13" s="37">
        <v>1000780</v>
      </c>
      <c r="BO13" s="37">
        <v>1876912</v>
      </c>
      <c r="BP13" s="37">
        <v>907846</v>
      </c>
      <c r="BQ13" s="37">
        <v>969066</v>
      </c>
      <c r="BR13" s="37">
        <v>836423</v>
      </c>
      <c r="BS13" s="37">
        <v>381174</v>
      </c>
      <c r="BT13" s="37">
        <v>455249</v>
      </c>
      <c r="BU13" s="37">
        <v>106388</v>
      </c>
      <c r="BV13" s="37">
        <v>59578</v>
      </c>
      <c r="BW13" s="37">
        <v>46810</v>
      </c>
      <c r="BX13" s="92">
        <f t="shared" si="52"/>
        <v>116893</v>
      </c>
      <c r="BY13" s="37">
        <v>59878</v>
      </c>
      <c r="BZ13" s="37">
        <v>57015</v>
      </c>
      <c r="CA13" s="125">
        <v>2766825</v>
      </c>
      <c r="CB13" s="38">
        <v>1830188</v>
      </c>
      <c r="CC13" s="37">
        <v>786314</v>
      </c>
      <c r="CD13" s="37">
        <v>99875</v>
      </c>
      <c r="CE13" s="37">
        <v>77921</v>
      </c>
      <c r="CF13" s="68">
        <v>2750274</v>
      </c>
      <c r="CG13" s="38">
        <v>1892021</v>
      </c>
      <c r="CH13" s="37">
        <v>757558</v>
      </c>
      <c r="CI13" s="37">
        <v>100695</v>
      </c>
      <c r="CJ13" s="37">
        <v>80378</v>
      </c>
      <c r="CK13" s="42">
        <v>2846792</v>
      </c>
      <c r="CL13" s="40">
        <v>1935347</v>
      </c>
      <c r="CM13" s="41">
        <v>809693</v>
      </c>
      <c r="CN13" s="41">
        <v>101752</v>
      </c>
      <c r="CO13" s="41">
        <v>88342</v>
      </c>
      <c r="CP13" s="42">
        <v>2900712</v>
      </c>
      <c r="CQ13" s="356">
        <v>1947396</v>
      </c>
      <c r="CR13" s="356">
        <v>836423</v>
      </c>
      <c r="CS13" s="41">
        <v>116893</v>
      </c>
      <c r="CT13" s="356">
        <v>106388</v>
      </c>
      <c r="CU13" s="42">
        <v>2943594</v>
      </c>
      <c r="CV13" s="356">
        <v>1965984</v>
      </c>
      <c r="CW13" s="356">
        <v>852775</v>
      </c>
      <c r="CX13" s="215">
        <f t="shared" si="53"/>
        <v>124835</v>
      </c>
      <c r="CY13" s="419">
        <v>113964</v>
      </c>
      <c r="CZ13" s="37">
        <v>2980393</v>
      </c>
      <c r="DA13" s="37">
        <v>1904612</v>
      </c>
      <c r="DB13" s="37">
        <v>865553</v>
      </c>
      <c r="DC13" s="37">
        <v>127254</v>
      </c>
      <c r="DD13" s="371">
        <v>120768</v>
      </c>
      <c r="DE13" s="37">
        <v>3010361</v>
      </c>
      <c r="DF13" s="37">
        <v>1917243</v>
      </c>
      <c r="DG13" s="1">
        <v>876450</v>
      </c>
      <c r="DH13" s="37">
        <v>127952</v>
      </c>
      <c r="DI13" s="37">
        <v>125390</v>
      </c>
      <c r="DJ13" s="37">
        <v>3060688</v>
      </c>
      <c r="DK13" s="37">
        <v>1933961</v>
      </c>
      <c r="DL13" s="37">
        <v>902889</v>
      </c>
      <c r="DM13" s="669">
        <v>125972</v>
      </c>
      <c r="DN13" s="37">
        <v>129086</v>
      </c>
      <c r="DO13" s="37">
        <v>3095255</v>
      </c>
      <c r="DP13" s="37">
        <v>1945585</v>
      </c>
      <c r="DQ13" s="37">
        <v>914644</v>
      </c>
      <c r="DR13" s="338">
        <v>138761</v>
      </c>
      <c r="DS13" s="37">
        <v>135643</v>
      </c>
      <c r="DT13" s="37">
        <v>3115020</v>
      </c>
      <c r="DU13" s="37">
        <v>1950539</v>
      </c>
      <c r="DV13" s="37">
        <v>930771</v>
      </c>
      <c r="DW13" s="338">
        <v>145845</v>
      </c>
      <c r="DX13" s="37">
        <v>136193</v>
      </c>
      <c r="DY13" s="1">
        <v>53602</v>
      </c>
      <c r="DZ13" s="1">
        <v>0</v>
      </c>
      <c r="EA13" s="1">
        <v>16132</v>
      </c>
      <c r="EB13" s="1">
        <v>35295</v>
      </c>
      <c r="EC13" s="701">
        <v>40816</v>
      </c>
      <c r="ED13" s="68">
        <v>3120277</v>
      </c>
      <c r="EE13" s="37">
        <v>1948052</v>
      </c>
      <c r="EF13" s="28">
        <v>935496</v>
      </c>
      <c r="EG13" s="304">
        <v>145004</v>
      </c>
      <c r="EH13" s="37">
        <v>140423</v>
      </c>
      <c r="EI13" s="68">
        <v>3125733</v>
      </c>
      <c r="EJ13" s="37"/>
      <c r="EK13" s="28"/>
      <c r="EM13" s="37"/>
      <c r="EN13" s="37">
        <v>3140201</v>
      </c>
      <c r="EO13" s="37">
        <v>1938051</v>
      </c>
      <c r="EP13" s="28">
        <v>948531</v>
      </c>
      <c r="EQ13" s="304">
        <v>154377</v>
      </c>
      <c r="ER13" s="37">
        <v>145024</v>
      </c>
      <c r="ES13" s="37">
        <v>3117186</v>
      </c>
      <c r="ET13" s="37">
        <v>1886530</v>
      </c>
      <c r="EU13" s="28">
        <v>913832</v>
      </c>
      <c r="EV13" s="304">
        <v>289649</v>
      </c>
      <c r="EW13" s="37">
        <v>143757</v>
      </c>
      <c r="EX13" s="1">
        <v>57886</v>
      </c>
      <c r="EZ13" s="1">
        <v>15844</v>
      </c>
      <c r="FA13" s="1">
        <v>166054</v>
      </c>
      <c r="FB13" s="701">
        <v>49865</v>
      </c>
    </row>
    <row r="14" spans="1:158" ht="15.6">
      <c r="A14" s="38" t="s">
        <v>15</v>
      </c>
      <c r="B14" s="371">
        <v>1054688</v>
      </c>
      <c r="C14" s="6">
        <v>1362490</v>
      </c>
      <c r="D14" s="37">
        <v>1692562</v>
      </c>
      <c r="E14" s="37">
        <v>694881</v>
      </c>
      <c r="F14" s="37">
        <v>740719</v>
      </c>
      <c r="G14" s="37">
        <v>125515</v>
      </c>
      <c r="H14" s="37">
        <v>131447</v>
      </c>
      <c r="I14" s="68">
        <v>2082549</v>
      </c>
      <c r="J14" s="92">
        <f t="shared" si="44"/>
        <v>1746979</v>
      </c>
      <c r="K14" s="37">
        <v>834194</v>
      </c>
      <c r="L14" s="37">
        <v>912785</v>
      </c>
      <c r="M14" s="92">
        <f t="shared" si="45"/>
        <v>322508</v>
      </c>
      <c r="N14" s="37">
        <v>151524</v>
      </c>
      <c r="O14" s="37">
        <v>170984</v>
      </c>
      <c r="P14" s="92">
        <f t="shared" si="46"/>
        <v>24319</v>
      </c>
      <c r="Q14" s="37">
        <v>11808</v>
      </c>
      <c r="R14" s="37">
        <v>12511</v>
      </c>
      <c r="S14" s="7">
        <v>2499096</v>
      </c>
      <c r="T14" s="38">
        <v>1930154</v>
      </c>
      <c r="U14" s="37">
        <v>914634</v>
      </c>
      <c r="V14" s="37">
        <v>1015520</v>
      </c>
      <c r="W14" s="38">
        <f t="shared" si="47"/>
        <v>491502</v>
      </c>
      <c r="X14" s="37">
        <v>222784</v>
      </c>
      <c r="Y14" s="37">
        <v>268718</v>
      </c>
      <c r="Z14" s="38">
        <v>32628</v>
      </c>
      <c r="AA14" s="37">
        <v>14907</v>
      </c>
      <c r="AB14" s="37">
        <v>17721</v>
      </c>
      <c r="AC14" s="92">
        <v>41810</v>
      </c>
      <c r="AD14" s="92">
        <v>19492</v>
      </c>
      <c r="AE14" s="92">
        <v>22318</v>
      </c>
      <c r="AF14" s="68">
        <v>3122665</v>
      </c>
      <c r="AG14" s="39">
        <v>2299041</v>
      </c>
      <c r="AH14" s="55">
        <f t="shared" si="48"/>
        <v>2260526</v>
      </c>
      <c r="AI14" s="37">
        <v>1082145</v>
      </c>
      <c r="AJ14" s="37">
        <v>1178381</v>
      </c>
      <c r="AK14" s="38">
        <v>707379</v>
      </c>
      <c r="AL14" s="55">
        <f t="shared" si="49"/>
        <v>702460</v>
      </c>
      <c r="AM14" s="37">
        <v>315912</v>
      </c>
      <c r="AN14" s="37">
        <v>386548</v>
      </c>
      <c r="AO14" s="38">
        <v>66901</v>
      </c>
      <c r="AP14" s="37">
        <v>32786</v>
      </c>
      <c r="AQ14" s="37">
        <v>34115</v>
      </c>
      <c r="AR14" s="59">
        <f t="shared" si="50"/>
        <v>92778</v>
      </c>
      <c r="AS14" s="68">
        <v>3495595</v>
      </c>
      <c r="AT14" s="38">
        <v>2346587</v>
      </c>
      <c r="AU14" s="115">
        <v>1119496</v>
      </c>
      <c r="AV14" s="115">
        <v>1227091</v>
      </c>
      <c r="AW14" s="55">
        <f t="shared" si="51"/>
        <v>2285532</v>
      </c>
      <c r="AX14" s="37">
        <v>1089429</v>
      </c>
      <c r="AY14" s="37">
        <v>1196103</v>
      </c>
      <c r="AZ14" s="38">
        <v>894968</v>
      </c>
      <c r="BA14" s="37">
        <v>396614</v>
      </c>
      <c r="BB14" s="37">
        <v>498354</v>
      </c>
      <c r="BC14" s="38">
        <v>124429</v>
      </c>
      <c r="BD14" s="37">
        <v>62149</v>
      </c>
      <c r="BE14" s="37">
        <v>62280</v>
      </c>
      <c r="BF14" s="92">
        <v>254040</v>
      </c>
      <c r="BG14" s="92">
        <v>121151</v>
      </c>
      <c r="BH14" s="92">
        <v>132889</v>
      </c>
      <c r="BI14" s="68">
        <v>3826074</v>
      </c>
      <c r="BJ14" s="37">
        <v>1799720</v>
      </c>
      <c r="BK14" s="37">
        <v>2026354</v>
      </c>
      <c r="BL14" s="37">
        <v>2385383</v>
      </c>
      <c r="BM14" s="37">
        <v>1146361</v>
      </c>
      <c r="BN14" s="37">
        <v>1239022</v>
      </c>
      <c r="BO14" s="37">
        <v>2249904</v>
      </c>
      <c r="BP14" s="37">
        <v>1077007</v>
      </c>
      <c r="BQ14" s="37">
        <v>1172897</v>
      </c>
      <c r="BR14" s="37">
        <v>1058905</v>
      </c>
      <c r="BS14" s="37">
        <v>468929</v>
      </c>
      <c r="BT14" s="37">
        <v>589976</v>
      </c>
      <c r="BU14" s="37">
        <v>252330</v>
      </c>
      <c r="BV14" s="37">
        <v>131990</v>
      </c>
      <c r="BW14" s="37">
        <v>120340</v>
      </c>
      <c r="BX14" s="92">
        <f t="shared" si="52"/>
        <v>381786</v>
      </c>
      <c r="BY14" s="37">
        <v>184430</v>
      </c>
      <c r="BZ14" s="37">
        <v>197356</v>
      </c>
      <c r="CA14" s="125">
        <v>3699555</v>
      </c>
      <c r="CB14" s="38">
        <v>2274743</v>
      </c>
      <c r="CC14" s="37">
        <v>1000748</v>
      </c>
      <c r="CD14" s="37">
        <v>337177</v>
      </c>
      <c r="CE14" s="37">
        <v>190933</v>
      </c>
      <c r="CF14" s="68">
        <v>3724359</v>
      </c>
      <c r="CG14" s="38">
        <v>2374619</v>
      </c>
      <c r="CH14" s="37">
        <v>1013175</v>
      </c>
      <c r="CI14" s="37">
        <v>336565</v>
      </c>
      <c r="CJ14" s="37">
        <v>199913</v>
      </c>
      <c r="CK14" s="42">
        <v>3765056</v>
      </c>
      <c r="CL14" s="40">
        <v>2379129</v>
      </c>
      <c r="CM14" s="41">
        <v>1035588</v>
      </c>
      <c r="CN14" s="41">
        <v>350339</v>
      </c>
      <c r="CO14" s="41">
        <v>216267</v>
      </c>
      <c r="CP14" s="42">
        <v>3826074</v>
      </c>
      <c r="CQ14" s="356">
        <v>2385383</v>
      </c>
      <c r="CR14" s="356">
        <v>1058905</v>
      </c>
      <c r="CS14" s="41">
        <v>381786</v>
      </c>
      <c r="CT14" s="356">
        <v>252330</v>
      </c>
      <c r="CU14" s="42">
        <v>3872031</v>
      </c>
      <c r="CV14" s="356">
        <v>2395795</v>
      </c>
      <c r="CW14" s="356">
        <v>1078556</v>
      </c>
      <c r="CX14" s="215">
        <f t="shared" si="53"/>
        <v>397680</v>
      </c>
      <c r="CY14" s="419">
        <v>264657</v>
      </c>
      <c r="CZ14" s="37">
        <v>3922966</v>
      </c>
      <c r="DA14" s="37">
        <v>2269449</v>
      </c>
      <c r="DB14" s="37">
        <v>1095961</v>
      </c>
      <c r="DC14" s="37">
        <v>414096</v>
      </c>
      <c r="DD14" s="371">
        <v>277050</v>
      </c>
      <c r="DE14" s="37">
        <v>3970798</v>
      </c>
      <c r="DF14" s="37">
        <v>2275216</v>
      </c>
      <c r="DG14" s="1">
        <v>1113771</v>
      </c>
      <c r="DH14" s="37">
        <v>432918</v>
      </c>
      <c r="DI14" s="37">
        <v>289361</v>
      </c>
      <c r="DJ14" s="37">
        <v>4062813</v>
      </c>
      <c r="DK14" s="37">
        <v>2275134</v>
      </c>
      <c r="DL14" s="37">
        <v>1155799</v>
      </c>
      <c r="DM14" s="669">
        <v>462980</v>
      </c>
      <c r="DN14" s="37">
        <v>313515</v>
      </c>
      <c r="DO14" s="37">
        <v>4102486</v>
      </c>
      <c r="DP14" s="37">
        <v>2272082</v>
      </c>
      <c r="DQ14" s="37">
        <v>1169317</v>
      </c>
      <c r="DR14" s="338">
        <v>499383</v>
      </c>
      <c r="DS14" s="37">
        <v>321985</v>
      </c>
      <c r="DT14" s="37">
        <v>4122508</v>
      </c>
      <c r="DU14" s="37">
        <v>2262748</v>
      </c>
      <c r="DV14" s="37">
        <v>1191325</v>
      </c>
      <c r="DW14" s="338">
        <v>492902</v>
      </c>
      <c r="DX14" s="37">
        <v>329396</v>
      </c>
      <c r="DY14" s="1">
        <v>268482</v>
      </c>
      <c r="DZ14" s="1">
        <v>0</v>
      </c>
      <c r="EA14" s="1">
        <v>10474</v>
      </c>
      <c r="EB14" s="1">
        <v>78290</v>
      </c>
      <c r="EC14" s="701">
        <v>135656</v>
      </c>
      <c r="ED14" s="68">
        <v>4167604</v>
      </c>
      <c r="EE14" s="37">
        <v>2252470</v>
      </c>
      <c r="EF14" s="28">
        <v>1216114</v>
      </c>
      <c r="EG14" s="304">
        <v>545730</v>
      </c>
      <c r="EH14" s="37">
        <v>345734</v>
      </c>
      <c r="EI14" s="68">
        <v>4167339</v>
      </c>
      <c r="EJ14" s="37"/>
      <c r="EK14" s="28"/>
      <c r="EM14" s="37"/>
      <c r="EN14" s="37">
        <v>4183858</v>
      </c>
      <c r="EO14" s="37">
        <v>2223960</v>
      </c>
      <c r="EP14" s="28">
        <v>1241353</v>
      </c>
      <c r="EQ14" s="304">
        <v>555416</v>
      </c>
      <c r="ER14" s="37">
        <v>358740</v>
      </c>
      <c r="ES14" s="37">
        <v>4273260</v>
      </c>
      <c r="ET14" s="37">
        <v>2191994</v>
      </c>
      <c r="EU14" s="28">
        <v>1241639</v>
      </c>
      <c r="EV14" s="304">
        <v>799233</v>
      </c>
      <c r="EW14" s="37">
        <v>382476</v>
      </c>
      <c r="EX14" s="1">
        <v>291944</v>
      </c>
      <c r="EZ14" s="1">
        <v>16162</v>
      </c>
      <c r="FA14" s="1">
        <v>261757</v>
      </c>
      <c r="FB14" s="701">
        <v>229370</v>
      </c>
    </row>
    <row r="15" spans="1:158" ht="15.6">
      <c r="A15" s="38" t="s">
        <v>16</v>
      </c>
      <c r="B15" s="371">
        <v>1043584</v>
      </c>
      <c r="C15" s="6">
        <v>1073260</v>
      </c>
      <c r="D15" s="37">
        <v>1064976</v>
      </c>
      <c r="E15" s="37">
        <v>329133</v>
      </c>
      <c r="F15" s="37">
        <v>352826</v>
      </c>
      <c r="G15" s="37">
        <v>173898</v>
      </c>
      <c r="H15" s="37">
        <v>209119</v>
      </c>
      <c r="I15" s="68">
        <v>1111789</v>
      </c>
      <c r="J15" s="92">
        <f t="shared" si="44"/>
        <v>767465</v>
      </c>
      <c r="K15" s="37">
        <v>363480</v>
      </c>
      <c r="L15" s="37">
        <v>403985</v>
      </c>
      <c r="M15" s="92">
        <f t="shared" si="45"/>
        <v>341539</v>
      </c>
      <c r="N15" s="37">
        <v>151520</v>
      </c>
      <c r="O15" s="37">
        <v>190019</v>
      </c>
      <c r="P15" s="92">
        <f t="shared" si="46"/>
        <v>3500</v>
      </c>
      <c r="Q15" s="37">
        <v>1770</v>
      </c>
      <c r="R15" s="37">
        <v>1730</v>
      </c>
      <c r="S15" s="7">
        <v>1367792</v>
      </c>
      <c r="T15" s="38">
        <v>953267</v>
      </c>
      <c r="U15" s="37">
        <v>448481</v>
      </c>
      <c r="V15" s="37">
        <v>504786</v>
      </c>
      <c r="W15" s="38">
        <f t="shared" si="47"/>
        <v>396276</v>
      </c>
      <c r="X15" s="37">
        <v>173374</v>
      </c>
      <c r="Y15" s="37">
        <v>222902</v>
      </c>
      <c r="Z15" s="38">
        <v>10791</v>
      </c>
      <c r="AA15" s="37">
        <v>4975</v>
      </c>
      <c r="AB15" s="37">
        <v>5816</v>
      </c>
      <c r="AC15" s="92">
        <v>7098</v>
      </c>
      <c r="AD15" s="92">
        <v>3017</v>
      </c>
      <c r="AE15" s="92">
        <v>4081</v>
      </c>
      <c r="AF15" s="68">
        <v>1538997</v>
      </c>
      <c r="AG15" s="39">
        <v>1062133</v>
      </c>
      <c r="AH15" s="55">
        <f t="shared" si="48"/>
        <v>1057109</v>
      </c>
      <c r="AI15" s="37">
        <v>498157</v>
      </c>
      <c r="AJ15" s="37">
        <v>558952</v>
      </c>
      <c r="AK15" s="38">
        <v>463860</v>
      </c>
      <c r="AL15" s="55">
        <f t="shared" si="49"/>
        <v>462835</v>
      </c>
      <c r="AM15" s="37">
        <v>199051</v>
      </c>
      <c r="AN15" s="37">
        <v>263784</v>
      </c>
      <c r="AO15" s="38">
        <v>7766</v>
      </c>
      <c r="AP15" s="37">
        <v>3840</v>
      </c>
      <c r="AQ15" s="37">
        <v>3926</v>
      </c>
      <c r="AR15" s="59">
        <f t="shared" si="50"/>
        <v>11287</v>
      </c>
      <c r="AS15" s="68">
        <v>1757517</v>
      </c>
      <c r="AT15" s="38">
        <v>1170083</v>
      </c>
      <c r="AU15" s="115">
        <v>559031</v>
      </c>
      <c r="AV15" s="115">
        <v>611052</v>
      </c>
      <c r="AW15" s="55">
        <f t="shared" si="51"/>
        <v>1160401</v>
      </c>
      <c r="AX15" s="37">
        <v>553570</v>
      </c>
      <c r="AY15" s="37">
        <v>606831</v>
      </c>
      <c r="AZ15" s="38">
        <v>552617</v>
      </c>
      <c r="BA15" s="37">
        <v>243779</v>
      </c>
      <c r="BB15" s="37">
        <v>308838</v>
      </c>
      <c r="BC15" s="38">
        <v>19769</v>
      </c>
      <c r="BD15" s="37">
        <v>11250</v>
      </c>
      <c r="BE15" s="37">
        <v>8519</v>
      </c>
      <c r="BF15" s="92">
        <v>34817</v>
      </c>
      <c r="BG15" s="92">
        <v>17151</v>
      </c>
      <c r="BH15" s="92">
        <v>17666</v>
      </c>
      <c r="BI15" s="68">
        <v>1890674</v>
      </c>
      <c r="BJ15" s="37">
        <v>893122</v>
      </c>
      <c r="BK15" s="37">
        <v>997552</v>
      </c>
      <c r="BL15" s="37">
        <v>1210578</v>
      </c>
      <c r="BM15" s="37">
        <v>585049</v>
      </c>
      <c r="BN15" s="37">
        <v>625529</v>
      </c>
      <c r="BO15" s="37">
        <v>1187826</v>
      </c>
      <c r="BP15" s="37">
        <v>571984</v>
      </c>
      <c r="BQ15" s="37">
        <v>615842</v>
      </c>
      <c r="BR15" s="37">
        <v>630289</v>
      </c>
      <c r="BS15" s="37">
        <v>282918</v>
      </c>
      <c r="BT15" s="37">
        <v>347371</v>
      </c>
      <c r="BU15" s="37">
        <v>37822</v>
      </c>
      <c r="BV15" s="37">
        <v>22335</v>
      </c>
      <c r="BW15" s="37">
        <v>15487</v>
      </c>
      <c r="BX15" s="92">
        <f t="shared" si="52"/>
        <v>49807</v>
      </c>
      <c r="BY15" s="37">
        <v>25155</v>
      </c>
      <c r="BZ15" s="37">
        <v>24652</v>
      </c>
      <c r="CA15" s="125">
        <v>1829680</v>
      </c>
      <c r="CB15" s="38">
        <v>1171938</v>
      </c>
      <c r="CC15" s="37">
        <v>602006</v>
      </c>
      <c r="CD15" s="37">
        <v>41002</v>
      </c>
      <c r="CE15" s="37">
        <v>26233</v>
      </c>
      <c r="CF15" s="68">
        <v>1845409</v>
      </c>
      <c r="CG15" s="38">
        <v>1188854</v>
      </c>
      <c r="CH15" s="37">
        <v>614531</v>
      </c>
      <c r="CI15" s="37">
        <v>42024</v>
      </c>
      <c r="CJ15" s="37">
        <v>28208</v>
      </c>
      <c r="CK15" s="42">
        <v>1855677</v>
      </c>
      <c r="CL15" s="40">
        <v>1188247</v>
      </c>
      <c r="CM15" s="41">
        <v>621322</v>
      </c>
      <c r="CN15" s="41">
        <v>46108</v>
      </c>
      <c r="CO15" s="41">
        <v>31729</v>
      </c>
      <c r="CP15" s="42">
        <v>1890674</v>
      </c>
      <c r="CQ15" s="356">
        <v>1210578</v>
      </c>
      <c r="CR15" s="356">
        <v>630289</v>
      </c>
      <c r="CS15" s="41">
        <v>49807</v>
      </c>
      <c r="CT15" s="356">
        <v>37822</v>
      </c>
      <c r="CU15" s="42">
        <v>1904657</v>
      </c>
      <c r="CV15" s="356">
        <v>1215722</v>
      </c>
      <c r="CW15" s="356">
        <v>636480</v>
      </c>
      <c r="CX15" s="215">
        <f t="shared" si="53"/>
        <v>52455</v>
      </c>
      <c r="CY15" s="419">
        <v>42198</v>
      </c>
      <c r="CZ15" s="37">
        <v>1914622</v>
      </c>
      <c r="DA15" s="37">
        <v>1191293</v>
      </c>
      <c r="DB15" s="37">
        <v>648086</v>
      </c>
      <c r="DC15" s="37">
        <v>48931</v>
      </c>
      <c r="DD15" s="371">
        <v>42171</v>
      </c>
      <c r="DE15" s="37">
        <v>1928088</v>
      </c>
      <c r="DF15" s="37">
        <v>1192657</v>
      </c>
      <c r="DG15" s="1">
        <v>656202</v>
      </c>
      <c r="DH15" s="37">
        <v>51325</v>
      </c>
      <c r="DI15" s="37">
        <v>45715</v>
      </c>
      <c r="DJ15" s="37">
        <v>1950710</v>
      </c>
      <c r="DK15" s="37">
        <v>1195167</v>
      </c>
      <c r="DL15" s="37">
        <v>678161</v>
      </c>
      <c r="DM15" s="669">
        <v>52401</v>
      </c>
      <c r="DN15" s="37">
        <v>43265</v>
      </c>
      <c r="DO15" s="37">
        <v>1952337</v>
      </c>
      <c r="DP15" s="37">
        <v>1192659</v>
      </c>
      <c r="DQ15" s="37">
        <v>674020</v>
      </c>
      <c r="DR15" s="338">
        <v>56429</v>
      </c>
      <c r="DS15" s="37">
        <v>46689</v>
      </c>
      <c r="DT15" s="37">
        <v>1957022</v>
      </c>
      <c r="DU15" s="37">
        <v>1191441</v>
      </c>
      <c r="DV15" s="37">
        <v>686306</v>
      </c>
      <c r="DW15" s="338">
        <v>55045</v>
      </c>
      <c r="DX15" s="37">
        <v>41837</v>
      </c>
      <c r="DY15" s="1">
        <v>18529</v>
      </c>
      <c r="DZ15" s="1">
        <v>0</v>
      </c>
      <c r="EA15" s="1">
        <v>6936</v>
      </c>
      <c r="EB15" s="1">
        <v>12921</v>
      </c>
      <c r="EC15" s="701">
        <v>16659</v>
      </c>
      <c r="ED15" s="68">
        <v>1959341</v>
      </c>
      <c r="EE15" s="37">
        <v>1187342</v>
      </c>
      <c r="EF15" s="28">
        <v>689164</v>
      </c>
      <c r="EG15" s="304">
        <v>58038</v>
      </c>
      <c r="EH15" s="37">
        <v>42000</v>
      </c>
      <c r="EI15" s="68">
        <v>1977283</v>
      </c>
      <c r="EJ15" s="37"/>
      <c r="EK15" s="28"/>
      <c r="EM15" s="37"/>
      <c r="EN15" s="37">
        <v>1979664</v>
      </c>
      <c r="EO15" s="37">
        <v>1190544</v>
      </c>
      <c r="EP15" s="28">
        <v>702026</v>
      </c>
      <c r="EQ15" s="304">
        <v>59798</v>
      </c>
      <c r="ER15" s="37">
        <v>46120</v>
      </c>
      <c r="ES15" s="37">
        <v>1968167</v>
      </c>
      <c r="ET15" s="37">
        <v>1155565</v>
      </c>
      <c r="EU15" s="28">
        <v>675192</v>
      </c>
      <c r="EV15" s="304">
        <v>127723</v>
      </c>
      <c r="EW15" s="37">
        <v>49706</v>
      </c>
      <c r="EX15" s="1">
        <v>17928</v>
      </c>
      <c r="EZ15" s="1">
        <v>8455</v>
      </c>
      <c r="FA15" s="1">
        <v>81647</v>
      </c>
      <c r="FB15" s="701">
        <v>19693</v>
      </c>
    </row>
    <row r="16" spans="1:158" ht="15.6">
      <c r="A16" s="38" t="s">
        <v>17</v>
      </c>
      <c r="B16" s="371">
        <v>1649820</v>
      </c>
      <c r="C16" s="6">
        <v>2020140</v>
      </c>
      <c r="D16" s="37">
        <v>2307171</v>
      </c>
      <c r="E16" s="37">
        <v>870006</v>
      </c>
      <c r="F16" s="37">
        <v>940776</v>
      </c>
      <c r="G16" s="37">
        <v>230613</v>
      </c>
      <c r="H16" s="37">
        <v>265776</v>
      </c>
      <c r="I16" s="68">
        <v>2646272</v>
      </c>
      <c r="J16" s="92">
        <f t="shared" si="44"/>
        <v>2129774</v>
      </c>
      <c r="K16" s="37">
        <v>1006635</v>
      </c>
      <c r="L16" s="37">
        <v>1123139</v>
      </c>
      <c r="M16" s="92">
        <f t="shared" si="45"/>
        <v>495857</v>
      </c>
      <c r="N16" s="37">
        <v>225165</v>
      </c>
      <c r="O16" s="37">
        <v>270692</v>
      </c>
      <c r="P16" s="92">
        <f t="shared" si="46"/>
        <v>7833</v>
      </c>
      <c r="Q16" s="37">
        <v>4089</v>
      </c>
      <c r="R16" s="37">
        <v>3744</v>
      </c>
      <c r="S16" s="7">
        <v>3403219</v>
      </c>
      <c r="T16" s="38">
        <v>2688364</v>
      </c>
      <c r="U16" s="37">
        <v>1263552</v>
      </c>
      <c r="V16" s="37">
        <v>1424812</v>
      </c>
      <c r="W16" s="38">
        <f t="shared" si="47"/>
        <v>646267</v>
      </c>
      <c r="X16" s="37">
        <v>288284</v>
      </c>
      <c r="Y16" s="37">
        <v>357983</v>
      </c>
      <c r="Z16" s="38">
        <v>25127</v>
      </c>
      <c r="AA16" s="37">
        <v>11988</v>
      </c>
      <c r="AB16" s="37">
        <v>13139</v>
      </c>
      <c r="AC16" s="92">
        <v>42081</v>
      </c>
      <c r="AD16" s="92">
        <v>18792</v>
      </c>
      <c r="AE16" s="92">
        <v>23289</v>
      </c>
      <c r="AF16" s="68">
        <v>4253494</v>
      </c>
      <c r="AG16" s="39">
        <v>3343688</v>
      </c>
      <c r="AH16" s="55">
        <f t="shared" si="48"/>
        <v>3325862</v>
      </c>
      <c r="AI16" s="37">
        <v>1579217</v>
      </c>
      <c r="AJ16" s="37">
        <v>1746645</v>
      </c>
      <c r="AK16" s="38">
        <v>822754</v>
      </c>
      <c r="AL16" s="55">
        <f t="shared" si="49"/>
        <v>820174</v>
      </c>
      <c r="AM16" s="37">
        <v>361133</v>
      </c>
      <c r="AN16" s="37">
        <v>459041</v>
      </c>
      <c r="AO16" s="38">
        <v>33761</v>
      </c>
      <c r="AP16" s="37">
        <v>18534</v>
      </c>
      <c r="AQ16" s="37">
        <v>15227</v>
      </c>
      <c r="AR16" s="59">
        <f t="shared" si="50"/>
        <v>73697</v>
      </c>
      <c r="AS16" s="68">
        <v>5282994</v>
      </c>
      <c r="AT16" s="38">
        <v>3995351</v>
      </c>
      <c r="AU16" s="115">
        <v>1917559</v>
      </c>
      <c r="AV16" s="115">
        <v>2077792</v>
      </c>
      <c r="AW16" s="55">
        <f t="shared" si="51"/>
        <v>3920336</v>
      </c>
      <c r="AX16" s="37">
        <v>1873207</v>
      </c>
      <c r="AY16" s="37">
        <v>2047129</v>
      </c>
      <c r="AZ16" s="38">
        <v>1025276</v>
      </c>
      <c r="BA16" s="37">
        <v>458381</v>
      </c>
      <c r="BB16" s="37">
        <v>566895</v>
      </c>
      <c r="BC16" s="38">
        <v>174906</v>
      </c>
      <c r="BD16" s="37">
        <v>106882</v>
      </c>
      <c r="BE16" s="37">
        <v>68024</v>
      </c>
      <c r="BF16" s="92">
        <v>262367</v>
      </c>
      <c r="BG16" s="92">
        <v>138963</v>
      </c>
      <c r="BH16" s="92">
        <v>123404</v>
      </c>
      <c r="BI16" s="68">
        <v>6239345</v>
      </c>
      <c r="BJ16" s="37">
        <v>2961611</v>
      </c>
      <c r="BK16" s="37">
        <v>3277734</v>
      </c>
      <c r="BL16" s="37">
        <v>4566223</v>
      </c>
      <c r="BM16" s="37">
        <v>2190490</v>
      </c>
      <c r="BN16" s="37">
        <v>2375733</v>
      </c>
      <c r="BO16" s="37">
        <v>4376254</v>
      </c>
      <c r="BP16" s="37">
        <v>2090140</v>
      </c>
      <c r="BQ16" s="37">
        <v>2286114</v>
      </c>
      <c r="BR16" s="37">
        <v>1242244</v>
      </c>
      <c r="BS16" s="37">
        <v>553287</v>
      </c>
      <c r="BT16" s="37">
        <v>688957</v>
      </c>
      <c r="BU16" s="37">
        <v>376264</v>
      </c>
      <c r="BV16" s="37">
        <v>204860</v>
      </c>
      <c r="BW16" s="37">
        <v>171404</v>
      </c>
      <c r="BX16" s="92">
        <f t="shared" si="52"/>
        <v>430878</v>
      </c>
      <c r="BY16" s="37">
        <v>217834</v>
      </c>
      <c r="BZ16" s="37">
        <v>213044</v>
      </c>
      <c r="CA16" s="125">
        <v>5849056</v>
      </c>
      <c r="CB16" s="38">
        <v>4195697</v>
      </c>
      <c r="CC16" s="37">
        <v>1141063</v>
      </c>
      <c r="CD16" s="37">
        <v>388919</v>
      </c>
      <c r="CE16" s="37">
        <v>306240</v>
      </c>
      <c r="CF16" s="68">
        <v>5964892</v>
      </c>
      <c r="CG16" s="38">
        <v>4392326</v>
      </c>
      <c r="CH16" s="37">
        <v>1169811</v>
      </c>
      <c r="CI16" s="37">
        <v>402755</v>
      </c>
      <c r="CJ16" s="37">
        <v>322538</v>
      </c>
      <c r="CK16" s="42">
        <v>6065043</v>
      </c>
      <c r="CL16" s="40">
        <v>4463915</v>
      </c>
      <c r="CM16" s="41">
        <v>1193121</v>
      </c>
      <c r="CN16" s="41">
        <v>408007</v>
      </c>
      <c r="CO16" s="41">
        <v>329069</v>
      </c>
      <c r="CP16" s="42">
        <v>6239345</v>
      </c>
      <c r="CQ16" s="356">
        <v>4566223</v>
      </c>
      <c r="CR16" s="356">
        <v>1242244</v>
      </c>
      <c r="CS16" s="41">
        <v>430878</v>
      </c>
      <c r="CT16" s="356">
        <v>376264</v>
      </c>
      <c r="CU16" s="42">
        <v>6329422</v>
      </c>
      <c r="CV16" s="356">
        <v>4633100</v>
      </c>
      <c r="CW16" s="356">
        <v>1264241</v>
      </c>
      <c r="CX16" s="215">
        <f t="shared" si="53"/>
        <v>432081</v>
      </c>
      <c r="CY16" s="419">
        <v>392326</v>
      </c>
      <c r="CZ16" s="37">
        <v>6409433</v>
      </c>
      <c r="DA16" s="37">
        <v>4452297</v>
      </c>
      <c r="DB16" s="37">
        <v>1286439</v>
      </c>
      <c r="DC16" s="37">
        <v>424435</v>
      </c>
      <c r="DD16" s="371">
        <v>404840</v>
      </c>
      <c r="DE16" s="37">
        <v>6489102</v>
      </c>
      <c r="DF16" s="37">
        <v>4489625</v>
      </c>
      <c r="DG16" s="1">
        <v>1306723</v>
      </c>
      <c r="DH16" s="37">
        <v>438650</v>
      </c>
      <c r="DI16" s="37">
        <v>416728</v>
      </c>
      <c r="DJ16" s="37">
        <v>6661937</v>
      </c>
      <c r="DK16" s="37">
        <v>4566400</v>
      </c>
      <c r="DL16" s="37">
        <v>1359841</v>
      </c>
      <c r="DM16" s="669">
        <v>482599</v>
      </c>
      <c r="DN16" s="37">
        <v>438807</v>
      </c>
      <c r="DO16" s="37">
        <v>6762644</v>
      </c>
      <c r="DP16" s="37">
        <v>4607089</v>
      </c>
      <c r="DQ16" s="37">
        <v>1386316</v>
      </c>
      <c r="DR16" s="338">
        <v>492607</v>
      </c>
      <c r="DS16" s="37">
        <v>450020</v>
      </c>
      <c r="DT16" s="37">
        <v>6877185</v>
      </c>
      <c r="DU16" s="37">
        <v>4675664</v>
      </c>
      <c r="DV16" s="37">
        <v>1407993</v>
      </c>
      <c r="DW16" s="338">
        <v>510824</v>
      </c>
      <c r="DX16" s="37">
        <v>461251</v>
      </c>
      <c r="DY16" s="1">
        <v>181455</v>
      </c>
      <c r="DZ16" s="1">
        <v>0</v>
      </c>
      <c r="EA16" s="1">
        <v>78002</v>
      </c>
      <c r="EB16" s="1">
        <v>96833</v>
      </c>
      <c r="EC16" s="701">
        <v>154534</v>
      </c>
      <c r="ED16" s="68">
        <v>6991185</v>
      </c>
      <c r="EE16" s="37">
        <v>4722706</v>
      </c>
      <c r="EF16" s="28">
        <v>1439450</v>
      </c>
      <c r="EG16" s="304">
        <v>527459</v>
      </c>
      <c r="EH16" s="37">
        <v>476705</v>
      </c>
      <c r="EI16" s="68">
        <v>7102144</v>
      </c>
      <c r="EJ16" s="37"/>
      <c r="EK16" s="28"/>
      <c r="EM16" s="37"/>
      <c r="EN16" s="37">
        <v>7187077</v>
      </c>
      <c r="EO16" s="37">
        <v>4805279</v>
      </c>
      <c r="EP16" s="28">
        <v>1486857</v>
      </c>
      <c r="EQ16" s="304">
        <v>592133</v>
      </c>
      <c r="ER16" s="37">
        <v>513662</v>
      </c>
      <c r="ES16" s="37">
        <v>7245632</v>
      </c>
      <c r="ET16" s="37">
        <v>4741858</v>
      </c>
      <c r="EU16" s="28">
        <v>1416471</v>
      </c>
      <c r="EV16" s="304">
        <v>1006411</v>
      </c>
      <c r="EW16" s="37">
        <v>539662</v>
      </c>
      <c r="EX16" s="1">
        <v>219417</v>
      </c>
      <c r="EZ16" s="1">
        <v>76714</v>
      </c>
      <c r="FA16" s="1">
        <v>442230</v>
      </c>
      <c r="FB16" s="701">
        <v>268050</v>
      </c>
    </row>
    <row r="17" spans="1:158" ht="15.6">
      <c r="A17" s="38" t="s">
        <v>18</v>
      </c>
      <c r="B17" s="371">
        <v>1213129</v>
      </c>
      <c r="C17" s="6">
        <v>1242615</v>
      </c>
      <c r="D17" s="37">
        <v>1299842</v>
      </c>
      <c r="E17" s="37">
        <v>574224</v>
      </c>
      <c r="F17" s="37">
        <v>621565</v>
      </c>
      <c r="G17" s="37">
        <v>48110</v>
      </c>
      <c r="H17" s="37">
        <v>55943</v>
      </c>
      <c r="I17" s="68">
        <v>1422569</v>
      </c>
      <c r="J17" s="92">
        <f t="shared" si="44"/>
        <v>1295728</v>
      </c>
      <c r="K17" s="37">
        <v>610079</v>
      </c>
      <c r="L17" s="37">
        <v>685649</v>
      </c>
      <c r="M17" s="92">
        <f t="shared" si="45"/>
        <v>78185</v>
      </c>
      <c r="N17" s="37">
        <v>34511</v>
      </c>
      <c r="O17" s="37">
        <v>43674</v>
      </c>
      <c r="P17" s="92">
        <f t="shared" si="46"/>
        <v>13931</v>
      </c>
      <c r="Q17" s="37">
        <v>7171</v>
      </c>
      <c r="R17" s="37">
        <v>6760</v>
      </c>
      <c r="S17" s="7">
        <v>1769761</v>
      </c>
      <c r="T17" s="38">
        <v>1557792</v>
      </c>
      <c r="U17" s="37">
        <v>734010</v>
      </c>
      <c r="V17" s="37">
        <v>823782</v>
      </c>
      <c r="W17" s="38">
        <f t="shared" si="47"/>
        <v>96304</v>
      </c>
      <c r="X17" s="37">
        <v>43502</v>
      </c>
      <c r="Y17" s="37">
        <v>52802</v>
      </c>
      <c r="Z17" s="38">
        <v>23254</v>
      </c>
      <c r="AA17" s="37">
        <v>11858</v>
      </c>
      <c r="AB17" s="37">
        <v>11396</v>
      </c>
      <c r="AC17" s="92">
        <v>91510</v>
      </c>
      <c r="AD17" s="92">
        <v>41611</v>
      </c>
      <c r="AE17" s="92">
        <v>49899</v>
      </c>
      <c r="AF17" s="68">
        <v>1995424</v>
      </c>
      <c r="AG17" s="39">
        <v>1702518</v>
      </c>
      <c r="AH17" s="55">
        <f t="shared" si="48"/>
        <v>1686085</v>
      </c>
      <c r="AI17" s="37">
        <v>794251</v>
      </c>
      <c r="AJ17" s="37">
        <v>891834</v>
      </c>
      <c r="AK17" s="38">
        <v>123734</v>
      </c>
      <c r="AL17" s="55">
        <f t="shared" si="49"/>
        <v>122947</v>
      </c>
      <c r="AM17" s="37">
        <v>56952</v>
      </c>
      <c r="AN17" s="37">
        <v>65995</v>
      </c>
      <c r="AO17" s="38">
        <v>38012</v>
      </c>
      <c r="AP17" s="37">
        <v>20156</v>
      </c>
      <c r="AQ17" s="37">
        <v>17856</v>
      </c>
      <c r="AR17" s="59">
        <f t="shared" si="50"/>
        <v>148380</v>
      </c>
      <c r="AS17" s="68">
        <v>2203173</v>
      </c>
      <c r="AT17" s="38">
        <v>1771056</v>
      </c>
      <c r="AU17" s="115">
        <v>845619</v>
      </c>
      <c r="AV17" s="115">
        <v>925437</v>
      </c>
      <c r="AW17" s="55">
        <f t="shared" si="51"/>
        <v>1737873</v>
      </c>
      <c r="AX17" s="37">
        <v>827825</v>
      </c>
      <c r="AY17" s="37">
        <v>910048</v>
      </c>
      <c r="AZ17" s="38">
        <v>141575</v>
      </c>
      <c r="BA17" s="37">
        <v>67620</v>
      </c>
      <c r="BB17" s="37">
        <v>73955</v>
      </c>
      <c r="BC17" s="38">
        <v>80063</v>
      </c>
      <c r="BD17" s="37">
        <v>44107</v>
      </c>
      <c r="BE17" s="37">
        <v>35956</v>
      </c>
      <c r="BF17" s="92">
        <v>290542</v>
      </c>
      <c r="BG17" s="92">
        <v>140265</v>
      </c>
      <c r="BH17" s="92">
        <v>150277</v>
      </c>
      <c r="BI17" s="68">
        <v>2411893</v>
      </c>
      <c r="BJ17" s="37">
        <v>1169681</v>
      </c>
      <c r="BK17" s="37">
        <v>1242212</v>
      </c>
      <c r="BL17" s="37">
        <v>1896453</v>
      </c>
      <c r="BM17" s="37">
        <v>920186</v>
      </c>
      <c r="BN17" s="37">
        <v>976267</v>
      </c>
      <c r="BO17" s="37">
        <v>1807824</v>
      </c>
      <c r="BP17" s="37">
        <v>872124</v>
      </c>
      <c r="BQ17" s="37">
        <v>935700</v>
      </c>
      <c r="BR17" s="37">
        <v>158176</v>
      </c>
      <c r="BS17" s="37">
        <v>77116</v>
      </c>
      <c r="BT17" s="37">
        <v>81060</v>
      </c>
      <c r="BU17" s="37">
        <v>148928</v>
      </c>
      <c r="BV17" s="37">
        <v>80869</v>
      </c>
      <c r="BW17" s="37">
        <v>68059</v>
      </c>
      <c r="BX17" s="92">
        <f t="shared" si="52"/>
        <v>357264</v>
      </c>
      <c r="BY17" s="37">
        <v>172379</v>
      </c>
      <c r="BZ17" s="37">
        <v>184885</v>
      </c>
      <c r="CA17" s="125">
        <v>2311130</v>
      </c>
      <c r="CB17" s="38">
        <v>1771821</v>
      </c>
      <c r="CC17" s="37">
        <v>150746</v>
      </c>
      <c r="CD17" s="37">
        <v>328673</v>
      </c>
      <c r="CE17" s="37">
        <v>121785</v>
      </c>
      <c r="CF17" s="68">
        <v>2336187</v>
      </c>
      <c r="CG17" s="38">
        <v>1851156</v>
      </c>
      <c r="CH17" s="37">
        <v>153522</v>
      </c>
      <c r="CI17" s="37">
        <v>331509</v>
      </c>
      <c r="CJ17" s="37">
        <v>129183</v>
      </c>
      <c r="CK17" s="42">
        <v>2353051</v>
      </c>
      <c r="CL17" s="40">
        <v>1864854</v>
      </c>
      <c r="CM17" s="41">
        <v>153751</v>
      </c>
      <c r="CN17" s="41">
        <v>334446</v>
      </c>
      <c r="CO17" s="41">
        <v>137695</v>
      </c>
      <c r="CP17" s="42">
        <v>2411893</v>
      </c>
      <c r="CQ17" s="356">
        <v>1896453</v>
      </c>
      <c r="CR17" s="356">
        <v>158176</v>
      </c>
      <c r="CS17" s="41">
        <v>357264</v>
      </c>
      <c r="CT17" s="356">
        <v>148928</v>
      </c>
      <c r="CU17" s="42">
        <v>2442300</v>
      </c>
      <c r="CV17" s="356">
        <v>1912580</v>
      </c>
      <c r="CW17" s="356">
        <v>160388</v>
      </c>
      <c r="CX17" s="215">
        <f t="shared" si="53"/>
        <v>369332</v>
      </c>
      <c r="CY17" s="419">
        <v>157211</v>
      </c>
      <c r="CZ17" s="37">
        <v>2467328</v>
      </c>
      <c r="DA17" s="37">
        <v>1825877</v>
      </c>
      <c r="DB17" s="37">
        <v>163228</v>
      </c>
      <c r="DC17" s="37">
        <v>379718</v>
      </c>
      <c r="DD17" s="371">
        <v>163420</v>
      </c>
      <c r="DE17" s="37">
        <v>2487647</v>
      </c>
      <c r="DF17" s="37">
        <v>1833930</v>
      </c>
      <c r="DG17" s="1">
        <v>163651</v>
      </c>
      <c r="DH17" s="37">
        <v>385431</v>
      </c>
      <c r="DI17" s="37">
        <v>169473</v>
      </c>
      <c r="DJ17" s="37">
        <v>2529885</v>
      </c>
      <c r="DK17" s="37">
        <v>1846920</v>
      </c>
      <c r="DL17" s="37">
        <v>169984</v>
      </c>
      <c r="DM17" s="669">
        <v>402483</v>
      </c>
      <c r="DN17" s="37">
        <v>179657</v>
      </c>
      <c r="DO17" s="507">
        <v>2557863</v>
      </c>
      <c r="DP17" s="37">
        <v>1852170</v>
      </c>
      <c r="DQ17" s="37">
        <v>175937</v>
      </c>
      <c r="DR17" s="338">
        <v>408956</v>
      </c>
      <c r="DS17" s="37">
        <v>188004</v>
      </c>
      <c r="DT17" s="507">
        <v>2571636</v>
      </c>
      <c r="DU17" s="37">
        <v>1857205</v>
      </c>
      <c r="DV17" s="37">
        <v>173789</v>
      </c>
      <c r="DW17" s="338">
        <v>422039</v>
      </c>
      <c r="DX17" s="37">
        <v>190584</v>
      </c>
      <c r="DY17" s="1">
        <v>50989</v>
      </c>
      <c r="DZ17" s="1">
        <v>3867</v>
      </c>
      <c r="EA17" s="1">
        <v>171138</v>
      </c>
      <c r="EB17" s="1">
        <v>139495</v>
      </c>
      <c r="EC17" s="701">
        <v>56550</v>
      </c>
      <c r="ED17" s="542">
        <v>2586414</v>
      </c>
      <c r="EE17" s="37">
        <v>1851740</v>
      </c>
      <c r="EF17" s="28">
        <v>176022</v>
      </c>
      <c r="EG17" s="304">
        <v>429545</v>
      </c>
      <c r="EH17" s="37">
        <v>197987</v>
      </c>
      <c r="EI17" s="542">
        <v>2607613</v>
      </c>
      <c r="EJ17" s="37"/>
      <c r="EK17" s="28"/>
      <c r="EM17" s="37"/>
      <c r="EN17" s="37">
        <v>2619244</v>
      </c>
      <c r="EO17" s="37">
        <v>1851190</v>
      </c>
      <c r="EP17" s="28">
        <v>180859</v>
      </c>
      <c r="EQ17" s="304">
        <v>436334</v>
      </c>
      <c r="ER17" s="37">
        <v>215930</v>
      </c>
      <c r="ES17" s="37">
        <v>2639889</v>
      </c>
      <c r="ET17" s="37">
        <v>1814069</v>
      </c>
      <c r="EU17" s="28">
        <v>177753</v>
      </c>
      <c r="EV17" s="304">
        <v>597196</v>
      </c>
      <c r="EW17" s="37">
        <v>229543</v>
      </c>
      <c r="EX17" s="1">
        <v>62761</v>
      </c>
      <c r="EY17" s="1">
        <v>2425</v>
      </c>
      <c r="EZ17" s="1">
        <v>172772</v>
      </c>
      <c r="FA17" s="1">
        <v>279616</v>
      </c>
      <c r="FB17" s="701">
        <v>79622</v>
      </c>
    </row>
    <row r="18" spans="1:158" ht="15.6">
      <c r="A18" s="38" t="s">
        <v>19</v>
      </c>
      <c r="B18" s="371">
        <v>841138</v>
      </c>
      <c r="C18" s="6">
        <v>1006575</v>
      </c>
      <c r="D18" s="37">
        <v>1135907</v>
      </c>
      <c r="E18" s="37">
        <v>385191</v>
      </c>
      <c r="F18" s="37">
        <v>416915</v>
      </c>
      <c r="G18" s="37">
        <v>149932</v>
      </c>
      <c r="H18" s="37">
        <v>183869</v>
      </c>
      <c r="I18" s="68">
        <v>1283837</v>
      </c>
      <c r="J18" s="92">
        <f t="shared" si="44"/>
        <v>953168</v>
      </c>
      <c r="K18" s="37">
        <v>453026</v>
      </c>
      <c r="L18" s="37">
        <v>500142</v>
      </c>
      <c r="M18" s="92">
        <f t="shared" si="45"/>
        <v>328066</v>
      </c>
      <c r="N18" s="37">
        <v>146580</v>
      </c>
      <c r="O18" s="37">
        <v>181486</v>
      </c>
      <c r="P18" s="92">
        <f t="shared" si="46"/>
        <v>4069</v>
      </c>
      <c r="Q18" s="37">
        <v>2143</v>
      </c>
      <c r="R18" s="37">
        <v>1926</v>
      </c>
      <c r="S18" s="7">
        <v>1733022</v>
      </c>
      <c r="T18" s="38">
        <v>1261250</v>
      </c>
      <c r="U18" s="37">
        <v>598168</v>
      </c>
      <c r="V18" s="37">
        <v>663082</v>
      </c>
      <c r="W18" s="38">
        <f t="shared" si="47"/>
        <v>446412</v>
      </c>
      <c r="X18" s="37">
        <v>198326</v>
      </c>
      <c r="Y18" s="37">
        <v>248086</v>
      </c>
      <c r="Z18" s="38">
        <v>14824</v>
      </c>
      <c r="AA18" s="37">
        <v>6902</v>
      </c>
      <c r="AB18" s="37">
        <v>7922</v>
      </c>
      <c r="AC18" s="92">
        <v>9758</v>
      </c>
      <c r="AD18" s="92">
        <v>4074</v>
      </c>
      <c r="AE18" s="92">
        <v>5684</v>
      </c>
      <c r="AF18" s="68">
        <v>2167590</v>
      </c>
      <c r="AG18" s="39">
        <v>1581298</v>
      </c>
      <c r="AH18" s="55">
        <f t="shared" si="48"/>
        <v>1572902</v>
      </c>
      <c r="AI18" s="37">
        <v>753149</v>
      </c>
      <c r="AJ18" s="37">
        <v>819753</v>
      </c>
      <c r="AK18" s="38">
        <v>564369</v>
      </c>
      <c r="AL18" s="55">
        <f t="shared" si="49"/>
        <v>562706</v>
      </c>
      <c r="AM18" s="37">
        <v>247142</v>
      </c>
      <c r="AN18" s="37">
        <v>315564</v>
      </c>
      <c r="AO18" s="38">
        <v>14485</v>
      </c>
      <c r="AP18" s="37">
        <v>7486</v>
      </c>
      <c r="AQ18" s="37">
        <v>6999</v>
      </c>
      <c r="AR18" s="59">
        <f t="shared" si="50"/>
        <v>17497</v>
      </c>
      <c r="AS18" s="68">
        <v>2596010</v>
      </c>
      <c r="AT18" s="38">
        <v>1844670</v>
      </c>
      <c r="AU18" s="115">
        <v>886233</v>
      </c>
      <c r="AV18" s="115">
        <v>958437</v>
      </c>
      <c r="AW18" s="55">
        <f t="shared" si="51"/>
        <v>1822934</v>
      </c>
      <c r="AX18" s="37">
        <v>873664</v>
      </c>
      <c r="AY18" s="37">
        <v>949270</v>
      </c>
      <c r="AZ18" s="38">
        <v>681366</v>
      </c>
      <c r="BA18" s="37">
        <v>301655</v>
      </c>
      <c r="BB18" s="37">
        <v>379711</v>
      </c>
      <c r="BC18" s="38">
        <v>45477</v>
      </c>
      <c r="BD18" s="37">
        <v>27142</v>
      </c>
      <c r="BE18" s="37">
        <v>18335</v>
      </c>
      <c r="BF18" s="92">
        <v>69974</v>
      </c>
      <c r="BG18" s="92">
        <v>36151</v>
      </c>
      <c r="BH18" s="92">
        <v>33823</v>
      </c>
      <c r="BI18" s="68">
        <v>3035053</v>
      </c>
      <c r="BJ18" s="37">
        <v>1439441</v>
      </c>
      <c r="BK18" s="37">
        <v>1595612</v>
      </c>
      <c r="BL18" s="37">
        <v>2144145</v>
      </c>
      <c r="BM18" s="37">
        <v>1034245</v>
      </c>
      <c r="BN18" s="37">
        <v>1109900</v>
      </c>
      <c r="BO18" s="37">
        <v>2071439</v>
      </c>
      <c r="BP18" s="37">
        <v>993833</v>
      </c>
      <c r="BQ18" s="37">
        <v>1077606</v>
      </c>
      <c r="BR18" s="37">
        <v>780533</v>
      </c>
      <c r="BS18" s="37">
        <v>348625</v>
      </c>
      <c r="BT18" s="37">
        <v>431908</v>
      </c>
      <c r="BU18" s="37">
        <v>115062</v>
      </c>
      <c r="BV18" s="37">
        <v>65314</v>
      </c>
      <c r="BW18" s="37">
        <v>49748</v>
      </c>
      <c r="BX18" s="92">
        <f t="shared" si="52"/>
        <v>110375</v>
      </c>
      <c r="BY18" s="37">
        <v>56571</v>
      </c>
      <c r="BZ18" s="37">
        <v>53804</v>
      </c>
      <c r="CA18" s="125">
        <v>2851898</v>
      </c>
      <c r="CB18" s="38">
        <v>1970917</v>
      </c>
      <c r="CC18" s="37">
        <v>740620</v>
      </c>
      <c r="CD18" s="37">
        <v>92366</v>
      </c>
      <c r="CE18" s="37">
        <v>81432</v>
      </c>
      <c r="CF18" s="68">
        <v>2908381</v>
      </c>
      <c r="CG18" s="38">
        <v>2060774</v>
      </c>
      <c r="CH18" s="37">
        <v>752231</v>
      </c>
      <c r="CI18" s="37">
        <v>95376</v>
      </c>
      <c r="CJ18" s="37">
        <v>85905</v>
      </c>
      <c r="CK18" s="42">
        <v>2974320</v>
      </c>
      <c r="CL18" s="40">
        <v>2106732</v>
      </c>
      <c r="CM18" s="41">
        <v>766665</v>
      </c>
      <c r="CN18" s="41">
        <v>100923</v>
      </c>
      <c r="CO18" s="41">
        <v>94593</v>
      </c>
      <c r="CP18" s="42">
        <v>3035053</v>
      </c>
      <c r="CQ18" s="356">
        <v>2144145</v>
      </c>
      <c r="CR18" s="356">
        <v>780533</v>
      </c>
      <c r="CS18" s="41">
        <v>110375</v>
      </c>
      <c r="CT18" s="356">
        <v>115062</v>
      </c>
      <c r="CU18" s="42">
        <v>3076869</v>
      </c>
      <c r="CV18" s="356">
        <v>2170318</v>
      </c>
      <c r="CW18" s="356">
        <v>789446</v>
      </c>
      <c r="CX18" s="215">
        <f t="shared" si="53"/>
        <v>117105</v>
      </c>
      <c r="CY18" s="419">
        <v>120670</v>
      </c>
      <c r="CZ18" s="37">
        <v>3115808</v>
      </c>
      <c r="DA18" s="37">
        <v>2118531</v>
      </c>
      <c r="DB18" s="37">
        <v>798366</v>
      </c>
      <c r="DC18" s="37">
        <v>122592</v>
      </c>
      <c r="DD18" s="371">
        <v>125186</v>
      </c>
      <c r="DE18" s="37">
        <v>3156752</v>
      </c>
      <c r="DF18" s="37">
        <v>2144951</v>
      </c>
      <c r="DG18" s="1">
        <v>806269</v>
      </c>
      <c r="DH18" s="37">
        <v>123813</v>
      </c>
      <c r="DI18" s="37">
        <v>128831</v>
      </c>
      <c r="DJ18" s="37">
        <v>3260929</v>
      </c>
      <c r="DK18" s="37">
        <v>2209453</v>
      </c>
      <c r="DL18" s="37">
        <v>832934</v>
      </c>
      <c r="DM18" s="669">
        <v>125722</v>
      </c>
      <c r="DN18" s="37">
        <v>136035</v>
      </c>
      <c r="DO18" s="507">
        <v>3319832</v>
      </c>
      <c r="DP18" s="37">
        <v>2247643</v>
      </c>
      <c r="DQ18" s="37">
        <v>849904</v>
      </c>
      <c r="DR18" s="338">
        <v>131428</v>
      </c>
      <c r="DS18" s="37">
        <v>136778</v>
      </c>
      <c r="DT18" s="507">
        <v>3388476</v>
      </c>
      <c r="DU18" s="37">
        <v>2292473</v>
      </c>
      <c r="DV18" s="37">
        <v>860249</v>
      </c>
      <c r="DW18" s="338">
        <v>139599</v>
      </c>
      <c r="DX18" s="37">
        <v>140423</v>
      </c>
      <c r="DY18" s="1">
        <v>53050</v>
      </c>
      <c r="DZ18" s="1">
        <v>0</v>
      </c>
      <c r="EA18" s="1">
        <v>9917</v>
      </c>
      <c r="EB18" s="1">
        <v>37118</v>
      </c>
      <c r="EC18" s="701">
        <v>39514</v>
      </c>
      <c r="ED18" s="542">
        <v>3443851</v>
      </c>
      <c r="EE18" s="37">
        <v>2326125</v>
      </c>
      <c r="EF18" s="28">
        <v>867504</v>
      </c>
      <c r="EG18" s="304">
        <v>149957</v>
      </c>
      <c r="EH18" s="37">
        <v>151542</v>
      </c>
      <c r="EI18" s="542">
        <v>3492355</v>
      </c>
      <c r="EJ18" s="37"/>
      <c r="EK18" s="28"/>
      <c r="EM18" s="37"/>
      <c r="EN18" s="37">
        <v>3563204</v>
      </c>
      <c r="EO18" s="37">
        <v>2396696</v>
      </c>
      <c r="EP18" s="28">
        <v>899954</v>
      </c>
      <c r="EQ18" s="304">
        <v>175971</v>
      </c>
      <c r="ER18" s="37">
        <v>157206</v>
      </c>
      <c r="ES18" s="37">
        <v>3598398</v>
      </c>
      <c r="ET18" s="37">
        <v>2389390</v>
      </c>
      <c r="EU18" s="28">
        <v>855901</v>
      </c>
      <c r="EV18" s="304">
        <v>326317</v>
      </c>
      <c r="EW18" s="37">
        <v>174123</v>
      </c>
      <c r="EX18" s="1">
        <v>60006</v>
      </c>
      <c r="EZ18" s="1">
        <v>12179</v>
      </c>
      <c r="FA18" s="1">
        <v>173719</v>
      </c>
      <c r="FB18" s="701">
        <v>80413</v>
      </c>
    </row>
    <row r="19" spans="1:158" ht="15.6">
      <c r="A19" s="38" t="s">
        <v>20</v>
      </c>
      <c r="B19" s="371">
        <v>1497856</v>
      </c>
      <c r="C19" s="6">
        <v>1756800</v>
      </c>
      <c r="D19" s="37">
        <v>1911755</v>
      </c>
      <c r="E19" s="37">
        <v>774454</v>
      </c>
      <c r="F19" s="37">
        <v>850982</v>
      </c>
      <c r="G19" s="37">
        <v>131528</v>
      </c>
      <c r="H19" s="37">
        <v>154791</v>
      </c>
      <c r="I19" s="68">
        <v>2127946</v>
      </c>
      <c r="J19" s="92">
        <f t="shared" si="44"/>
        <v>1838467</v>
      </c>
      <c r="K19" s="37">
        <v>864385</v>
      </c>
      <c r="L19" s="37">
        <v>974082</v>
      </c>
      <c r="M19" s="92">
        <f t="shared" si="45"/>
        <v>286235</v>
      </c>
      <c r="N19" s="37">
        <v>126732</v>
      </c>
      <c r="O19" s="37">
        <v>159503</v>
      </c>
      <c r="P19" s="92">
        <f t="shared" si="46"/>
        <v>5630</v>
      </c>
      <c r="Q19" s="37">
        <v>2743</v>
      </c>
      <c r="R19" s="37">
        <v>2887</v>
      </c>
      <c r="S19" s="7">
        <v>2692256</v>
      </c>
      <c r="T19" s="38">
        <v>2306001</v>
      </c>
      <c r="U19" s="37">
        <v>1082419</v>
      </c>
      <c r="V19" s="37">
        <v>1223582</v>
      </c>
      <c r="W19" s="38">
        <f t="shared" si="47"/>
        <v>355728</v>
      </c>
      <c r="X19" s="37">
        <v>155823</v>
      </c>
      <c r="Y19" s="37">
        <v>199905</v>
      </c>
      <c r="Z19" s="38">
        <v>16817</v>
      </c>
      <c r="AA19" s="37">
        <v>7497</v>
      </c>
      <c r="AB19" s="37">
        <v>9320</v>
      </c>
      <c r="AC19" s="92">
        <v>12433</v>
      </c>
      <c r="AD19" s="92">
        <v>5404</v>
      </c>
      <c r="AE19" s="92">
        <v>7029</v>
      </c>
      <c r="AF19" s="68">
        <v>3139066</v>
      </c>
      <c r="AG19" s="39">
        <v>2678299</v>
      </c>
      <c r="AH19" s="55">
        <f t="shared" si="48"/>
        <v>2668070</v>
      </c>
      <c r="AI19" s="37">
        <v>1255632</v>
      </c>
      <c r="AJ19" s="37">
        <v>1412438</v>
      </c>
      <c r="AK19" s="38">
        <v>431249</v>
      </c>
      <c r="AL19" s="55">
        <f t="shared" si="49"/>
        <v>429880</v>
      </c>
      <c r="AM19" s="37">
        <v>186447</v>
      </c>
      <c r="AN19" s="37">
        <v>243433</v>
      </c>
      <c r="AO19" s="38">
        <v>15921</v>
      </c>
      <c r="AP19" s="37">
        <v>8098</v>
      </c>
      <c r="AQ19" s="37">
        <v>7823</v>
      </c>
      <c r="AR19" s="59">
        <f t="shared" si="50"/>
        <v>25195</v>
      </c>
      <c r="AS19" s="68">
        <v>3744928</v>
      </c>
      <c r="AT19" s="38">
        <v>3111747</v>
      </c>
      <c r="AU19" s="115">
        <v>1485091</v>
      </c>
      <c r="AV19" s="115">
        <v>1626656</v>
      </c>
      <c r="AW19" s="55">
        <f t="shared" si="51"/>
        <v>3083367</v>
      </c>
      <c r="AX19" s="37">
        <v>1469008</v>
      </c>
      <c r="AY19" s="37">
        <v>1614359</v>
      </c>
      <c r="AZ19" s="38">
        <v>527712</v>
      </c>
      <c r="BA19" s="37">
        <v>233834</v>
      </c>
      <c r="BB19" s="37">
        <v>293878</v>
      </c>
      <c r="BC19" s="38">
        <v>59646</v>
      </c>
      <c r="BD19" s="37">
        <v>35740</v>
      </c>
      <c r="BE19" s="37">
        <v>23906</v>
      </c>
      <c r="BF19" s="92">
        <v>105469</v>
      </c>
      <c r="BG19" s="92">
        <v>55641</v>
      </c>
      <c r="BH19" s="92">
        <v>49828</v>
      </c>
      <c r="BI19" s="68">
        <v>4208374</v>
      </c>
      <c r="BJ19" s="37">
        <v>2006695</v>
      </c>
      <c r="BK19" s="37">
        <v>2201679</v>
      </c>
      <c r="BL19" s="37">
        <v>3435527</v>
      </c>
      <c r="BM19" s="37">
        <v>1652479</v>
      </c>
      <c r="BN19" s="37">
        <v>1783048</v>
      </c>
      <c r="BO19" s="37">
        <v>3347599</v>
      </c>
      <c r="BP19" s="37">
        <v>1602893</v>
      </c>
      <c r="BQ19" s="37">
        <v>1744706</v>
      </c>
      <c r="BR19" s="37">
        <v>620772</v>
      </c>
      <c r="BS19" s="37">
        <v>278290</v>
      </c>
      <c r="BT19" s="37">
        <v>342482</v>
      </c>
      <c r="BU19" s="37">
        <v>136336</v>
      </c>
      <c r="BV19" s="37">
        <v>77170</v>
      </c>
      <c r="BW19" s="37">
        <v>59166</v>
      </c>
      <c r="BX19" s="92">
        <f t="shared" si="52"/>
        <v>152075</v>
      </c>
      <c r="BY19" s="37">
        <v>75926</v>
      </c>
      <c r="BZ19" s="37">
        <v>76149</v>
      </c>
      <c r="CA19" s="125">
        <v>4061516</v>
      </c>
      <c r="CB19" s="38">
        <v>3276889</v>
      </c>
      <c r="CC19" s="37">
        <v>592927</v>
      </c>
      <c r="CD19" s="37">
        <v>133985</v>
      </c>
      <c r="CE19" s="37">
        <v>101091</v>
      </c>
      <c r="CF19" s="68">
        <v>4126506</v>
      </c>
      <c r="CG19" s="38">
        <v>3386266</v>
      </c>
      <c r="CH19" s="37">
        <v>601510</v>
      </c>
      <c r="CI19" s="37">
        <v>138730</v>
      </c>
      <c r="CJ19" s="37">
        <v>107823</v>
      </c>
      <c r="CK19" s="42">
        <v>4170177</v>
      </c>
      <c r="CL19" s="40">
        <v>3416169</v>
      </c>
      <c r="CM19" s="41">
        <v>609010</v>
      </c>
      <c r="CN19" s="41">
        <v>144998</v>
      </c>
      <c r="CO19" s="41">
        <v>118165</v>
      </c>
      <c r="CP19" s="42">
        <v>4208374</v>
      </c>
      <c r="CQ19" s="356">
        <v>3435527</v>
      </c>
      <c r="CR19" s="356">
        <v>620772</v>
      </c>
      <c r="CS19" s="41">
        <v>152075</v>
      </c>
      <c r="CT19" s="356">
        <v>136336</v>
      </c>
      <c r="CU19" s="42">
        <v>4253035</v>
      </c>
      <c r="CV19" s="356">
        <v>3460140</v>
      </c>
      <c r="CW19" s="356">
        <v>630862</v>
      </c>
      <c r="CX19" s="215">
        <f t="shared" si="53"/>
        <v>162033</v>
      </c>
      <c r="CY19" s="419">
        <v>144377</v>
      </c>
      <c r="CZ19" s="37">
        <v>4294543</v>
      </c>
      <c r="DA19" s="37">
        <v>3390875</v>
      </c>
      <c r="DB19" s="37">
        <v>641188</v>
      </c>
      <c r="DC19" s="37">
        <v>169543</v>
      </c>
      <c r="DD19" s="371">
        <v>149636</v>
      </c>
      <c r="DE19" s="37">
        <v>4333913</v>
      </c>
      <c r="DF19" s="37">
        <v>3410326</v>
      </c>
      <c r="DG19" s="1">
        <v>651047</v>
      </c>
      <c r="DH19" s="37">
        <v>176752</v>
      </c>
      <c r="DI19" s="37">
        <v>153525</v>
      </c>
      <c r="DJ19" s="37">
        <v>4425073</v>
      </c>
      <c r="DK19" s="37">
        <v>3457615</v>
      </c>
      <c r="DL19" s="37">
        <v>677696</v>
      </c>
      <c r="DM19" s="669">
        <v>184499</v>
      </c>
      <c r="DN19" s="37">
        <v>159159</v>
      </c>
      <c r="DO19" s="507">
        <v>4473487</v>
      </c>
      <c r="DP19" s="37">
        <v>3483621</v>
      </c>
      <c r="DQ19" s="37">
        <v>688804</v>
      </c>
      <c r="DR19" s="338">
        <v>185778</v>
      </c>
      <c r="DS19" s="37">
        <v>165216</v>
      </c>
      <c r="DT19" s="507">
        <v>4527198</v>
      </c>
      <c r="DU19" s="37">
        <v>3522010</v>
      </c>
      <c r="DV19" s="37">
        <v>696665</v>
      </c>
      <c r="DW19" s="338">
        <v>181313</v>
      </c>
      <c r="DX19" s="37">
        <v>168404</v>
      </c>
      <c r="DY19" s="1">
        <v>76429</v>
      </c>
      <c r="DZ19" s="1">
        <v>0</v>
      </c>
      <c r="EA19" s="1">
        <v>13412</v>
      </c>
      <c r="EB19" s="1">
        <v>54509</v>
      </c>
      <c r="EC19" s="701">
        <v>36963</v>
      </c>
      <c r="ED19" s="542">
        <v>4588453</v>
      </c>
      <c r="EE19" s="37">
        <v>3558105</v>
      </c>
      <c r="EF19" s="28">
        <v>710141</v>
      </c>
      <c r="EG19" s="304">
        <v>190973</v>
      </c>
      <c r="EH19" s="37">
        <v>176098</v>
      </c>
      <c r="EI19" s="542">
        <v>4640823</v>
      </c>
      <c r="EJ19" s="37"/>
      <c r="EK19" s="28"/>
      <c r="EM19" s="37"/>
      <c r="EN19" s="37">
        <v>4693962</v>
      </c>
      <c r="EO19" s="37">
        <v>3613025</v>
      </c>
      <c r="EP19" s="28">
        <v>737044</v>
      </c>
      <c r="EQ19" s="304">
        <v>210810</v>
      </c>
      <c r="ER19" s="37">
        <v>188951</v>
      </c>
      <c r="ES19" s="37">
        <v>4814533</v>
      </c>
      <c r="ET19" s="37">
        <v>3643508</v>
      </c>
      <c r="EU19" s="28">
        <v>706360</v>
      </c>
      <c r="EV19" s="304">
        <v>427123</v>
      </c>
      <c r="EW19" s="37">
        <v>211291</v>
      </c>
      <c r="EX19" s="1">
        <v>82389</v>
      </c>
      <c r="EZ19" s="1">
        <v>11743</v>
      </c>
      <c r="FA19" s="1">
        <v>240796</v>
      </c>
      <c r="FB19" s="701">
        <v>92195</v>
      </c>
    </row>
    <row r="20" spans="1:158" ht="15.6">
      <c r="A20" s="38" t="s">
        <v>21</v>
      </c>
      <c r="B20" s="371">
        <v>3413739</v>
      </c>
      <c r="C20" s="6">
        <v>4212755</v>
      </c>
      <c r="D20" s="37">
        <v>5030559</v>
      </c>
      <c r="E20" s="37">
        <v>2157421</v>
      </c>
      <c r="F20" s="37">
        <v>2285184</v>
      </c>
      <c r="G20" s="37">
        <v>277128</v>
      </c>
      <c r="H20" s="37">
        <v>310826</v>
      </c>
      <c r="I20" s="68">
        <v>5817155</v>
      </c>
      <c r="J20" s="92">
        <f t="shared" si="44"/>
        <v>5149567</v>
      </c>
      <c r="K20" s="37">
        <v>2451357</v>
      </c>
      <c r="L20" s="37">
        <v>2698210</v>
      </c>
      <c r="M20" s="92">
        <f t="shared" si="45"/>
        <v>642566</v>
      </c>
      <c r="N20" s="37">
        <v>296433</v>
      </c>
      <c r="O20" s="37">
        <v>346133</v>
      </c>
      <c r="P20" s="92">
        <f t="shared" si="46"/>
        <v>825217</v>
      </c>
      <c r="Q20" s="37">
        <v>394480</v>
      </c>
      <c r="R20" s="37">
        <v>430737</v>
      </c>
      <c r="S20" s="7">
        <v>7944161</v>
      </c>
      <c r="T20" s="38">
        <v>5695864</v>
      </c>
      <c r="U20" s="37">
        <v>2729499</v>
      </c>
      <c r="V20" s="37">
        <v>2966365</v>
      </c>
      <c r="W20" s="38">
        <f t="shared" si="47"/>
        <v>832470</v>
      </c>
      <c r="X20" s="37">
        <v>380311</v>
      </c>
      <c r="Y20" s="37">
        <v>452159</v>
      </c>
      <c r="Z20" s="38">
        <v>1312586</v>
      </c>
      <c r="AA20" s="37">
        <v>630966</v>
      </c>
      <c r="AB20" s="37">
        <v>681620</v>
      </c>
      <c r="AC20" s="92">
        <v>95434</v>
      </c>
      <c r="AD20" s="92">
        <v>44564</v>
      </c>
      <c r="AE20" s="92">
        <v>50870</v>
      </c>
      <c r="AF20" s="68">
        <v>10310605</v>
      </c>
      <c r="AG20" s="39">
        <v>8108606</v>
      </c>
      <c r="AH20" s="55">
        <f t="shared" si="48"/>
        <v>6852820</v>
      </c>
      <c r="AI20" s="37">
        <v>3287607</v>
      </c>
      <c r="AJ20" s="37">
        <v>3565213</v>
      </c>
      <c r="AK20" s="38">
        <v>1117250</v>
      </c>
      <c r="AL20" s="55">
        <f t="shared" si="49"/>
        <v>1104676</v>
      </c>
      <c r="AM20" s="37">
        <v>508233</v>
      </c>
      <c r="AN20" s="37">
        <v>596443</v>
      </c>
      <c r="AO20" s="38">
        <v>2127731</v>
      </c>
      <c r="AP20" s="37">
        <v>1043177</v>
      </c>
      <c r="AQ20" s="37">
        <v>1084554</v>
      </c>
      <c r="AR20" s="59">
        <f t="shared" si="50"/>
        <v>225378</v>
      </c>
      <c r="AS20" s="68">
        <v>12790893</v>
      </c>
      <c r="AT20" s="38">
        <v>9523380</v>
      </c>
      <c r="AU20" s="115">
        <v>4605815</v>
      </c>
      <c r="AV20" s="115">
        <v>4917565</v>
      </c>
      <c r="AW20" s="55">
        <f t="shared" si="51"/>
        <v>7468667</v>
      </c>
      <c r="AX20" s="37">
        <v>3602606</v>
      </c>
      <c r="AY20" s="37">
        <v>3866061</v>
      </c>
      <c r="AZ20" s="38">
        <v>1381219</v>
      </c>
      <c r="BA20" s="37">
        <v>641229</v>
      </c>
      <c r="BB20" s="37">
        <v>739990</v>
      </c>
      <c r="BC20" s="38">
        <v>3412036</v>
      </c>
      <c r="BD20" s="37">
        <v>1696823</v>
      </c>
      <c r="BE20" s="37">
        <v>1715213</v>
      </c>
      <c r="BF20" s="92">
        <v>1886294</v>
      </c>
      <c r="BG20" s="92">
        <v>947994</v>
      </c>
      <c r="BH20" s="92">
        <v>938300</v>
      </c>
      <c r="BI20" s="68">
        <v>15448794</v>
      </c>
      <c r="BJ20" s="37">
        <v>7512165</v>
      </c>
      <c r="BK20" s="37">
        <v>7936629</v>
      </c>
      <c r="BL20" s="37">
        <v>11682057</v>
      </c>
      <c r="BM20" s="37">
        <v>5696953</v>
      </c>
      <c r="BN20" s="37">
        <v>5985104</v>
      </c>
      <c r="BO20" s="37">
        <v>8016776</v>
      </c>
      <c r="BP20" s="37">
        <v>3899007</v>
      </c>
      <c r="BQ20" s="37">
        <v>4117769</v>
      </c>
      <c r="BR20" s="37">
        <v>1746320</v>
      </c>
      <c r="BS20" s="37">
        <v>811655</v>
      </c>
      <c r="BT20" s="37">
        <v>934665</v>
      </c>
      <c r="BU20" s="37">
        <v>4893339</v>
      </c>
      <c r="BV20" s="37">
        <v>2424486</v>
      </c>
      <c r="BW20" s="37">
        <v>2468853</v>
      </c>
      <c r="BX20" s="92">
        <f t="shared" si="52"/>
        <v>2020417</v>
      </c>
      <c r="BY20" s="37">
        <v>1003557</v>
      </c>
      <c r="BZ20" s="37">
        <v>1016860</v>
      </c>
      <c r="CA20" s="125">
        <v>14482842</v>
      </c>
      <c r="CB20" s="38">
        <v>7787074</v>
      </c>
      <c r="CC20" s="37">
        <v>1579064</v>
      </c>
      <c r="CD20" s="37">
        <v>2333832</v>
      </c>
      <c r="CE20" s="37">
        <v>4440184</v>
      </c>
      <c r="CF20" s="68">
        <v>14807376</v>
      </c>
      <c r="CG20" s="38">
        <v>10902435</v>
      </c>
      <c r="CH20" s="37">
        <v>1618505</v>
      </c>
      <c r="CI20" s="37">
        <v>2286436</v>
      </c>
      <c r="CJ20" s="37">
        <v>4604278</v>
      </c>
      <c r="CK20" s="42">
        <v>15054425</v>
      </c>
      <c r="CL20" s="40">
        <v>11245357</v>
      </c>
      <c r="CM20" s="41">
        <v>1664388</v>
      </c>
      <c r="CN20" s="41">
        <v>2144680</v>
      </c>
      <c r="CO20" s="41">
        <v>4706286</v>
      </c>
      <c r="CP20" s="42">
        <v>15448794</v>
      </c>
      <c r="CQ20" s="356">
        <v>11682057</v>
      </c>
      <c r="CR20" s="356">
        <v>1746320</v>
      </c>
      <c r="CS20" s="41">
        <v>2020417</v>
      </c>
      <c r="CT20" s="356">
        <v>4893339</v>
      </c>
      <c r="CU20" s="42">
        <v>15772881</v>
      </c>
      <c r="CV20" s="356">
        <v>11972636</v>
      </c>
      <c r="CW20" s="356">
        <v>1791646</v>
      </c>
      <c r="CX20" s="215">
        <f t="shared" si="53"/>
        <v>2008599</v>
      </c>
      <c r="CY20" s="419">
        <v>5066355</v>
      </c>
      <c r="CZ20" s="37">
        <v>16080717</v>
      </c>
      <c r="DA20" s="37">
        <v>8172481</v>
      </c>
      <c r="DB20" s="37">
        <v>1833850</v>
      </c>
      <c r="DC20" s="37">
        <v>1971177</v>
      </c>
      <c r="DD20" s="371">
        <v>5216403</v>
      </c>
      <c r="DE20" s="37">
        <v>16386630</v>
      </c>
      <c r="DF20" s="37">
        <v>8245355</v>
      </c>
      <c r="DG20" s="1">
        <v>1882690</v>
      </c>
      <c r="DH20" s="37">
        <v>1974588</v>
      </c>
      <c r="DI20" s="37">
        <v>5358510</v>
      </c>
      <c r="DJ20" s="37">
        <v>17087888</v>
      </c>
      <c r="DK20" s="37">
        <v>8398962</v>
      </c>
      <c r="DL20" s="37">
        <v>1990097</v>
      </c>
      <c r="DM20" s="669">
        <v>2011162</v>
      </c>
      <c r="DN20" s="37">
        <v>5689860</v>
      </c>
      <c r="DO20" s="507">
        <v>17472861</v>
      </c>
      <c r="DP20" s="37">
        <v>8475882</v>
      </c>
      <c r="DQ20" s="37">
        <v>2051007</v>
      </c>
      <c r="DR20" s="338">
        <v>2103633</v>
      </c>
      <c r="DS20" s="37">
        <v>5880798</v>
      </c>
      <c r="DT20" s="507">
        <v>17775280</v>
      </c>
      <c r="DU20" s="37">
        <v>8537887</v>
      </c>
      <c r="DV20" s="37">
        <v>2097614</v>
      </c>
      <c r="DW20" s="338">
        <v>2240946</v>
      </c>
      <c r="DX20" s="37">
        <v>6024554</v>
      </c>
      <c r="DY20" s="1">
        <v>883132</v>
      </c>
      <c r="DZ20" s="1">
        <v>15520</v>
      </c>
      <c r="EA20" s="1">
        <v>86895</v>
      </c>
      <c r="EB20" s="1">
        <v>305263</v>
      </c>
      <c r="EC20" s="701">
        <v>950136</v>
      </c>
      <c r="ED20" s="542">
        <v>18149346</v>
      </c>
      <c r="EE20" s="37">
        <v>8580069</v>
      </c>
      <c r="EF20" s="28">
        <v>2156713</v>
      </c>
      <c r="EG20" s="304">
        <v>2349832</v>
      </c>
      <c r="EH20" s="37">
        <v>6230377</v>
      </c>
      <c r="EI20" s="542">
        <v>18477097</v>
      </c>
      <c r="EJ20" s="37"/>
      <c r="EK20" s="28"/>
      <c r="EM20" s="37"/>
      <c r="EN20" s="37">
        <v>18772550</v>
      </c>
      <c r="EO20" s="37">
        <v>8669915</v>
      </c>
      <c r="EP20" s="28">
        <v>2289499</v>
      </c>
      <c r="EQ20" s="304">
        <v>2511067</v>
      </c>
      <c r="ER20" s="37">
        <v>6538918</v>
      </c>
      <c r="ES20" s="37">
        <v>19224688</v>
      </c>
      <c r="ET20" s="37">
        <v>8488078</v>
      </c>
      <c r="EU20" s="28">
        <v>2280783</v>
      </c>
      <c r="EV20" s="304">
        <v>7112200</v>
      </c>
      <c r="EW20" s="37">
        <v>6819668</v>
      </c>
      <c r="EX20" s="1">
        <v>1076918</v>
      </c>
      <c r="EY20" s="1">
        <v>17191</v>
      </c>
      <c r="EZ20" s="1">
        <v>146113</v>
      </c>
      <c r="FA20" s="1">
        <v>4042516</v>
      </c>
      <c r="FB20" s="701">
        <v>1829462</v>
      </c>
    </row>
    <row r="21" spans="1:158" ht="15.6">
      <c r="A21" s="38" t="s">
        <v>22</v>
      </c>
      <c r="B21" s="371">
        <v>1375568</v>
      </c>
      <c r="C21" s="6">
        <v>1800165</v>
      </c>
      <c r="D21" s="37">
        <v>2083159</v>
      </c>
      <c r="E21" s="37">
        <v>816819</v>
      </c>
      <c r="F21" s="37">
        <v>870337</v>
      </c>
      <c r="G21" s="37">
        <v>192961</v>
      </c>
      <c r="H21" s="37">
        <v>203042</v>
      </c>
      <c r="I21" s="68">
        <v>2446082</v>
      </c>
      <c r="J21" s="92">
        <f t="shared" si="44"/>
        <v>2029501</v>
      </c>
      <c r="K21" s="37">
        <v>972256</v>
      </c>
      <c r="L21" s="37">
        <v>1057245</v>
      </c>
      <c r="M21" s="92">
        <f t="shared" si="45"/>
        <v>404829</v>
      </c>
      <c r="N21" s="37">
        <v>190874</v>
      </c>
      <c r="O21" s="37">
        <v>213955</v>
      </c>
      <c r="P21" s="92">
        <f t="shared" si="46"/>
        <v>20734</v>
      </c>
      <c r="Q21" s="37">
        <v>10290</v>
      </c>
      <c r="R21" s="37">
        <v>10444</v>
      </c>
      <c r="S21" s="7">
        <v>3132882</v>
      </c>
      <c r="T21" s="38">
        <v>2527888</v>
      </c>
      <c r="U21" s="37">
        <v>1204809</v>
      </c>
      <c r="V21" s="37">
        <v>1323079</v>
      </c>
      <c r="W21" s="38">
        <f t="shared" si="47"/>
        <v>519382</v>
      </c>
      <c r="X21" s="37">
        <v>239660</v>
      </c>
      <c r="Y21" s="37">
        <v>279722</v>
      </c>
      <c r="Z21" s="38">
        <v>39868</v>
      </c>
      <c r="AA21" s="37">
        <v>18507</v>
      </c>
      <c r="AB21" s="37">
        <v>21361</v>
      </c>
      <c r="AC21" s="92">
        <v>42318</v>
      </c>
      <c r="AD21" s="92">
        <v>18535</v>
      </c>
      <c r="AE21" s="92">
        <v>23783</v>
      </c>
      <c r="AF21" s="68">
        <v>3974814</v>
      </c>
      <c r="AG21" s="39">
        <v>3163904</v>
      </c>
      <c r="AH21" s="55">
        <f t="shared" si="48"/>
        <v>3113046</v>
      </c>
      <c r="AI21" s="37">
        <v>1496446</v>
      </c>
      <c r="AJ21" s="37">
        <v>1616600</v>
      </c>
      <c r="AK21" s="38">
        <v>676995</v>
      </c>
      <c r="AL21" s="55">
        <f t="shared" si="49"/>
        <v>673569</v>
      </c>
      <c r="AM21" s="37">
        <v>307890</v>
      </c>
      <c r="AN21" s="37">
        <v>365679</v>
      </c>
      <c r="AO21" s="38">
        <v>84416</v>
      </c>
      <c r="AP21" s="37">
        <v>43434</v>
      </c>
      <c r="AQ21" s="37">
        <v>40982</v>
      </c>
      <c r="AR21" s="59">
        <f t="shared" si="50"/>
        <v>103783</v>
      </c>
      <c r="AS21" s="68">
        <v>4666574</v>
      </c>
      <c r="AT21" s="38">
        <v>3504612</v>
      </c>
      <c r="AU21" s="115">
        <v>1688814</v>
      </c>
      <c r="AV21" s="115">
        <v>1815798</v>
      </c>
      <c r="AW21" s="55">
        <f t="shared" si="51"/>
        <v>3418030</v>
      </c>
      <c r="AX21" s="37">
        <v>1645543</v>
      </c>
      <c r="AY21" s="37">
        <v>1772487</v>
      </c>
      <c r="AZ21" s="38">
        <v>833512</v>
      </c>
      <c r="BA21" s="37">
        <v>382449</v>
      </c>
      <c r="BB21" s="37">
        <v>451063</v>
      </c>
      <c r="BC21" s="38">
        <v>175188</v>
      </c>
      <c r="BD21" s="37">
        <v>90852</v>
      </c>
      <c r="BE21" s="37">
        <v>84336</v>
      </c>
      <c r="BF21" s="92">
        <v>328450</v>
      </c>
      <c r="BG21" s="92">
        <v>159179</v>
      </c>
      <c r="BH21" s="92">
        <v>169271</v>
      </c>
      <c r="BI21" s="68">
        <v>5281767</v>
      </c>
      <c r="BJ21" s="37">
        <v>2536417</v>
      </c>
      <c r="BK21" s="37">
        <v>2745350</v>
      </c>
      <c r="BL21" s="37">
        <v>3828654</v>
      </c>
      <c r="BM21" s="37">
        <v>1858977</v>
      </c>
      <c r="BN21" s="37">
        <v>1969677</v>
      </c>
      <c r="BO21" s="37">
        <v>3626387</v>
      </c>
      <c r="BP21" s="37">
        <v>1755278</v>
      </c>
      <c r="BQ21" s="37">
        <v>1871109</v>
      </c>
      <c r="BR21" s="37">
        <v>967505</v>
      </c>
      <c r="BS21" s="37">
        <v>447678</v>
      </c>
      <c r="BT21" s="37">
        <v>519827</v>
      </c>
      <c r="BU21" s="37">
        <v>331031</v>
      </c>
      <c r="BV21" s="37">
        <v>170315</v>
      </c>
      <c r="BW21" s="37">
        <v>160716</v>
      </c>
      <c r="BX21" s="92">
        <f t="shared" si="52"/>
        <v>485608</v>
      </c>
      <c r="BY21" s="37">
        <v>229762</v>
      </c>
      <c r="BZ21" s="37">
        <v>255846</v>
      </c>
      <c r="CA21" s="125">
        <v>5053592</v>
      </c>
      <c r="CB21" s="38">
        <v>3566863</v>
      </c>
      <c r="CC21" s="37">
        <v>914079</v>
      </c>
      <c r="CD21" s="37">
        <v>427728</v>
      </c>
      <c r="CE21" s="37">
        <v>266790</v>
      </c>
      <c r="CF21" s="68">
        <v>5108315</v>
      </c>
      <c r="CG21" s="38">
        <v>3737975</v>
      </c>
      <c r="CH21" s="37">
        <v>930862</v>
      </c>
      <c r="CI21" s="37">
        <v>439478</v>
      </c>
      <c r="CJ21" s="37">
        <v>278566</v>
      </c>
      <c r="CK21" s="42">
        <v>5148433</v>
      </c>
      <c r="CL21" s="40">
        <v>3759105</v>
      </c>
      <c r="CM21" s="41">
        <v>944589</v>
      </c>
      <c r="CN21" s="41">
        <v>444739</v>
      </c>
      <c r="CO21" s="41">
        <v>291117</v>
      </c>
      <c r="CP21" s="42">
        <v>5281767</v>
      </c>
      <c r="CQ21" s="356">
        <v>3828654</v>
      </c>
      <c r="CR21" s="356">
        <v>967505</v>
      </c>
      <c r="CS21" s="41">
        <v>485608</v>
      </c>
      <c r="CT21" s="356">
        <v>331031</v>
      </c>
      <c r="CU21" s="42">
        <v>5354277</v>
      </c>
      <c r="CV21" s="356">
        <v>3873612</v>
      </c>
      <c r="CW21" s="356">
        <v>977398</v>
      </c>
      <c r="CX21" s="215">
        <f t="shared" si="53"/>
        <v>503267</v>
      </c>
      <c r="CY21" s="419">
        <v>347009</v>
      </c>
      <c r="CZ21" s="37">
        <v>5433053</v>
      </c>
      <c r="DA21" s="37">
        <v>3687223</v>
      </c>
      <c r="DB21" s="37">
        <v>992135</v>
      </c>
      <c r="DC21" s="37">
        <v>525391</v>
      </c>
      <c r="DD21" s="371">
        <v>363982</v>
      </c>
      <c r="DE21" s="37">
        <v>5499463</v>
      </c>
      <c r="DF21" s="37">
        <v>3709209</v>
      </c>
      <c r="DG21" s="1">
        <v>1003887</v>
      </c>
      <c r="DH21" s="37">
        <v>538879</v>
      </c>
      <c r="DI21" s="37">
        <v>380602</v>
      </c>
      <c r="DJ21" s="37">
        <v>5623295</v>
      </c>
      <c r="DK21" s="37">
        <v>3737969</v>
      </c>
      <c r="DL21" s="37">
        <v>1028755</v>
      </c>
      <c r="DM21" s="669">
        <v>569981</v>
      </c>
      <c r="DN21" s="37">
        <v>408120</v>
      </c>
      <c r="DO21" s="507">
        <v>5685318</v>
      </c>
      <c r="DP21" s="37">
        <v>3753743</v>
      </c>
      <c r="DQ21" s="37">
        <v>1046000</v>
      </c>
      <c r="DR21" s="338">
        <v>610740</v>
      </c>
      <c r="DS21" s="37">
        <v>418669</v>
      </c>
      <c r="DT21" s="507">
        <v>5721173</v>
      </c>
      <c r="DU21" s="37">
        <v>3757704</v>
      </c>
      <c r="DV21" s="37">
        <v>1050527</v>
      </c>
      <c r="DW21" s="338">
        <v>642927</v>
      </c>
      <c r="DX21" s="37">
        <v>426580</v>
      </c>
      <c r="DY21" s="1">
        <v>367796</v>
      </c>
      <c r="DZ21" s="1">
        <v>5534</v>
      </c>
      <c r="EA21" s="1">
        <v>16576</v>
      </c>
      <c r="EB21" s="1">
        <v>119162</v>
      </c>
      <c r="EC21" s="701">
        <v>133859</v>
      </c>
      <c r="ED21" s="542">
        <v>5779221</v>
      </c>
      <c r="EE21" s="37">
        <v>3769493</v>
      </c>
      <c r="EF21" s="28">
        <v>1074928</v>
      </c>
      <c r="EG21" s="304">
        <v>656676</v>
      </c>
      <c r="EH21" s="37">
        <v>439050</v>
      </c>
      <c r="EI21" s="542">
        <v>5822007</v>
      </c>
      <c r="EJ21" s="37"/>
      <c r="EK21" s="28"/>
      <c r="EM21" s="37"/>
      <c r="EN21" s="37">
        <v>5872757</v>
      </c>
      <c r="EO21" s="37">
        <v>3782506</v>
      </c>
      <c r="EP21" s="28">
        <v>1110132</v>
      </c>
      <c r="EQ21" s="304">
        <v>689898</v>
      </c>
      <c r="ER21" s="37">
        <v>465976</v>
      </c>
      <c r="ES21" s="37">
        <v>5942672</v>
      </c>
      <c r="ET21" s="37">
        <v>3731162</v>
      </c>
      <c r="EU21" s="28">
        <v>1069176</v>
      </c>
      <c r="EV21" s="304">
        <v>1067310</v>
      </c>
      <c r="EW21" s="37">
        <v>497830</v>
      </c>
      <c r="EX21" s="1">
        <v>416293</v>
      </c>
      <c r="EZ21" s="1">
        <v>22789</v>
      </c>
      <c r="FA21" s="1">
        <v>429333</v>
      </c>
      <c r="FB21" s="701">
        <v>198895</v>
      </c>
    </row>
    <row r="22" spans="1:158" ht="15.6">
      <c r="A22" s="140" t="s">
        <v>23</v>
      </c>
      <c r="B22" s="372">
        <v>928303</v>
      </c>
      <c r="C22" s="271">
        <v>1039555</v>
      </c>
      <c r="D22" s="265">
        <v>999731</v>
      </c>
      <c r="E22" s="265">
        <v>460363</v>
      </c>
      <c r="F22" s="265">
        <v>493349</v>
      </c>
      <c r="G22" s="265">
        <v>21850</v>
      </c>
      <c r="H22" s="265">
        <v>24169</v>
      </c>
      <c r="I22" s="266">
        <v>969436</v>
      </c>
      <c r="J22" s="267">
        <f t="shared" si="44"/>
        <v>933119</v>
      </c>
      <c r="K22" s="265">
        <v>439530</v>
      </c>
      <c r="L22" s="265">
        <v>493589</v>
      </c>
      <c r="M22" s="267">
        <f t="shared" si="45"/>
        <v>35011</v>
      </c>
      <c r="N22" s="265">
        <v>15439</v>
      </c>
      <c r="O22" s="265">
        <v>19572</v>
      </c>
      <c r="P22" s="267">
        <f t="shared" si="46"/>
        <v>2966</v>
      </c>
      <c r="Q22" s="265">
        <v>1442</v>
      </c>
      <c r="R22" s="265">
        <v>1524</v>
      </c>
      <c r="S22" s="272">
        <v>1147042</v>
      </c>
      <c r="T22" s="140">
        <v>1099965</v>
      </c>
      <c r="U22" s="265">
        <v>517151</v>
      </c>
      <c r="V22" s="265">
        <v>582814</v>
      </c>
      <c r="W22" s="140">
        <f t="shared" si="47"/>
        <v>35095</v>
      </c>
      <c r="X22" s="265">
        <v>15043</v>
      </c>
      <c r="Y22" s="265">
        <v>20052</v>
      </c>
      <c r="Z22" s="140">
        <v>7065</v>
      </c>
      <c r="AA22" s="265">
        <v>3472</v>
      </c>
      <c r="AB22" s="265">
        <v>3593</v>
      </c>
      <c r="AC22" s="267">
        <v>4524</v>
      </c>
      <c r="AD22" s="267">
        <v>2079</v>
      </c>
      <c r="AE22" s="267">
        <v>2445</v>
      </c>
      <c r="AF22" s="266">
        <v>1171766</v>
      </c>
      <c r="AG22" s="242">
        <v>1132010</v>
      </c>
      <c r="AH22" s="165">
        <f t="shared" si="48"/>
        <v>1128471</v>
      </c>
      <c r="AI22" s="265">
        <v>525225</v>
      </c>
      <c r="AJ22" s="265">
        <v>603246</v>
      </c>
      <c r="AK22" s="140">
        <v>33254</v>
      </c>
      <c r="AL22" s="165">
        <f t="shared" si="49"/>
        <v>33120</v>
      </c>
      <c r="AM22" s="265">
        <v>14409</v>
      </c>
      <c r="AN22" s="265">
        <v>18711</v>
      </c>
      <c r="AO22" s="140">
        <v>4262</v>
      </c>
      <c r="AP22" s="265">
        <v>2028</v>
      </c>
      <c r="AQ22" s="265">
        <v>2234</v>
      </c>
      <c r="AR22" s="268">
        <f t="shared" si="50"/>
        <v>5913</v>
      </c>
      <c r="AS22" s="266">
        <v>1233581</v>
      </c>
      <c r="AT22" s="273">
        <v>1179894</v>
      </c>
      <c r="AU22" s="269">
        <v>559338</v>
      </c>
      <c r="AV22" s="269">
        <v>620556</v>
      </c>
      <c r="AW22" s="165">
        <f t="shared" si="51"/>
        <v>1175016</v>
      </c>
      <c r="AX22" s="265">
        <v>556784</v>
      </c>
      <c r="AY22" s="265">
        <v>618232</v>
      </c>
      <c r="AZ22" s="140">
        <v>34944</v>
      </c>
      <c r="BA22" s="265">
        <v>16601</v>
      </c>
      <c r="BB22" s="265">
        <v>18343</v>
      </c>
      <c r="BC22" s="140">
        <v>6395</v>
      </c>
      <c r="BD22" s="265">
        <v>3408</v>
      </c>
      <c r="BE22" s="265">
        <v>2987</v>
      </c>
      <c r="BF22" s="267">
        <v>18743</v>
      </c>
      <c r="BG22" s="267">
        <v>9023</v>
      </c>
      <c r="BH22" s="267">
        <v>9720</v>
      </c>
      <c r="BI22" s="266">
        <v>1290151</v>
      </c>
      <c r="BJ22" s="265">
        <v>623329</v>
      </c>
      <c r="BK22" s="265">
        <v>666822</v>
      </c>
      <c r="BL22" s="265">
        <v>1226229</v>
      </c>
      <c r="BM22" s="265">
        <v>590856</v>
      </c>
      <c r="BN22" s="265">
        <v>635373</v>
      </c>
      <c r="BO22" s="265">
        <v>1218038</v>
      </c>
      <c r="BP22" s="265">
        <v>586377</v>
      </c>
      <c r="BQ22" s="265">
        <v>631661</v>
      </c>
      <c r="BR22" s="265">
        <v>38093</v>
      </c>
      <c r="BS22" s="265">
        <v>20409</v>
      </c>
      <c r="BT22" s="265">
        <v>17684</v>
      </c>
      <c r="BU22" s="265">
        <v>10950</v>
      </c>
      <c r="BV22" s="265">
        <v>5861</v>
      </c>
      <c r="BW22" s="265">
        <v>5089</v>
      </c>
      <c r="BX22" s="267">
        <f t="shared" si="52"/>
        <v>25829</v>
      </c>
      <c r="BY22" s="265">
        <v>12064</v>
      </c>
      <c r="BZ22" s="265">
        <v>13765</v>
      </c>
      <c r="CA22" s="270">
        <v>1257231</v>
      </c>
      <c r="CB22" s="38">
        <v>1192017</v>
      </c>
      <c r="CC22" s="265">
        <v>38271</v>
      </c>
      <c r="CD22" s="265">
        <v>20244</v>
      </c>
      <c r="CE22" s="265">
        <v>9126</v>
      </c>
      <c r="CF22" s="266">
        <v>1261678</v>
      </c>
      <c r="CG22" s="140">
        <v>1202975</v>
      </c>
      <c r="CH22" s="265">
        <v>38348</v>
      </c>
      <c r="CI22" s="265">
        <v>20355</v>
      </c>
      <c r="CJ22" s="265">
        <v>9463</v>
      </c>
      <c r="CK22" s="161">
        <v>1257821</v>
      </c>
      <c r="CL22" s="162">
        <v>1198444</v>
      </c>
      <c r="CM22" s="162">
        <v>36103</v>
      </c>
      <c r="CN22" s="162">
        <v>23274</v>
      </c>
      <c r="CO22" s="162">
        <v>10897</v>
      </c>
      <c r="CP22" s="161">
        <v>1290151</v>
      </c>
      <c r="CQ22" s="356">
        <v>1226229</v>
      </c>
      <c r="CR22" s="356">
        <v>38093</v>
      </c>
      <c r="CS22" s="41">
        <v>25829</v>
      </c>
      <c r="CT22" s="356">
        <v>10950</v>
      </c>
      <c r="CU22" s="161">
        <v>1295051</v>
      </c>
      <c r="CV22" s="356">
        <v>1230195</v>
      </c>
      <c r="CW22" s="356">
        <v>37129</v>
      </c>
      <c r="CX22" s="215">
        <f t="shared" si="53"/>
        <v>27727</v>
      </c>
      <c r="CY22" s="419">
        <v>11696</v>
      </c>
      <c r="CZ22" s="265">
        <v>1297393</v>
      </c>
      <c r="DA22" s="37">
        <v>1223532</v>
      </c>
      <c r="DB22" s="37">
        <v>37177</v>
      </c>
      <c r="DC22" s="37">
        <v>28163</v>
      </c>
      <c r="DD22" s="372">
        <v>11543</v>
      </c>
      <c r="DE22" s="37">
        <v>1298503</v>
      </c>
      <c r="DF22" s="37">
        <v>1222436</v>
      </c>
      <c r="DG22" s="1">
        <v>37573</v>
      </c>
      <c r="DH22" s="37">
        <v>28738</v>
      </c>
      <c r="DI22" s="37">
        <v>12362</v>
      </c>
      <c r="DJ22" s="37">
        <v>1296350</v>
      </c>
      <c r="DK22" s="37">
        <v>1220480</v>
      </c>
      <c r="DL22" s="37">
        <v>43173</v>
      </c>
      <c r="DM22" s="669">
        <v>18777</v>
      </c>
      <c r="DN22" s="37">
        <v>12118</v>
      </c>
      <c r="DO22" s="507">
        <v>1300347</v>
      </c>
      <c r="DP22" s="37">
        <v>1215911</v>
      </c>
      <c r="DQ22" s="37">
        <v>45636</v>
      </c>
      <c r="DR22" s="338">
        <v>21233</v>
      </c>
      <c r="DS22" s="37">
        <v>15498</v>
      </c>
      <c r="DT22" s="507">
        <v>1291757</v>
      </c>
      <c r="DU22" s="37">
        <v>1208012</v>
      </c>
      <c r="DV22" s="37">
        <v>45474</v>
      </c>
      <c r="DW22" s="338">
        <v>25771</v>
      </c>
      <c r="DX22" s="37">
        <v>13952</v>
      </c>
      <c r="DY22" s="1">
        <v>9521</v>
      </c>
      <c r="DZ22" s="1">
        <v>0</v>
      </c>
      <c r="EA22" s="1">
        <v>0</v>
      </c>
      <c r="EB22" s="1">
        <v>11557</v>
      </c>
      <c r="EC22" s="701">
        <v>4693</v>
      </c>
      <c r="ED22" s="542">
        <v>1279350</v>
      </c>
      <c r="EE22" s="37">
        <v>1200372</v>
      </c>
      <c r="EF22" s="28">
        <v>45920</v>
      </c>
      <c r="EG22" s="304">
        <v>18021</v>
      </c>
      <c r="EH22" s="37">
        <v>12328</v>
      </c>
      <c r="EI22" s="542">
        <v>1280781</v>
      </c>
      <c r="EJ22" s="37"/>
      <c r="EK22" s="28"/>
      <c r="EM22" s="37"/>
      <c r="EN22" s="37">
        <v>1281086</v>
      </c>
      <c r="EO22" s="37">
        <v>1194674</v>
      </c>
      <c r="EP22" s="28">
        <v>46716</v>
      </c>
      <c r="EQ22" s="304">
        <v>24065</v>
      </c>
      <c r="ER22" s="37">
        <v>14106</v>
      </c>
      <c r="ES22" s="37">
        <v>1265439</v>
      </c>
      <c r="ET22" s="37">
        <v>1162244</v>
      </c>
      <c r="EU22" s="28">
        <v>37570</v>
      </c>
      <c r="EV22" s="304">
        <v>59668</v>
      </c>
      <c r="EW22" s="37">
        <v>14866</v>
      </c>
      <c r="EX22" s="1">
        <v>10346</v>
      </c>
      <c r="FA22" s="1">
        <v>44350</v>
      </c>
      <c r="FB22" s="701">
        <v>4972</v>
      </c>
    </row>
    <row r="23" spans="1:158">
      <c r="A23" s="141" t="s">
        <v>24</v>
      </c>
      <c r="B23" s="373">
        <f>SUM(B25:B37)</f>
        <v>0</v>
      </c>
      <c r="C23" s="307">
        <f t="shared" ref="C23:CF23" si="54">SUM(C25:C37)</f>
        <v>0</v>
      </c>
      <c r="D23" s="304">
        <f t="shared" si="54"/>
        <v>15352456</v>
      </c>
      <c r="E23" s="304">
        <f t="shared" si="54"/>
        <v>7012751</v>
      </c>
      <c r="F23" s="304">
        <f t="shared" si="54"/>
        <v>7251254</v>
      </c>
      <c r="G23" s="304">
        <f t="shared" si="54"/>
        <v>564956</v>
      </c>
      <c r="H23" s="304">
        <f t="shared" si="54"/>
        <v>523495</v>
      </c>
      <c r="I23" s="305">
        <f t="shared" si="54"/>
        <v>18590679</v>
      </c>
      <c r="J23" s="304">
        <f t="shared" si="54"/>
        <v>17018031</v>
      </c>
      <c r="K23" s="304">
        <f t="shared" si="54"/>
        <v>8193207</v>
      </c>
      <c r="L23" s="304">
        <f t="shared" si="54"/>
        <v>8824824</v>
      </c>
      <c r="M23" s="304">
        <f t="shared" si="54"/>
        <v>778643</v>
      </c>
      <c r="N23" s="304">
        <f t="shared" si="54"/>
        <v>373996</v>
      </c>
      <c r="O23" s="304">
        <f t="shared" si="54"/>
        <v>404647</v>
      </c>
      <c r="P23" s="304">
        <f t="shared" si="54"/>
        <v>1874845</v>
      </c>
      <c r="Q23" s="304">
        <f t="shared" si="54"/>
        <v>929692</v>
      </c>
      <c r="R23" s="304">
        <f t="shared" si="54"/>
        <v>945153</v>
      </c>
      <c r="S23" s="305">
        <f t="shared" si="54"/>
        <v>25156945</v>
      </c>
      <c r="T23" s="201">
        <f t="shared" si="54"/>
        <v>19676129</v>
      </c>
      <c r="U23" s="304">
        <f t="shared" si="54"/>
        <v>9483292</v>
      </c>
      <c r="V23" s="304">
        <f t="shared" si="54"/>
        <v>10192837</v>
      </c>
      <c r="W23" s="201">
        <f t="shared" si="54"/>
        <v>1125745</v>
      </c>
      <c r="X23" s="304">
        <f t="shared" si="54"/>
        <v>542548</v>
      </c>
      <c r="Y23" s="304">
        <f t="shared" si="54"/>
        <v>583197</v>
      </c>
      <c r="Z23" s="201">
        <f t="shared" si="54"/>
        <v>2793435</v>
      </c>
      <c r="AA23" s="304">
        <f t="shared" si="54"/>
        <v>1382517</v>
      </c>
      <c r="AB23" s="304">
        <f t="shared" si="54"/>
        <v>1410918</v>
      </c>
      <c r="AC23" s="304">
        <f t="shared" si="54"/>
        <v>1521862</v>
      </c>
      <c r="AD23" s="304">
        <f t="shared" si="54"/>
        <v>719149</v>
      </c>
      <c r="AE23" s="304">
        <f t="shared" si="54"/>
        <v>802713</v>
      </c>
      <c r="AF23" s="305">
        <f t="shared" si="54"/>
        <v>33115217</v>
      </c>
      <c r="AG23" s="201">
        <f t="shared" si="54"/>
        <v>26241893</v>
      </c>
      <c r="AH23" s="196">
        <f t="shared" si="54"/>
        <v>23809060</v>
      </c>
      <c r="AI23" s="304">
        <f t="shared" si="54"/>
        <v>11557565</v>
      </c>
      <c r="AJ23" s="304">
        <f t="shared" si="54"/>
        <v>12251495</v>
      </c>
      <c r="AK23" s="201">
        <f t="shared" si="54"/>
        <v>1599373</v>
      </c>
      <c r="AL23" s="196">
        <f t="shared" si="54"/>
        <v>1553066</v>
      </c>
      <c r="AM23" s="304">
        <f t="shared" si="54"/>
        <v>758741</v>
      </c>
      <c r="AN23" s="304">
        <f t="shared" si="54"/>
        <v>794325</v>
      </c>
      <c r="AO23" s="201">
        <f t="shared" si="54"/>
        <v>4892564</v>
      </c>
      <c r="AP23" s="304">
        <f t="shared" si="54"/>
        <v>2486256</v>
      </c>
      <c r="AQ23" s="304">
        <f t="shared" si="54"/>
        <v>2406308</v>
      </c>
      <c r="AR23" s="306">
        <f t="shared" si="54"/>
        <v>2860527</v>
      </c>
      <c r="AS23" s="305">
        <f t="shared" si="54"/>
        <v>39924912</v>
      </c>
      <c r="AT23" s="201">
        <f t="shared" si="54"/>
        <v>28965948</v>
      </c>
      <c r="AU23" s="308">
        <f t="shared" si="54"/>
        <v>14146591</v>
      </c>
      <c r="AV23" s="308">
        <f t="shared" si="54"/>
        <v>14819357</v>
      </c>
      <c r="AW23" s="196">
        <f t="shared" si="54"/>
        <v>25596208</v>
      </c>
      <c r="AX23" s="304">
        <f t="shared" si="54"/>
        <v>12475268</v>
      </c>
      <c r="AY23" s="304">
        <f t="shared" si="54"/>
        <v>13120940</v>
      </c>
      <c r="AZ23" s="201">
        <f t="shared" si="54"/>
        <v>1790682</v>
      </c>
      <c r="BA23" s="304">
        <f t="shared" si="54"/>
        <v>880291</v>
      </c>
      <c r="BB23" s="304">
        <f t="shared" si="54"/>
        <v>910391</v>
      </c>
      <c r="BC23" s="201">
        <f t="shared" si="54"/>
        <v>7658940</v>
      </c>
      <c r="BD23" s="304">
        <f t="shared" si="54"/>
        <v>3867970</v>
      </c>
      <c r="BE23" s="304">
        <f t="shared" si="54"/>
        <v>3790970</v>
      </c>
      <c r="BF23" s="304">
        <f t="shared" si="54"/>
        <v>9168282</v>
      </c>
      <c r="BG23" s="304">
        <f t="shared" si="54"/>
        <v>4479802</v>
      </c>
      <c r="BH23" s="304">
        <f t="shared" si="54"/>
        <v>4688480</v>
      </c>
      <c r="BI23" s="359">
        <f t="shared" si="54"/>
        <v>46148030</v>
      </c>
      <c r="BJ23" s="361">
        <f t="shared" si="54"/>
        <v>22605488</v>
      </c>
      <c r="BK23" s="361">
        <f t="shared" si="54"/>
        <v>23542542</v>
      </c>
      <c r="BL23" s="361">
        <f t="shared" si="54"/>
        <v>33756603</v>
      </c>
      <c r="BM23" s="361">
        <f t="shared" si="54"/>
        <v>16617948</v>
      </c>
      <c r="BN23" s="361">
        <f t="shared" si="54"/>
        <v>17138655</v>
      </c>
      <c r="BO23" s="361">
        <f t="shared" si="54"/>
        <v>27255942</v>
      </c>
      <c r="BP23" s="361">
        <f t="shared" si="54"/>
        <v>13398075</v>
      </c>
      <c r="BQ23" s="361">
        <f t="shared" si="54"/>
        <v>13857867</v>
      </c>
      <c r="BR23" s="361">
        <f t="shared" si="54"/>
        <v>2070312</v>
      </c>
      <c r="BS23" s="361">
        <f t="shared" si="54"/>
        <v>1031771</v>
      </c>
      <c r="BT23" s="361">
        <f t="shared" si="54"/>
        <v>1038541</v>
      </c>
      <c r="BU23" s="361">
        <f t="shared" si="54"/>
        <v>10605291</v>
      </c>
      <c r="BV23" s="361">
        <f t="shared" si="54"/>
        <v>5307296</v>
      </c>
      <c r="BW23" s="361">
        <f t="shared" si="54"/>
        <v>5297995</v>
      </c>
      <c r="BX23" s="361">
        <f t="shared" si="54"/>
        <v>10321115</v>
      </c>
      <c r="BY23" s="361">
        <f t="shared" si="54"/>
        <v>4955769</v>
      </c>
      <c r="BZ23" s="361">
        <f t="shared" si="54"/>
        <v>5365346</v>
      </c>
      <c r="CA23" s="309">
        <f t="shared" si="54"/>
        <v>44403923</v>
      </c>
      <c r="CB23" s="361">
        <f t="shared" si="54"/>
        <v>26919623</v>
      </c>
      <c r="CC23" s="304">
        <f t="shared" si="54"/>
        <v>1951589</v>
      </c>
      <c r="CD23" s="304">
        <f t="shared" si="54"/>
        <v>10433625</v>
      </c>
      <c r="CE23" s="304">
        <f t="shared" si="54"/>
        <v>9884675</v>
      </c>
      <c r="CF23" s="305">
        <f t="shared" si="54"/>
        <v>45019529</v>
      </c>
      <c r="CG23" s="201">
        <f t="shared" ref="CG23:CP23" si="55">SUM(CG25:CG37)</f>
        <v>32678165</v>
      </c>
      <c r="CH23" s="304">
        <f t="shared" si="55"/>
        <v>1975090</v>
      </c>
      <c r="CI23" s="304">
        <f t="shared" si="55"/>
        <v>10366274</v>
      </c>
      <c r="CJ23" s="304">
        <f t="shared" si="55"/>
        <v>10162269</v>
      </c>
      <c r="CK23" s="195">
        <f t="shared" si="55"/>
        <v>45550233</v>
      </c>
      <c r="CL23" s="173">
        <f t="shared" si="55"/>
        <v>33297140</v>
      </c>
      <c r="CM23" s="215">
        <f t="shared" si="55"/>
        <v>2022712</v>
      </c>
      <c r="CN23" s="215">
        <f t="shared" si="55"/>
        <v>10230381</v>
      </c>
      <c r="CO23" s="215">
        <f t="shared" si="55"/>
        <v>10348169</v>
      </c>
      <c r="CP23" s="250">
        <f t="shared" si="55"/>
        <v>46148030</v>
      </c>
      <c r="CQ23" s="362">
        <f t="shared" ref="CQ23:DO23" si="56">SUM(CQ25:CQ37)</f>
        <v>33756603</v>
      </c>
      <c r="CR23" s="362">
        <f t="shared" si="56"/>
        <v>2070312</v>
      </c>
      <c r="CS23" s="362">
        <f t="shared" si="56"/>
        <v>10321115</v>
      </c>
      <c r="CT23" s="362">
        <f t="shared" si="56"/>
        <v>10605291</v>
      </c>
      <c r="CU23" s="250">
        <f t="shared" si="56"/>
        <v>46829886</v>
      </c>
      <c r="CV23" s="362">
        <f t="shared" si="56"/>
        <v>34233405</v>
      </c>
      <c r="CW23" s="362">
        <f t="shared" si="56"/>
        <v>2092565</v>
      </c>
      <c r="CX23" s="362">
        <f>SUM(CX25:CX37)</f>
        <v>10503916</v>
      </c>
      <c r="CY23" s="415">
        <f t="shared" si="56"/>
        <v>10927638</v>
      </c>
      <c r="CZ23" s="425">
        <f t="shared" si="56"/>
        <v>47495337</v>
      </c>
      <c r="DA23" s="425">
        <f t="shared" si="56"/>
        <v>27611242</v>
      </c>
      <c r="DB23" s="425">
        <f t="shared" si="56"/>
        <v>2134990</v>
      </c>
      <c r="DC23" s="425">
        <f t="shared" si="56"/>
        <v>10707566</v>
      </c>
      <c r="DD23" s="422">
        <f t="shared" si="56"/>
        <v>11206293</v>
      </c>
      <c r="DE23" s="422">
        <f t="shared" si="56"/>
        <v>48160748</v>
      </c>
      <c r="DF23" s="422">
        <f t="shared" si="56"/>
        <v>27783856</v>
      </c>
      <c r="DG23" s="422">
        <f t="shared" si="56"/>
        <v>2172903</v>
      </c>
      <c r="DH23" s="422">
        <f t="shared" si="56"/>
        <v>10955601</v>
      </c>
      <c r="DI23" s="422">
        <f t="shared" si="56"/>
        <v>11482275</v>
      </c>
      <c r="DJ23" s="422">
        <f t="shared" si="56"/>
        <v>49774316</v>
      </c>
      <c r="DK23" s="422">
        <f t="shared" si="56"/>
        <v>28163493</v>
      </c>
      <c r="DL23" s="681">
        <f t="shared" si="56"/>
        <v>2231856</v>
      </c>
      <c r="DM23" s="422">
        <f t="shared" si="56"/>
        <v>11719739</v>
      </c>
      <c r="DN23" s="422">
        <f t="shared" si="56"/>
        <v>12157151</v>
      </c>
      <c r="DO23" s="422">
        <f t="shared" si="56"/>
        <v>50692004</v>
      </c>
      <c r="DP23" s="422">
        <f>SUM(DP25:DP37)</f>
        <v>28419544</v>
      </c>
      <c r="DQ23" s="422">
        <f>SUM(DQ25:DQ37)</f>
        <v>2298860</v>
      </c>
      <c r="DR23" s="422">
        <f t="shared" ref="DR23:DT23" si="57">SUM(DR25:DR37)</f>
        <v>12145190</v>
      </c>
      <c r="DS23" s="422">
        <f t="shared" si="57"/>
        <v>12502152</v>
      </c>
      <c r="DT23" s="422">
        <f t="shared" si="57"/>
        <v>51376461</v>
      </c>
      <c r="DU23" s="422">
        <f>SUM(DU25:DU37)</f>
        <v>28660263</v>
      </c>
      <c r="DV23" s="422">
        <f>SUM(DV25:DV37)</f>
        <v>2311637</v>
      </c>
      <c r="DW23" s="422">
        <f t="shared" ref="DW23:ED23" si="58">SUM(DW25:DW37)</f>
        <v>12749522</v>
      </c>
      <c r="DX23" s="425">
        <f t="shared" si="58"/>
        <v>12730528</v>
      </c>
      <c r="DY23" s="425">
        <f t="shared" si="58"/>
        <v>5634320</v>
      </c>
      <c r="DZ23" s="425">
        <f t="shared" ref="DZ23:EC23" si="59">SUM(DZ25:DZ37)</f>
        <v>271795</v>
      </c>
      <c r="EA23" s="425">
        <f t="shared" si="59"/>
        <v>760601</v>
      </c>
      <c r="EB23" s="425">
        <f t="shared" si="59"/>
        <v>1655612</v>
      </c>
      <c r="EC23" s="425">
        <f t="shared" si="59"/>
        <v>4427194</v>
      </c>
      <c r="ED23" s="543">
        <f t="shared" si="58"/>
        <v>52200015</v>
      </c>
      <c r="EE23" s="422">
        <f>SUM(EE25:EE37)</f>
        <v>28765277</v>
      </c>
      <c r="EF23" s="422">
        <f>SUM(EF25:EF37)</f>
        <v>2371830</v>
      </c>
      <c r="EG23" s="422">
        <f t="shared" ref="EG23:EI23" si="60">SUM(EG25:EG37)</f>
        <v>13213065</v>
      </c>
      <c r="EH23" s="425">
        <f t="shared" si="60"/>
        <v>13108620</v>
      </c>
      <c r="EI23" s="543">
        <f t="shared" si="60"/>
        <v>52862221</v>
      </c>
      <c r="EJ23" s="422">
        <f>SUM(EJ25:EJ37)</f>
        <v>0</v>
      </c>
      <c r="EK23" s="422">
        <f>SUM(EK25:EK37)</f>
        <v>0</v>
      </c>
      <c r="EL23" s="422">
        <f t="shared" ref="EL23:FB23" si="61">SUM(EL25:EL37)</f>
        <v>0</v>
      </c>
      <c r="EM23" s="425">
        <f t="shared" si="61"/>
        <v>0</v>
      </c>
      <c r="EN23" s="543">
        <f t="shared" si="61"/>
        <v>53393363</v>
      </c>
      <c r="EO23" s="543">
        <f t="shared" si="61"/>
        <v>29009729</v>
      </c>
      <c r="EP23" s="543">
        <f t="shared" si="61"/>
        <v>2468444</v>
      </c>
      <c r="EQ23" s="543">
        <f t="shared" si="61"/>
        <v>13437872</v>
      </c>
      <c r="ER23" s="543">
        <f t="shared" si="61"/>
        <v>13617634</v>
      </c>
      <c r="ES23" s="543">
        <f t="shared" si="61"/>
        <v>53947372</v>
      </c>
      <c r="ET23" s="543">
        <f t="shared" si="61"/>
        <v>28152355</v>
      </c>
      <c r="EU23" s="543">
        <f t="shared" si="61"/>
        <v>2392516</v>
      </c>
      <c r="EV23" s="543">
        <f t="shared" si="61"/>
        <v>21393003</v>
      </c>
      <c r="EW23" s="543">
        <f t="shared" si="61"/>
        <v>14133460</v>
      </c>
      <c r="EX23" s="543">
        <f t="shared" si="61"/>
        <v>6189937</v>
      </c>
      <c r="EY23" s="543">
        <f t="shared" ref="EY23" si="62">SUM(EY25:EY37)</f>
        <v>285941</v>
      </c>
      <c r="EZ23" s="543">
        <f t="shared" si="61"/>
        <v>956315</v>
      </c>
      <c r="FA23" s="543">
        <f t="shared" si="61"/>
        <v>7598347</v>
      </c>
      <c r="FB23" s="543">
        <f t="shared" si="61"/>
        <v>6362463</v>
      </c>
    </row>
    <row r="24" spans="1:158" ht="15.6">
      <c r="A24" s="141" t="s">
        <v>150</v>
      </c>
      <c r="B24" s="8"/>
      <c r="C24" s="17"/>
      <c r="J24" s="92"/>
      <c r="M24" s="92"/>
      <c r="P24" s="92"/>
      <c r="S24" s="68"/>
      <c r="T24" s="90"/>
      <c r="W24" s="90"/>
      <c r="Z24" s="90"/>
      <c r="AC24" s="92"/>
      <c r="AD24" s="92"/>
      <c r="AE24" s="92"/>
      <c r="AG24" s="3"/>
      <c r="AH24" s="55"/>
      <c r="AK24" s="3"/>
      <c r="AL24" s="55"/>
      <c r="AO24" s="3"/>
      <c r="AR24" s="59"/>
      <c r="AT24" s="3"/>
      <c r="AU24" s="115"/>
      <c r="AV24" s="115"/>
      <c r="AW24" s="55"/>
      <c r="AZ24" s="3"/>
      <c r="BC24" s="3"/>
      <c r="BF24" s="92"/>
      <c r="BG24" s="92"/>
      <c r="BH24" s="92"/>
      <c r="BI24" s="68"/>
      <c r="BJ24" s="68"/>
      <c r="BK24" s="68"/>
      <c r="BL24" s="92"/>
      <c r="BX24" s="92"/>
      <c r="CA24" s="125"/>
      <c r="CB24" s="38"/>
      <c r="CF24" s="68"/>
      <c r="CG24" s="3"/>
      <c r="CK24" s="42"/>
      <c r="CL24" s="40"/>
      <c r="CM24" s="41"/>
      <c r="CN24" s="41"/>
      <c r="CO24" s="41"/>
      <c r="CP24" s="42"/>
      <c r="CQ24" s="356"/>
      <c r="CR24" s="356"/>
      <c r="CS24" s="41"/>
      <c r="CT24" s="356"/>
      <c r="CU24" s="42"/>
      <c r="CV24" s="356"/>
      <c r="CW24" s="356"/>
      <c r="CX24" s="356"/>
      <c r="CY24" s="419"/>
      <c r="CZ24" s="37"/>
      <c r="DA24" s="37"/>
      <c r="DB24" s="37"/>
      <c r="DC24" s="37"/>
      <c r="DD24" s="371"/>
      <c r="DH24" s="37">
        <v>0</v>
      </c>
      <c r="DM24" s="670"/>
      <c r="DO24" s="507">
        <v>0</v>
      </c>
      <c r="DP24" s="508"/>
      <c r="DQ24" s="37"/>
      <c r="DR24" s="338">
        <v>0</v>
      </c>
      <c r="DS24" s="37"/>
      <c r="DT24" s="507"/>
      <c r="DU24" s="508"/>
      <c r="DV24" s="37"/>
      <c r="DX24" s="37"/>
      <c r="EC24" s="701"/>
      <c r="ED24" s="542"/>
      <c r="EE24" s="508"/>
      <c r="EF24" s="28"/>
      <c r="EH24" s="37"/>
      <c r="EI24" s="542"/>
      <c r="EJ24" s="508"/>
      <c r="EK24" s="28"/>
      <c r="EM24" s="37"/>
      <c r="EP24" s="28"/>
      <c r="EQ24" s="304"/>
      <c r="ER24" s="37"/>
      <c r="ES24" s="37"/>
      <c r="ET24" s="37"/>
      <c r="EU24" s="28"/>
      <c r="EV24" s="304"/>
      <c r="EW24" s="37"/>
      <c r="FB24" s="701"/>
    </row>
    <row r="25" spans="1:158" ht="15.6">
      <c r="A25" s="38" t="s">
        <v>25</v>
      </c>
      <c r="B25" s="8"/>
      <c r="C25" s="17"/>
      <c r="D25" s="37">
        <v>104887</v>
      </c>
      <c r="E25" s="37">
        <v>49635</v>
      </c>
      <c r="F25" s="37">
        <v>35805</v>
      </c>
      <c r="G25" s="37">
        <v>10596</v>
      </c>
      <c r="H25" s="37">
        <v>8851</v>
      </c>
      <c r="I25" s="68">
        <v>134948</v>
      </c>
      <c r="J25" s="92">
        <f t="shared" ref="J25:J37" si="63">+K25+L25</f>
        <v>110906</v>
      </c>
      <c r="K25" s="37">
        <v>61189</v>
      </c>
      <c r="L25" s="37">
        <v>49717</v>
      </c>
      <c r="M25" s="92">
        <f t="shared" ref="M25:M37" si="64">+N25+O25</f>
        <v>3597</v>
      </c>
      <c r="N25" s="37">
        <v>2153</v>
      </c>
      <c r="O25" s="37">
        <v>1444</v>
      </c>
      <c r="P25" s="92">
        <f t="shared" ref="P25:P37" si="65">+Q25+R25</f>
        <v>2382</v>
      </c>
      <c r="Q25" s="37">
        <v>1307</v>
      </c>
      <c r="R25" s="37">
        <v>1075</v>
      </c>
      <c r="S25" s="68">
        <v>211397</v>
      </c>
      <c r="T25" s="90">
        <f t="shared" ref="T25:T37" si="66">+U25+V25</f>
        <v>169303</v>
      </c>
      <c r="U25" s="37">
        <v>91867</v>
      </c>
      <c r="V25" s="37">
        <v>77436</v>
      </c>
      <c r="W25" s="90">
        <f t="shared" ref="W25:W37" si="67">+X25+Y25</f>
        <v>6170</v>
      </c>
      <c r="X25" s="37">
        <v>3594</v>
      </c>
      <c r="Y25" s="37">
        <v>2576</v>
      </c>
      <c r="Z25" s="90">
        <f t="shared" ref="Z25:Z37" si="68">+AA25+AB25</f>
        <v>3851</v>
      </c>
      <c r="AA25" s="37">
        <v>2077</v>
      </c>
      <c r="AB25" s="37">
        <v>1774</v>
      </c>
      <c r="AC25" s="92">
        <v>31670</v>
      </c>
      <c r="AD25" s="92">
        <v>15702</v>
      </c>
      <c r="AE25" s="92">
        <v>15968</v>
      </c>
      <c r="AF25" s="68">
        <v>323429</v>
      </c>
      <c r="AG25" s="3">
        <v>255459</v>
      </c>
      <c r="AH25" s="55">
        <f t="shared" ref="AH25:AH37" si="69">+AI25+AJ25</f>
        <v>251089</v>
      </c>
      <c r="AI25" s="37">
        <v>134403</v>
      </c>
      <c r="AJ25" s="37">
        <v>116686</v>
      </c>
      <c r="AK25" s="3">
        <v>11092</v>
      </c>
      <c r="AL25" s="55">
        <f t="shared" ref="AL25:AL37" si="70">+AM25+AN25</f>
        <v>10867</v>
      </c>
      <c r="AM25" s="37">
        <v>6064</v>
      </c>
      <c r="AN25" s="37">
        <v>4803</v>
      </c>
      <c r="AO25" s="3">
        <v>8825</v>
      </c>
      <c r="AP25" s="37">
        <v>4603</v>
      </c>
      <c r="AQ25" s="37">
        <v>4222</v>
      </c>
      <c r="AR25" s="59">
        <f t="shared" ref="AR25:AR37" si="71">+AF25-AH25-AL25-AO25</f>
        <v>52648</v>
      </c>
      <c r="AS25" s="68">
        <v>379556</v>
      </c>
      <c r="AT25" s="3">
        <v>281473</v>
      </c>
      <c r="AU25" s="115">
        <v>147676</v>
      </c>
      <c r="AV25" s="115">
        <v>133797</v>
      </c>
      <c r="AW25" s="55">
        <f t="shared" ref="AW25:AW37" si="72">+AX25+AY25</f>
        <v>276088</v>
      </c>
      <c r="AX25" s="37">
        <v>144963</v>
      </c>
      <c r="AY25" s="37">
        <v>131125</v>
      </c>
      <c r="AZ25" s="3">
        <v>11730</v>
      </c>
      <c r="BA25" s="37">
        <v>6337</v>
      </c>
      <c r="BB25" s="37">
        <v>5393</v>
      </c>
      <c r="BC25" s="3">
        <v>12263</v>
      </c>
      <c r="BD25" s="37">
        <v>6423</v>
      </c>
      <c r="BE25" s="37">
        <v>5840</v>
      </c>
      <c r="BF25" s="92">
        <v>86353</v>
      </c>
      <c r="BG25" s="92">
        <v>41663</v>
      </c>
      <c r="BH25" s="92">
        <v>44690</v>
      </c>
      <c r="BI25" s="68">
        <v>439507</v>
      </c>
      <c r="BJ25" s="37">
        <v>227888</v>
      </c>
      <c r="BK25" s="37">
        <v>211619</v>
      </c>
      <c r="BL25" s="37">
        <v>318650</v>
      </c>
      <c r="BM25" s="37">
        <v>168010</v>
      </c>
      <c r="BN25" s="37">
        <v>150640</v>
      </c>
      <c r="BO25" s="37">
        <v>307323</v>
      </c>
      <c r="BP25" s="37">
        <v>161702</v>
      </c>
      <c r="BQ25" s="37">
        <v>145621</v>
      </c>
      <c r="BR25" s="37">
        <v>13896</v>
      </c>
      <c r="BS25" s="37">
        <v>7857</v>
      </c>
      <c r="BT25" s="37">
        <v>6039</v>
      </c>
      <c r="BU25" s="37">
        <v>19539</v>
      </c>
      <c r="BV25" s="37">
        <v>10328</v>
      </c>
      <c r="BW25" s="37">
        <v>9211</v>
      </c>
      <c r="BX25" s="92">
        <f t="shared" ref="BX25:BX37" si="73">+BY25+BZ25</f>
        <v>106961</v>
      </c>
      <c r="BY25" s="37">
        <v>52021</v>
      </c>
      <c r="BZ25" s="37">
        <v>54940</v>
      </c>
      <c r="CA25" s="125">
        <v>418136</v>
      </c>
      <c r="CB25" s="38">
        <v>297330</v>
      </c>
      <c r="CC25" s="37">
        <v>13434</v>
      </c>
      <c r="CD25" s="37">
        <v>96448</v>
      </c>
      <c r="CE25" s="37">
        <v>18483</v>
      </c>
      <c r="CF25" s="68">
        <v>422721</v>
      </c>
      <c r="CG25" s="3">
        <v>307994</v>
      </c>
      <c r="CH25" s="37">
        <v>13492</v>
      </c>
      <c r="CI25" s="37">
        <v>101235</v>
      </c>
      <c r="CJ25" s="37">
        <v>19868</v>
      </c>
      <c r="CK25" s="42">
        <v>423408</v>
      </c>
      <c r="CL25" s="40">
        <v>307813</v>
      </c>
      <c r="CM25" s="41">
        <v>14362</v>
      </c>
      <c r="CN25" s="41">
        <v>101233</v>
      </c>
      <c r="CO25" s="41">
        <v>20857</v>
      </c>
      <c r="CP25" s="42">
        <v>439507</v>
      </c>
      <c r="CQ25" s="356">
        <v>318650</v>
      </c>
      <c r="CR25" s="356">
        <v>13896</v>
      </c>
      <c r="CS25" s="41">
        <v>106961</v>
      </c>
      <c r="CT25" s="356">
        <v>19539</v>
      </c>
      <c r="CU25" s="42">
        <v>448609</v>
      </c>
      <c r="CV25" s="356">
        <v>325709</v>
      </c>
      <c r="CW25" s="356">
        <v>14273</v>
      </c>
      <c r="CX25" s="215">
        <f t="shared" ref="CX25:CX37" si="74">CU25-CV25-CW25</f>
        <v>108627</v>
      </c>
      <c r="CY25" s="419">
        <v>19568</v>
      </c>
      <c r="CZ25" s="37">
        <v>457070</v>
      </c>
      <c r="DA25" s="37">
        <v>317931</v>
      </c>
      <c r="DB25" s="37">
        <v>14621</v>
      </c>
      <c r="DC25" s="37">
        <v>112027</v>
      </c>
      <c r="DD25" s="371">
        <v>20734</v>
      </c>
      <c r="DE25" s="37">
        <v>461441</v>
      </c>
      <c r="DF25" s="37">
        <v>318357</v>
      </c>
      <c r="DG25" s="1">
        <v>14853</v>
      </c>
      <c r="DH25" s="37">
        <v>114640</v>
      </c>
      <c r="DI25" s="37">
        <v>22801</v>
      </c>
      <c r="DJ25" s="37">
        <v>465149</v>
      </c>
      <c r="DK25" s="37">
        <v>317114</v>
      </c>
      <c r="DL25" s="37">
        <v>15075</v>
      </c>
      <c r="DM25" s="669">
        <v>107730</v>
      </c>
      <c r="DN25" s="37">
        <v>24891</v>
      </c>
      <c r="DO25" s="507">
        <v>469523</v>
      </c>
      <c r="DP25" s="37">
        <v>316043</v>
      </c>
      <c r="DQ25" s="37">
        <v>15302</v>
      </c>
      <c r="DR25" s="338">
        <v>111692</v>
      </c>
      <c r="DS25" s="37">
        <v>25926</v>
      </c>
      <c r="DT25" s="507">
        <v>478951</v>
      </c>
      <c r="DU25" s="37">
        <v>320221</v>
      </c>
      <c r="DV25" s="37">
        <v>14926</v>
      </c>
      <c r="DW25" s="338">
        <v>130489</v>
      </c>
      <c r="DX25" s="37">
        <v>26133</v>
      </c>
      <c r="DY25" s="506">
        <v>31070</v>
      </c>
      <c r="DZ25" s="506">
        <v>5381</v>
      </c>
      <c r="EA25" s="506">
        <v>61314</v>
      </c>
      <c r="EB25" s="506">
        <v>24878</v>
      </c>
      <c r="EC25" s="765">
        <v>7846</v>
      </c>
      <c r="ED25" s="542">
        <v>481561</v>
      </c>
      <c r="EE25" s="37">
        <v>320775</v>
      </c>
      <c r="EF25" s="28">
        <v>13931</v>
      </c>
      <c r="EG25" s="304">
        <v>128345</v>
      </c>
      <c r="EH25" s="37">
        <v>26452</v>
      </c>
      <c r="EI25" s="542">
        <v>485353</v>
      </c>
      <c r="EJ25" s="37"/>
      <c r="EK25" s="28"/>
      <c r="EM25" s="37"/>
      <c r="EN25" s="37">
        <v>484058</v>
      </c>
      <c r="EO25" s="37">
        <v>316918</v>
      </c>
      <c r="EP25" s="28">
        <v>15832</v>
      </c>
      <c r="EQ25" s="304">
        <v>126349</v>
      </c>
      <c r="ER25" s="37">
        <v>28365</v>
      </c>
      <c r="ES25" s="37">
        <v>485779</v>
      </c>
      <c r="ET25" s="37">
        <v>308121</v>
      </c>
      <c r="EU25" s="28">
        <v>14708</v>
      </c>
      <c r="EV25" s="304">
        <v>151010</v>
      </c>
      <c r="EW25" s="37">
        <v>28495</v>
      </c>
      <c r="EX25" s="1">
        <v>32328</v>
      </c>
      <c r="EZ25" s="1">
        <v>58526</v>
      </c>
      <c r="FA25" s="1">
        <v>47727</v>
      </c>
      <c r="FB25" s="701">
        <v>12429</v>
      </c>
    </row>
    <row r="26" spans="1:158" ht="15.6">
      <c r="A26" s="38" t="s">
        <v>26</v>
      </c>
      <c r="B26" s="8"/>
      <c r="C26" s="17"/>
      <c r="D26" s="37">
        <v>661102</v>
      </c>
      <c r="E26" s="37">
        <v>301685</v>
      </c>
      <c r="F26" s="37">
        <v>307142</v>
      </c>
      <c r="G26" s="37">
        <v>26683</v>
      </c>
      <c r="H26" s="37">
        <v>25592</v>
      </c>
      <c r="I26" s="68">
        <v>915737</v>
      </c>
      <c r="J26" s="92">
        <f t="shared" si="63"/>
        <v>853185</v>
      </c>
      <c r="K26" s="37">
        <v>408560</v>
      </c>
      <c r="L26" s="37">
        <v>444625</v>
      </c>
      <c r="M26" s="92">
        <f t="shared" si="64"/>
        <v>22800</v>
      </c>
      <c r="N26" s="37">
        <v>11086</v>
      </c>
      <c r="O26" s="37">
        <v>11714</v>
      </c>
      <c r="P26" s="92">
        <f t="shared" si="65"/>
        <v>134022</v>
      </c>
      <c r="Q26" s="37">
        <v>65347</v>
      </c>
      <c r="R26" s="37">
        <v>68675</v>
      </c>
      <c r="S26" s="68">
        <v>1558891</v>
      </c>
      <c r="T26" s="90">
        <f t="shared" si="66"/>
        <v>1258351</v>
      </c>
      <c r="U26" s="37">
        <v>602706</v>
      </c>
      <c r="V26" s="37">
        <v>655645</v>
      </c>
      <c r="W26" s="90">
        <f t="shared" si="67"/>
        <v>34605</v>
      </c>
      <c r="X26" s="37">
        <v>17778</v>
      </c>
      <c r="Y26" s="37">
        <v>16827</v>
      </c>
      <c r="Z26" s="90">
        <f t="shared" si="68"/>
        <v>192709</v>
      </c>
      <c r="AA26" s="37">
        <v>94035</v>
      </c>
      <c r="AB26" s="37">
        <v>98674</v>
      </c>
      <c r="AC26" s="92">
        <v>71674</v>
      </c>
      <c r="AD26" s="92">
        <v>32799</v>
      </c>
      <c r="AE26" s="92">
        <v>38875</v>
      </c>
      <c r="AF26" s="68">
        <v>2301177</v>
      </c>
      <c r="AG26" s="3">
        <v>1960882</v>
      </c>
      <c r="AH26" s="55">
        <f t="shared" si="69"/>
        <v>1792254</v>
      </c>
      <c r="AI26" s="37">
        <v>859788</v>
      </c>
      <c r="AJ26" s="37">
        <v>932466</v>
      </c>
      <c r="AK26" s="3">
        <v>59507</v>
      </c>
      <c r="AL26" s="55">
        <f t="shared" si="70"/>
        <v>57917</v>
      </c>
      <c r="AM26" s="37">
        <v>29859</v>
      </c>
      <c r="AN26" s="37">
        <v>28058</v>
      </c>
      <c r="AO26" s="3">
        <v>329455</v>
      </c>
      <c r="AP26" s="37">
        <v>163051</v>
      </c>
      <c r="AQ26" s="37">
        <v>166404</v>
      </c>
      <c r="AR26" s="59">
        <f t="shared" si="71"/>
        <v>121551</v>
      </c>
      <c r="AS26" s="68">
        <v>3256184</v>
      </c>
      <c r="AT26" s="3">
        <v>2630184</v>
      </c>
      <c r="AU26" s="115">
        <v>1275586</v>
      </c>
      <c r="AV26" s="115">
        <v>1354598</v>
      </c>
      <c r="AW26" s="55">
        <f t="shared" si="72"/>
        <v>2325203</v>
      </c>
      <c r="AX26" s="37">
        <v>1124420</v>
      </c>
      <c r="AY26" s="37">
        <v>1200783</v>
      </c>
      <c r="AZ26" s="3">
        <v>89281</v>
      </c>
      <c r="BA26" s="37">
        <v>47328</v>
      </c>
      <c r="BB26" s="37">
        <v>41953</v>
      </c>
      <c r="BC26" s="3">
        <v>625518</v>
      </c>
      <c r="BD26" s="37">
        <v>317378</v>
      </c>
      <c r="BE26" s="37">
        <v>308140</v>
      </c>
      <c r="BF26" s="92">
        <v>536719</v>
      </c>
      <c r="BG26" s="92">
        <v>267081</v>
      </c>
      <c r="BH26" s="92">
        <v>269638</v>
      </c>
      <c r="BI26" s="68">
        <v>4088405</v>
      </c>
      <c r="BJ26" s="37">
        <v>1996057</v>
      </c>
      <c r="BK26" s="37">
        <v>2092348</v>
      </c>
      <c r="BL26" s="37">
        <v>3395905</v>
      </c>
      <c r="BM26" s="37">
        <v>1658888</v>
      </c>
      <c r="BN26" s="37">
        <v>1737017</v>
      </c>
      <c r="BO26" s="37">
        <v>2701375</v>
      </c>
      <c r="BP26" s="37">
        <v>1315183</v>
      </c>
      <c r="BQ26" s="37">
        <v>1386192</v>
      </c>
      <c r="BR26" s="37">
        <v>146870</v>
      </c>
      <c r="BS26" s="37">
        <v>76681</v>
      </c>
      <c r="BT26" s="37">
        <v>70189</v>
      </c>
      <c r="BU26" s="37">
        <v>940258</v>
      </c>
      <c r="BV26" s="37">
        <v>465125</v>
      </c>
      <c r="BW26" s="37">
        <v>475133</v>
      </c>
      <c r="BX26" s="92">
        <f t="shared" si="73"/>
        <v>545630</v>
      </c>
      <c r="BY26" s="37">
        <v>260488</v>
      </c>
      <c r="BZ26" s="37">
        <v>285142</v>
      </c>
      <c r="CA26" s="125">
        <v>3949023</v>
      </c>
      <c r="CB26" s="38">
        <v>2641184</v>
      </c>
      <c r="CC26" s="37">
        <v>120755</v>
      </c>
      <c r="CD26" s="37">
        <v>651539</v>
      </c>
      <c r="CE26" s="37">
        <v>916410</v>
      </c>
      <c r="CF26" s="68">
        <v>4082038</v>
      </c>
      <c r="CG26" s="3">
        <v>3323383</v>
      </c>
      <c r="CH26" s="37">
        <v>128730</v>
      </c>
      <c r="CI26" s="37">
        <v>629925</v>
      </c>
      <c r="CJ26" s="37">
        <v>966979</v>
      </c>
      <c r="CK26" s="42">
        <v>4173579</v>
      </c>
      <c r="CL26" s="40">
        <v>3435545</v>
      </c>
      <c r="CM26" s="41">
        <v>137911</v>
      </c>
      <c r="CN26" s="41">
        <v>600123</v>
      </c>
      <c r="CO26" s="41">
        <v>1005441</v>
      </c>
      <c r="CP26" s="42">
        <v>4088405</v>
      </c>
      <c r="CQ26" s="356">
        <v>3395905</v>
      </c>
      <c r="CR26" s="356">
        <v>146870</v>
      </c>
      <c r="CS26" s="41">
        <v>545630</v>
      </c>
      <c r="CT26" s="356">
        <v>940258</v>
      </c>
      <c r="CU26" s="42">
        <v>4148642</v>
      </c>
      <c r="CV26" s="356">
        <v>3437037</v>
      </c>
      <c r="CW26" s="356">
        <v>150452</v>
      </c>
      <c r="CX26" s="215">
        <f t="shared" si="74"/>
        <v>561153</v>
      </c>
      <c r="CY26" s="419">
        <v>968103</v>
      </c>
      <c r="CZ26" s="37">
        <v>4209589</v>
      </c>
      <c r="DA26" s="37">
        <v>2744453</v>
      </c>
      <c r="DB26" s="37">
        <v>156744</v>
      </c>
      <c r="DC26" s="37">
        <v>578621</v>
      </c>
      <c r="DD26" s="371">
        <v>992893</v>
      </c>
      <c r="DE26" s="37">
        <v>4274066</v>
      </c>
      <c r="DF26" s="37">
        <v>2765913</v>
      </c>
      <c r="DG26" s="1">
        <v>161401</v>
      </c>
      <c r="DH26" s="37">
        <v>594097</v>
      </c>
      <c r="DI26" s="37">
        <v>1018541</v>
      </c>
      <c r="DJ26" s="37">
        <v>4436226</v>
      </c>
      <c r="DK26" s="37">
        <v>2825371</v>
      </c>
      <c r="DL26" s="37">
        <v>172012</v>
      </c>
      <c r="DM26" s="669">
        <v>643814</v>
      </c>
      <c r="DN26" s="37">
        <v>1084292</v>
      </c>
      <c r="DO26" s="507">
        <v>4536954</v>
      </c>
      <c r="DP26" s="37">
        <v>2862388</v>
      </c>
      <c r="DQ26" s="37">
        <v>182629</v>
      </c>
      <c r="DR26" s="338">
        <v>691174</v>
      </c>
      <c r="DS26" s="37">
        <v>1122913</v>
      </c>
      <c r="DT26" s="507">
        <v>4626409</v>
      </c>
      <c r="DU26" s="37">
        <v>2904722</v>
      </c>
      <c r="DV26" s="37">
        <v>182951</v>
      </c>
      <c r="DW26" s="338">
        <v>762021</v>
      </c>
      <c r="DX26" s="37">
        <v>1153404</v>
      </c>
      <c r="DY26" s="506">
        <v>153710</v>
      </c>
      <c r="DZ26" s="506">
        <v>8919</v>
      </c>
      <c r="EA26" s="506">
        <v>175759</v>
      </c>
      <c r="EB26" s="506">
        <v>99128</v>
      </c>
      <c r="EC26" s="765">
        <v>324505</v>
      </c>
      <c r="ED26" s="542">
        <v>4711362</v>
      </c>
      <c r="EE26" s="37">
        <v>2918549</v>
      </c>
      <c r="EF26" s="28">
        <v>192907</v>
      </c>
      <c r="EG26" s="304">
        <v>718420</v>
      </c>
      <c r="EH26" s="37">
        <v>1203000</v>
      </c>
      <c r="EI26" s="542">
        <v>4840304</v>
      </c>
      <c r="EJ26" s="37"/>
      <c r="EK26" s="28"/>
      <c r="EM26" s="37"/>
      <c r="EN26" s="37">
        <v>4944540</v>
      </c>
      <c r="EO26" s="37">
        <v>3010564</v>
      </c>
      <c r="EP26" s="28">
        <v>214990</v>
      </c>
      <c r="EQ26" s="304">
        <v>727170</v>
      </c>
      <c r="ER26" s="37">
        <v>1292262</v>
      </c>
      <c r="ES26" s="37">
        <v>4980297</v>
      </c>
      <c r="ET26" s="37">
        <v>2928504</v>
      </c>
      <c r="EU26" s="28">
        <v>208771</v>
      </c>
      <c r="EV26" s="304">
        <v>1599948</v>
      </c>
      <c r="EW26" s="37">
        <v>1334427</v>
      </c>
      <c r="EX26" s="1">
        <v>178083</v>
      </c>
      <c r="EY26" s="1">
        <v>7909</v>
      </c>
      <c r="EZ26" s="1">
        <v>178658</v>
      </c>
      <c r="FA26" s="1">
        <v>815246</v>
      </c>
      <c r="FB26" s="701">
        <v>420052</v>
      </c>
    </row>
    <row r="27" spans="1:158" ht="15.6">
      <c r="A27" s="38" t="s">
        <v>27</v>
      </c>
      <c r="B27" s="8"/>
      <c r="C27" s="17"/>
      <c r="D27" s="37">
        <v>8868907</v>
      </c>
      <c r="E27" s="37">
        <v>3999765</v>
      </c>
      <c r="F27" s="37">
        <v>4221628</v>
      </c>
      <c r="G27" s="37">
        <v>332642</v>
      </c>
      <c r="H27" s="37">
        <v>314872</v>
      </c>
      <c r="I27" s="68">
        <v>10875983</v>
      </c>
      <c r="J27" s="92">
        <f t="shared" si="63"/>
        <v>9852177</v>
      </c>
      <c r="K27" s="37">
        <v>4708762</v>
      </c>
      <c r="L27" s="37">
        <v>5143415</v>
      </c>
      <c r="M27" s="92">
        <f t="shared" si="64"/>
        <v>653291</v>
      </c>
      <c r="N27" s="37">
        <v>310127</v>
      </c>
      <c r="O27" s="37">
        <v>343164</v>
      </c>
      <c r="P27" s="92">
        <f t="shared" si="65"/>
        <v>1358628</v>
      </c>
      <c r="Q27" s="37">
        <v>672504</v>
      </c>
      <c r="R27" s="37">
        <v>686124</v>
      </c>
      <c r="S27" s="68">
        <v>14043986</v>
      </c>
      <c r="T27" s="90">
        <f t="shared" si="66"/>
        <v>10221156</v>
      </c>
      <c r="U27" s="37">
        <v>4880415</v>
      </c>
      <c r="V27" s="37">
        <v>5340741</v>
      </c>
      <c r="W27" s="90">
        <f t="shared" si="67"/>
        <v>922793</v>
      </c>
      <c r="X27" s="37">
        <v>435897</v>
      </c>
      <c r="Y27" s="37">
        <v>486896</v>
      </c>
      <c r="Z27" s="90">
        <f t="shared" si="68"/>
        <v>2037978</v>
      </c>
      <c r="AA27" s="37">
        <v>1007191</v>
      </c>
      <c r="AB27" s="37">
        <v>1030787</v>
      </c>
      <c r="AC27" s="92">
        <v>834812</v>
      </c>
      <c r="AD27" s="92">
        <v>394540</v>
      </c>
      <c r="AE27" s="92">
        <v>440272</v>
      </c>
      <c r="AF27" s="68">
        <v>18695499</v>
      </c>
      <c r="AG27" s="3">
        <v>13717272</v>
      </c>
      <c r="AH27" s="55">
        <f t="shared" si="69"/>
        <v>11944913</v>
      </c>
      <c r="AI27" s="37">
        <v>5792000</v>
      </c>
      <c r="AJ27" s="37">
        <v>6152913</v>
      </c>
      <c r="AK27" s="3">
        <v>1270977</v>
      </c>
      <c r="AL27" s="55">
        <f t="shared" si="70"/>
        <v>1231759</v>
      </c>
      <c r="AM27" s="37">
        <v>589225</v>
      </c>
      <c r="AN27" s="37">
        <v>642534</v>
      </c>
      <c r="AO27" s="3">
        <v>3705112</v>
      </c>
      <c r="AP27" s="37">
        <v>1889010</v>
      </c>
      <c r="AQ27" s="37">
        <v>1816102</v>
      </c>
      <c r="AR27" s="59">
        <f t="shared" si="71"/>
        <v>1813715</v>
      </c>
      <c r="AS27" s="68">
        <v>21298900</v>
      </c>
      <c r="AT27" s="3">
        <v>13688929</v>
      </c>
      <c r="AU27" s="115">
        <v>6657686</v>
      </c>
      <c r="AV27" s="115">
        <v>7031243</v>
      </c>
      <c r="AW27" s="55">
        <f t="shared" si="72"/>
        <v>11370641</v>
      </c>
      <c r="AX27" s="37">
        <v>5516425</v>
      </c>
      <c r="AY27" s="37">
        <v>5854216</v>
      </c>
      <c r="AZ27" s="3">
        <v>1332801</v>
      </c>
      <c r="BA27" s="37">
        <v>634446</v>
      </c>
      <c r="BB27" s="37">
        <v>698355</v>
      </c>
      <c r="BC27" s="3">
        <v>5500767</v>
      </c>
      <c r="BD27" s="37">
        <v>2758151</v>
      </c>
      <c r="BE27" s="37">
        <v>2742616</v>
      </c>
      <c r="BF27" s="92">
        <v>6277170</v>
      </c>
      <c r="BG27" s="92">
        <v>3064625</v>
      </c>
      <c r="BH27" s="92">
        <v>3212545</v>
      </c>
      <c r="BI27" s="68">
        <v>23787044</v>
      </c>
      <c r="BJ27" s="37">
        <v>11599768</v>
      </c>
      <c r="BK27" s="37">
        <v>12187276</v>
      </c>
      <c r="BL27" s="37">
        <v>15389074</v>
      </c>
      <c r="BM27" s="37">
        <v>7560673</v>
      </c>
      <c r="BN27" s="37">
        <v>7828401</v>
      </c>
      <c r="BO27" s="37">
        <v>11129185</v>
      </c>
      <c r="BP27" s="37">
        <v>5463904</v>
      </c>
      <c r="BQ27" s="37">
        <v>5665281</v>
      </c>
      <c r="BR27" s="37">
        <v>1419037</v>
      </c>
      <c r="BS27" s="37">
        <v>684549</v>
      </c>
      <c r="BT27" s="37">
        <v>734488</v>
      </c>
      <c r="BU27" s="37">
        <v>7330114</v>
      </c>
      <c r="BV27" s="37">
        <v>3650830</v>
      </c>
      <c r="BW27" s="37">
        <v>3679284</v>
      </c>
      <c r="BX27" s="92">
        <f t="shared" si="73"/>
        <v>6978933</v>
      </c>
      <c r="BY27" s="37">
        <v>3354546</v>
      </c>
      <c r="BZ27" s="37">
        <v>3624387</v>
      </c>
      <c r="CA27" s="125">
        <v>23080916</v>
      </c>
      <c r="CB27" s="38">
        <v>11261530</v>
      </c>
      <c r="CC27" s="37">
        <v>1377559</v>
      </c>
      <c r="CD27" s="37">
        <v>7095722</v>
      </c>
      <c r="CE27" s="37">
        <v>6868669</v>
      </c>
      <c r="CF27" s="68">
        <v>23237728</v>
      </c>
      <c r="CG27" s="3">
        <v>14804637</v>
      </c>
      <c r="CH27" s="37">
        <v>1379843</v>
      </c>
      <c r="CI27" s="37">
        <v>7053248</v>
      </c>
      <c r="CJ27" s="37">
        <v>7013562</v>
      </c>
      <c r="CK27" s="42">
        <v>23476329</v>
      </c>
      <c r="CL27" s="40">
        <v>15110977</v>
      </c>
      <c r="CM27" s="41">
        <v>1403127</v>
      </c>
      <c r="CN27" s="41">
        <v>6962225</v>
      </c>
      <c r="CO27" s="41">
        <v>7113211</v>
      </c>
      <c r="CP27" s="42">
        <v>23787044</v>
      </c>
      <c r="CQ27" s="356">
        <v>15389074</v>
      </c>
      <c r="CR27" s="356">
        <v>1419037</v>
      </c>
      <c r="CS27" s="41">
        <v>6978933</v>
      </c>
      <c r="CT27" s="356">
        <v>7330114</v>
      </c>
      <c r="CU27" s="42">
        <v>24114270</v>
      </c>
      <c r="CV27" s="356">
        <v>15646284</v>
      </c>
      <c r="CW27" s="356">
        <v>1428304</v>
      </c>
      <c r="CX27" s="215">
        <f t="shared" si="74"/>
        <v>7039682</v>
      </c>
      <c r="CY27" s="419">
        <v>7543298</v>
      </c>
      <c r="CZ27" s="37">
        <v>24444584</v>
      </c>
      <c r="DA27" s="37">
        <v>11159512</v>
      </c>
      <c r="DB27" s="37">
        <v>1443480</v>
      </c>
      <c r="DC27" s="37">
        <v>7143542</v>
      </c>
      <c r="DD27" s="371">
        <v>7723658</v>
      </c>
      <c r="DE27" s="37">
        <v>24793022</v>
      </c>
      <c r="DF27" s="37">
        <v>11191206</v>
      </c>
      <c r="DG27" s="1">
        <v>1458151</v>
      </c>
      <c r="DH27" s="37">
        <v>7316982</v>
      </c>
      <c r="DI27" s="37">
        <v>7910127</v>
      </c>
      <c r="DJ27" s="37">
        <v>25654292</v>
      </c>
      <c r="DK27" s="37">
        <v>11250601</v>
      </c>
      <c r="DL27" s="37">
        <v>1484683</v>
      </c>
      <c r="DM27" s="669">
        <v>7884005</v>
      </c>
      <c r="DN27" s="37">
        <v>8356891</v>
      </c>
      <c r="DO27" s="507">
        <v>26085263</v>
      </c>
      <c r="DP27" s="37">
        <v>11281942</v>
      </c>
      <c r="DQ27" s="37">
        <v>1520866</v>
      </c>
      <c r="DR27" s="338">
        <v>8172674</v>
      </c>
      <c r="DS27" s="37">
        <v>8573223</v>
      </c>
      <c r="DT27" s="507">
        <v>26304241</v>
      </c>
      <c r="DU27" s="37">
        <v>11269651</v>
      </c>
      <c r="DV27" s="37">
        <v>1523493</v>
      </c>
      <c r="DW27" s="338">
        <v>8505733</v>
      </c>
      <c r="DX27" s="37">
        <v>8703787</v>
      </c>
      <c r="DY27" s="506">
        <v>4086920</v>
      </c>
      <c r="DZ27" s="506">
        <v>99235</v>
      </c>
      <c r="EA27" s="506">
        <v>188079</v>
      </c>
      <c r="EB27" s="506">
        <v>839888</v>
      </c>
      <c r="EC27" s="765">
        <v>3291611</v>
      </c>
      <c r="ED27" s="542">
        <v>26679273</v>
      </c>
      <c r="EE27" s="37">
        <v>11228631</v>
      </c>
      <c r="EF27" s="28">
        <v>1553323</v>
      </c>
      <c r="EG27" s="304">
        <v>8920098</v>
      </c>
      <c r="EH27" s="37">
        <v>8921445</v>
      </c>
      <c r="EI27" s="542">
        <v>26815644</v>
      </c>
      <c r="EJ27" s="37"/>
      <c r="EK27" s="28"/>
      <c r="EM27" s="37"/>
      <c r="EN27" s="37">
        <v>26937872</v>
      </c>
      <c r="EO27" s="37">
        <v>11075547</v>
      </c>
      <c r="EP27" s="28">
        <v>1573950</v>
      </c>
      <c r="EQ27" s="304">
        <v>8902893</v>
      </c>
      <c r="ER27" s="37">
        <v>9150608</v>
      </c>
      <c r="ES27" s="37">
        <v>26909869</v>
      </c>
      <c r="ET27" s="37">
        <v>10453713</v>
      </c>
      <c r="EU27" s="28">
        <v>1505960</v>
      </c>
      <c r="EV27" s="304">
        <v>13829711</v>
      </c>
      <c r="EW27" s="37">
        <v>9429445</v>
      </c>
      <c r="EX27" s="1">
        <v>4422975</v>
      </c>
      <c r="EY27" s="1">
        <v>103728</v>
      </c>
      <c r="EZ27" s="1">
        <v>350411</v>
      </c>
      <c r="FA27" s="1">
        <v>4291796</v>
      </c>
      <c r="FB27" s="701">
        <v>4660801</v>
      </c>
    </row>
    <row r="28" spans="1:158" ht="15.6">
      <c r="A28" s="38" t="s">
        <v>28</v>
      </c>
      <c r="B28" s="8"/>
      <c r="C28" s="17"/>
      <c r="D28" s="37">
        <v>940803</v>
      </c>
      <c r="E28" s="37">
        <v>444457</v>
      </c>
      <c r="F28" s="37">
        <v>469510</v>
      </c>
      <c r="G28" s="37">
        <v>13320</v>
      </c>
      <c r="H28" s="37">
        <v>13516</v>
      </c>
      <c r="I28" s="68">
        <v>1141138</v>
      </c>
      <c r="J28" s="92">
        <f t="shared" si="63"/>
        <v>1101250</v>
      </c>
      <c r="K28" s="37">
        <v>527701</v>
      </c>
      <c r="L28" s="37">
        <v>573549</v>
      </c>
      <c r="M28" s="92">
        <f t="shared" si="64"/>
        <v>28972</v>
      </c>
      <c r="N28" s="37">
        <v>14137</v>
      </c>
      <c r="O28" s="37">
        <v>14835</v>
      </c>
      <c r="P28" s="92">
        <f t="shared" si="65"/>
        <v>114987</v>
      </c>
      <c r="Q28" s="37">
        <v>57479</v>
      </c>
      <c r="R28" s="37">
        <v>57508</v>
      </c>
      <c r="S28" s="68">
        <v>1663891</v>
      </c>
      <c r="T28" s="90">
        <f t="shared" si="66"/>
        <v>1433613</v>
      </c>
      <c r="U28" s="37">
        <v>693874</v>
      </c>
      <c r="V28" s="37">
        <v>739739</v>
      </c>
      <c r="W28" s="90">
        <f t="shared" si="67"/>
        <v>48437</v>
      </c>
      <c r="X28" s="37">
        <v>24382</v>
      </c>
      <c r="Y28" s="37">
        <v>24055</v>
      </c>
      <c r="Z28" s="90">
        <f t="shared" si="68"/>
        <v>153534</v>
      </c>
      <c r="AA28" s="37">
        <v>76257</v>
      </c>
      <c r="AB28" s="37">
        <v>77277</v>
      </c>
      <c r="AC28" s="92">
        <v>26362</v>
      </c>
      <c r="AD28" s="92">
        <v>11896</v>
      </c>
      <c r="AE28" s="92">
        <v>14466</v>
      </c>
      <c r="AF28" s="68">
        <v>2107072</v>
      </c>
      <c r="AG28" s="3">
        <v>1898760</v>
      </c>
      <c r="AH28" s="55">
        <f t="shared" si="69"/>
        <v>1769702</v>
      </c>
      <c r="AI28" s="37">
        <v>855265</v>
      </c>
      <c r="AJ28" s="37">
        <v>914437</v>
      </c>
      <c r="AK28" s="3">
        <v>73691</v>
      </c>
      <c r="AL28" s="55">
        <f t="shared" si="70"/>
        <v>72134</v>
      </c>
      <c r="AM28" s="37">
        <v>36626</v>
      </c>
      <c r="AN28" s="37">
        <v>35508</v>
      </c>
      <c r="AO28" s="3">
        <v>217920</v>
      </c>
      <c r="AP28" s="37">
        <v>107640</v>
      </c>
      <c r="AQ28" s="37">
        <v>110280</v>
      </c>
      <c r="AR28" s="59">
        <f t="shared" si="71"/>
        <v>47316</v>
      </c>
      <c r="AS28" s="68">
        <v>2776632</v>
      </c>
      <c r="AT28" s="3">
        <v>2381655</v>
      </c>
      <c r="AU28" s="115">
        <v>1173214</v>
      </c>
      <c r="AV28" s="115">
        <v>1208441</v>
      </c>
      <c r="AW28" s="55">
        <f t="shared" si="72"/>
        <v>2187493</v>
      </c>
      <c r="AX28" s="37">
        <v>1073108</v>
      </c>
      <c r="AY28" s="37">
        <v>1114385</v>
      </c>
      <c r="AZ28" s="3">
        <v>94854</v>
      </c>
      <c r="BA28" s="37">
        <v>50558</v>
      </c>
      <c r="BB28" s="37">
        <v>44296</v>
      </c>
      <c r="BC28" s="3">
        <v>376826</v>
      </c>
      <c r="BD28" s="37">
        <v>195066</v>
      </c>
      <c r="BE28" s="37">
        <v>181760</v>
      </c>
      <c r="BF28" s="92">
        <v>300123</v>
      </c>
      <c r="BG28" s="92">
        <v>150988</v>
      </c>
      <c r="BH28" s="92">
        <v>149135</v>
      </c>
      <c r="BI28" s="68">
        <v>3268020</v>
      </c>
      <c r="BJ28" s="37">
        <v>1613852</v>
      </c>
      <c r="BK28" s="37">
        <v>1654168</v>
      </c>
      <c r="BL28" s="37">
        <v>2825203</v>
      </c>
      <c r="BM28" s="37">
        <v>1391972</v>
      </c>
      <c r="BN28" s="37">
        <v>1433231</v>
      </c>
      <c r="BO28" s="37">
        <v>2463280</v>
      </c>
      <c r="BP28" s="37">
        <v>1209293</v>
      </c>
      <c r="BQ28" s="37">
        <v>1253987</v>
      </c>
      <c r="BR28" s="37">
        <v>119615</v>
      </c>
      <c r="BS28" s="37">
        <v>63599</v>
      </c>
      <c r="BT28" s="37">
        <v>56016</v>
      </c>
      <c r="BU28" s="37">
        <v>531194</v>
      </c>
      <c r="BV28" s="37">
        <v>269973</v>
      </c>
      <c r="BW28" s="37">
        <v>261221</v>
      </c>
      <c r="BX28" s="92">
        <f t="shared" si="73"/>
        <v>323202</v>
      </c>
      <c r="BY28" s="37">
        <v>158281</v>
      </c>
      <c r="BZ28" s="37">
        <v>164921</v>
      </c>
      <c r="CA28" s="125">
        <v>3130207</v>
      </c>
      <c r="CB28" s="38">
        <v>2377012</v>
      </c>
      <c r="CC28" s="37">
        <v>108488</v>
      </c>
      <c r="CD28" s="37">
        <v>344917</v>
      </c>
      <c r="CE28" s="37">
        <v>504561</v>
      </c>
      <c r="CF28" s="68">
        <v>3189198</v>
      </c>
      <c r="CG28" s="3">
        <v>2741772</v>
      </c>
      <c r="CH28" s="37">
        <v>111655</v>
      </c>
      <c r="CI28" s="37">
        <v>335771</v>
      </c>
      <c r="CJ28" s="37">
        <v>520090</v>
      </c>
      <c r="CK28" s="42">
        <v>3225460</v>
      </c>
      <c r="CL28" s="40">
        <v>2795144</v>
      </c>
      <c r="CM28" s="41">
        <v>113739</v>
      </c>
      <c r="CN28" s="41">
        <v>316577</v>
      </c>
      <c r="CO28" s="41">
        <v>518603</v>
      </c>
      <c r="CP28" s="42">
        <v>3268020</v>
      </c>
      <c r="CQ28" s="356">
        <v>2825203</v>
      </c>
      <c r="CR28" s="356">
        <v>119615</v>
      </c>
      <c r="CS28" s="41">
        <v>323202</v>
      </c>
      <c r="CT28" s="356">
        <v>531194</v>
      </c>
      <c r="CU28" s="42">
        <v>3328695</v>
      </c>
      <c r="CV28" s="356">
        <v>2876798</v>
      </c>
      <c r="CW28" s="356">
        <v>123600</v>
      </c>
      <c r="CX28" s="215">
        <f t="shared" si="74"/>
        <v>328297</v>
      </c>
      <c r="CY28" s="419">
        <v>546982</v>
      </c>
      <c r="CZ28" s="37">
        <v>3388423</v>
      </c>
      <c r="DA28" s="37">
        <v>2536862</v>
      </c>
      <c r="DB28" s="37">
        <v>126669</v>
      </c>
      <c r="DC28" s="37">
        <v>333745</v>
      </c>
      <c r="DD28" s="371">
        <v>562518</v>
      </c>
      <c r="DE28" s="37">
        <v>3449352</v>
      </c>
      <c r="DF28" s="37">
        <v>2575773</v>
      </c>
      <c r="DG28" s="1">
        <v>129815</v>
      </c>
      <c r="DH28" s="37">
        <v>334050</v>
      </c>
      <c r="DI28" s="37">
        <v>575033</v>
      </c>
      <c r="DJ28" s="37">
        <v>3584463</v>
      </c>
      <c r="DK28" s="37">
        <v>2653095</v>
      </c>
      <c r="DL28" s="37">
        <v>133513</v>
      </c>
      <c r="DM28" s="669">
        <v>343772</v>
      </c>
      <c r="DN28" s="37">
        <v>611256</v>
      </c>
      <c r="DO28" s="507">
        <v>3671853</v>
      </c>
      <c r="DP28" s="37">
        <v>2704318</v>
      </c>
      <c r="DQ28" s="37">
        <v>141755</v>
      </c>
      <c r="DR28" s="338">
        <v>348963</v>
      </c>
      <c r="DS28" s="37">
        <v>633161</v>
      </c>
      <c r="DT28" s="507">
        <v>3745506</v>
      </c>
      <c r="DU28" s="37">
        <v>2755399</v>
      </c>
      <c r="DV28" s="37">
        <v>145505</v>
      </c>
      <c r="DW28" s="338">
        <v>371032</v>
      </c>
      <c r="DX28" s="37">
        <v>646809</v>
      </c>
      <c r="DY28" s="506">
        <v>118963</v>
      </c>
      <c r="DZ28" s="506">
        <v>5019</v>
      </c>
      <c r="EA28" s="506">
        <v>35063</v>
      </c>
      <c r="EB28" s="506">
        <v>78818</v>
      </c>
      <c r="EC28" s="765">
        <v>133169</v>
      </c>
      <c r="ED28" s="542">
        <v>3822068</v>
      </c>
      <c r="EE28" s="37">
        <v>2796851</v>
      </c>
      <c r="EF28" s="28">
        <v>146066</v>
      </c>
      <c r="EG28" s="304">
        <v>378339</v>
      </c>
      <c r="EH28" s="37">
        <v>670114</v>
      </c>
      <c r="EI28" s="542">
        <v>3900287</v>
      </c>
      <c r="EJ28" s="37"/>
      <c r="EK28" s="28"/>
      <c r="EM28" s="37"/>
      <c r="EN28" s="37">
        <v>3974943</v>
      </c>
      <c r="EO28" s="37">
        <v>2877914</v>
      </c>
      <c r="EP28" s="28">
        <v>155881</v>
      </c>
      <c r="EQ28" s="304">
        <v>407035</v>
      </c>
      <c r="ER28" s="37">
        <v>712267</v>
      </c>
      <c r="ES28" s="37">
        <v>4044182</v>
      </c>
      <c r="ET28" s="37">
        <v>2831329</v>
      </c>
      <c r="EU28" s="28">
        <v>149317</v>
      </c>
      <c r="EV28" s="304">
        <v>895399</v>
      </c>
      <c r="EW28" s="37">
        <v>742970</v>
      </c>
      <c r="EX28" s="1">
        <v>135441</v>
      </c>
      <c r="EY28" s="1">
        <v>5208</v>
      </c>
      <c r="EZ28" s="1">
        <v>41735</v>
      </c>
      <c r="FA28" s="1">
        <v>485465</v>
      </c>
      <c r="FB28" s="701">
        <v>227550</v>
      </c>
    </row>
    <row r="29" spans="1:158" ht="15.6">
      <c r="A29" s="38" t="s">
        <v>29</v>
      </c>
      <c r="B29" s="8"/>
      <c r="C29" s="17"/>
      <c r="D29" s="37">
        <v>308910</v>
      </c>
      <c r="E29" s="37">
        <v>51259</v>
      </c>
      <c r="F29" s="37">
        <v>44496</v>
      </c>
      <c r="G29" s="37">
        <v>113622</v>
      </c>
      <c r="H29" s="37">
        <v>99533</v>
      </c>
      <c r="I29" s="68">
        <v>384843</v>
      </c>
      <c r="J29" s="92">
        <f t="shared" si="63"/>
        <v>139520</v>
      </c>
      <c r="K29" s="37">
        <v>72392</v>
      </c>
      <c r="L29" s="37">
        <v>67128</v>
      </c>
      <c r="M29" s="92">
        <f t="shared" si="64"/>
        <v>2577</v>
      </c>
      <c r="N29" s="37">
        <v>1644</v>
      </c>
      <c r="O29" s="37">
        <v>933</v>
      </c>
      <c r="P29" s="92">
        <f t="shared" si="65"/>
        <v>9751</v>
      </c>
      <c r="Q29" s="37">
        <v>5027</v>
      </c>
      <c r="R29" s="37">
        <v>4724</v>
      </c>
      <c r="S29" s="68">
        <v>547608</v>
      </c>
      <c r="T29" s="90">
        <f t="shared" si="66"/>
        <v>178250</v>
      </c>
      <c r="U29" s="37">
        <v>93202</v>
      </c>
      <c r="V29" s="37">
        <v>85048</v>
      </c>
      <c r="W29" s="90">
        <f t="shared" si="67"/>
        <v>6100</v>
      </c>
      <c r="X29" s="37">
        <v>4025</v>
      </c>
      <c r="Y29" s="37">
        <v>2075</v>
      </c>
      <c r="Z29" s="90">
        <f t="shared" si="68"/>
        <v>29994</v>
      </c>
      <c r="AA29" s="37">
        <v>15121</v>
      </c>
      <c r="AB29" s="37">
        <v>14873</v>
      </c>
      <c r="AC29" s="92">
        <v>330834</v>
      </c>
      <c r="AD29" s="92">
        <v>160387</v>
      </c>
      <c r="AE29" s="92">
        <v>170447</v>
      </c>
      <c r="AF29" s="68">
        <v>709820</v>
      </c>
      <c r="AG29" s="3">
        <v>242654</v>
      </c>
      <c r="AH29" s="55">
        <f t="shared" si="69"/>
        <v>231390</v>
      </c>
      <c r="AI29" s="37">
        <v>122777</v>
      </c>
      <c r="AJ29" s="37">
        <v>108613</v>
      </c>
      <c r="AK29" s="3">
        <v>12478</v>
      </c>
      <c r="AL29" s="55">
        <f t="shared" si="70"/>
        <v>12069</v>
      </c>
      <c r="AM29" s="37">
        <v>7478</v>
      </c>
      <c r="AN29" s="37">
        <v>4591</v>
      </c>
      <c r="AO29" s="3">
        <v>38338</v>
      </c>
      <c r="AP29" s="37">
        <v>19663</v>
      </c>
      <c r="AQ29" s="37">
        <v>18675</v>
      </c>
      <c r="AR29" s="59">
        <f t="shared" si="71"/>
        <v>428023</v>
      </c>
      <c r="AS29" s="68">
        <v>802477</v>
      </c>
      <c r="AT29" s="3">
        <v>216549</v>
      </c>
      <c r="AU29" s="115">
        <v>115205</v>
      </c>
      <c r="AV29" s="115">
        <v>101344</v>
      </c>
      <c r="AW29" s="55">
        <f t="shared" si="72"/>
        <v>206820</v>
      </c>
      <c r="AX29" s="37">
        <v>110067</v>
      </c>
      <c r="AY29" s="37">
        <v>96753</v>
      </c>
      <c r="AZ29" s="3">
        <v>12119</v>
      </c>
      <c r="BA29" s="37">
        <v>7903</v>
      </c>
      <c r="BB29" s="37">
        <v>4216</v>
      </c>
      <c r="BC29" s="3">
        <v>40951</v>
      </c>
      <c r="BD29" s="37">
        <v>19786</v>
      </c>
      <c r="BE29" s="37">
        <v>21165</v>
      </c>
      <c r="BF29" s="92">
        <v>573809</v>
      </c>
      <c r="BG29" s="92">
        <v>271472</v>
      </c>
      <c r="BH29" s="92">
        <v>302337</v>
      </c>
      <c r="BI29" s="68">
        <v>916380</v>
      </c>
      <c r="BJ29" s="37">
        <v>450011</v>
      </c>
      <c r="BK29" s="37">
        <v>466369</v>
      </c>
      <c r="BL29" s="37">
        <v>253954</v>
      </c>
      <c r="BM29" s="37">
        <v>136132</v>
      </c>
      <c r="BN29" s="37">
        <v>117822</v>
      </c>
      <c r="BO29" s="37">
        <v>236780</v>
      </c>
      <c r="BP29" s="37">
        <v>127323</v>
      </c>
      <c r="BQ29" s="37">
        <v>109457</v>
      </c>
      <c r="BR29" s="37">
        <v>12977</v>
      </c>
      <c r="BS29" s="37">
        <v>8241</v>
      </c>
      <c r="BT29" s="37">
        <v>4736</v>
      </c>
      <c r="BU29" s="37">
        <v>59344</v>
      </c>
      <c r="BV29" s="37">
        <v>29361</v>
      </c>
      <c r="BW29" s="37">
        <v>29983</v>
      </c>
      <c r="BX29" s="92">
        <f t="shared" si="73"/>
        <v>649449</v>
      </c>
      <c r="BY29" s="37">
        <v>305638</v>
      </c>
      <c r="BZ29" s="37">
        <v>343811</v>
      </c>
      <c r="CA29" s="125">
        <v>867609</v>
      </c>
      <c r="CB29" s="38">
        <v>230025</v>
      </c>
      <c r="CC29" s="37">
        <v>16726</v>
      </c>
      <c r="CD29" s="37">
        <v>605587</v>
      </c>
      <c r="CE29" s="37">
        <v>52040</v>
      </c>
      <c r="CF29" s="68">
        <v>868474</v>
      </c>
      <c r="CG29" s="3">
        <v>248060</v>
      </c>
      <c r="CH29" s="37">
        <v>16971</v>
      </c>
      <c r="CI29" s="37">
        <v>603443</v>
      </c>
      <c r="CJ29" s="37">
        <v>53734</v>
      </c>
      <c r="CK29" s="42">
        <v>871862</v>
      </c>
      <c r="CL29" s="40">
        <v>249766</v>
      </c>
      <c r="CM29" s="41">
        <v>16951</v>
      </c>
      <c r="CN29" s="41">
        <v>605145</v>
      </c>
      <c r="CO29" s="41">
        <v>55494</v>
      </c>
      <c r="CP29" s="42">
        <v>916380</v>
      </c>
      <c r="CQ29" s="356">
        <v>253954</v>
      </c>
      <c r="CR29" s="356">
        <v>12977</v>
      </c>
      <c r="CS29" s="41">
        <v>649449</v>
      </c>
      <c r="CT29" s="356">
        <v>59344</v>
      </c>
      <c r="CU29" s="42">
        <v>928072</v>
      </c>
      <c r="CV29" s="356">
        <v>255980</v>
      </c>
      <c r="CW29" s="356">
        <v>13943</v>
      </c>
      <c r="CX29" s="215">
        <f t="shared" si="74"/>
        <v>658149</v>
      </c>
      <c r="CY29" s="419">
        <v>61420</v>
      </c>
      <c r="CZ29" s="37">
        <v>941038</v>
      </c>
      <c r="DA29" s="37">
        <v>242041</v>
      </c>
      <c r="DB29" s="37">
        <v>14744</v>
      </c>
      <c r="DC29" s="37">
        <v>665939</v>
      </c>
      <c r="DD29" s="371">
        <v>63332</v>
      </c>
      <c r="DE29" s="37">
        <v>948912</v>
      </c>
      <c r="DF29" s="37">
        <v>244941</v>
      </c>
      <c r="DG29" s="1">
        <v>16532</v>
      </c>
      <c r="DH29" s="37">
        <v>667792</v>
      </c>
      <c r="DI29" s="37">
        <v>65703</v>
      </c>
      <c r="DJ29" s="37">
        <v>974586</v>
      </c>
      <c r="DK29" s="37">
        <v>250534</v>
      </c>
      <c r="DL29" s="37">
        <v>18940</v>
      </c>
      <c r="DM29" s="669">
        <v>682373</v>
      </c>
      <c r="DN29" s="37">
        <v>71345</v>
      </c>
      <c r="DO29" s="507">
        <v>985914</v>
      </c>
      <c r="DP29" s="37">
        <v>251708</v>
      </c>
      <c r="DQ29" s="37">
        <v>19472</v>
      </c>
      <c r="DR29" s="338">
        <v>686092</v>
      </c>
      <c r="DS29" s="37">
        <v>74545</v>
      </c>
      <c r="DT29" s="507">
        <v>990937</v>
      </c>
      <c r="DU29" s="37">
        <v>244160</v>
      </c>
      <c r="DV29" s="37">
        <v>16842</v>
      </c>
      <c r="DW29" s="338">
        <v>703879</v>
      </c>
      <c r="DX29" s="37">
        <v>73497</v>
      </c>
      <c r="DY29" s="506">
        <v>426716</v>
      </c>
      <c r="DZ29" s="506">
        <v>89184</v>
      </c>
      <c r="EA29" s="506">
        <v>0</v>
      </c>
      <c r="EB29" s="506">
        <v>180113</v>
      </c>
      <c r="EC29" s="765">
        <v>7866</v>
      </c>
      <c r="ED29" s="542">
        <v>997744</v>
      </c>
      <c r="EE29" s="37">
        <v>241798</v>
      </c>
      <c r="EF29" s="28">
        <v>15653</v>
      </c>
      <c r="EG29" s="304">
        <v>709678</v>
      </c>
      <c r="EH29" s="37">
        <v>76514</v>
      </c>
      <c r="EI29" s="542">
        <v>995589</v>
      </c>
      <c r="EJ29" s="37"/>
      <c r="EK29" s="28"/>
      <c r="EM29" s="37"/>
      <c r="EN29" s="37">
        <v>996668</v>
      </c>
      <c r="EO29" s="37">
        <v>237027</v>
      </c>
      <c r="EP29" s="28">
        <v>18397</v>
      </c>
      <c r="EQ29" s="304">
        <v>714460</v>
      </c>
      <c r="ER29" s="37">
        <v>77881</v>
      </c>
      <c r="ES29" s="37">
        <v>1021687</v>
      </c>
      <c r="ET29" s="37">
        <v>235971</v>
      </c>
      <c r="EU29" s="28">
        <v>19262</v>
      </c>
      <c r="EV29" s="304">
        <v>751907</v>
      </c>
      <c r="EW29" s="37">
        <v>83289</v>
      </c>
      <c r="EX29" s="1">
        <v>427265</v>
      </c>
      <c r="EY29" s="1">
        <v>94123</v>
      </c>
      <c r="FA29" s="1">
        <v>212008</v>
      </c>
      <c r="FB29" s="701">
        <v>18511</v>
      </c>
    </row>
    <row r="30" spans="1:158" ht="15.6">
      <c r="A30" s="38" t="s">
        <v>30</v>
      </c>
      <c r="B30" s="8"/>
      <c r="C30" s="17"/>
      <c r="D30" s="37">
        <v>340412</v>
      </c>
      <c r="E30" s="37">
        <v>169673</v>
      </c>
      <c r="F30" s="37">
        <v>166339</v>
      </c>
      <c r="G30" s="37">
        <v>2341</v>
      </c>
      <c r="H30" s="37">
        <v>2059</v>
      </c>
      <c r="I30" s="68">
        <v>368912</v>
      </c>
      <c r="J30" s="92">
        <f t="shared" si="63"/>
        <v>364078</v>
      </c>
      <c r="K30" s="37">
        <v>178889</v>
      </c>
      <c r="L30" s="37">
        <v>185189</v>
      </c>
      <c r="M30" s="92">
        <f t="shared" si="64"/>
        <v>795</v>
      </c>
      <c r="N30" s="37">
        <v>423</v>
      </c>
      <c r="O30" s="37">
        <v>372</v>
      </c>
      <c r="P30" s="92">
        <f t="shared" si="65"/>
        <v>6695</v>
      </c>
      <c r="Q30" s="37">
        <v>3545</v>
      </c>
      <c r="R30" s="37">
        <v>3150</v>
      </c>
      <c r="S30" s="68">
        <v>514365</v>
      </c>
      <c r="T30" s="90">
        <f t="shared" si="66"/>
        <v>491251</v>
      </c>
      <c r="U30" s="37">
        <v>240301</v>
      </c>
      <c r="V30" s="37">
        <v>250950</v>
      </c>
      <c r="W30" s="90">
        <f t="shared" si="67"/>
        <v>1165</v>
      </c>
      <c r="X30" s="37">
        <v>751</v>
      </c>
      <c r="Y30" s="37">
        <v>414</v>
      </c>
      <c r="Z30" s="90">
        <f t="shared" si="68"/>
        <v>13810</v>
      </c>
      <c r="AA30" s="37">
        <v>7913</v>
      </c>
      <c r="AB30" s="37">
        <v>5897</v>
      </c>
      <c r="AC30" s="92">
        <v>7885</v>
      </c>
      <c r="AD30" s="92">
        <v>3751</v>
      </c>
      <c r="AE30" s="92">
        <v>4134</v>
      </c>
      <c r="AF30" s="68">
        <v>601292</v>
      </c>
      <c r="AG30" s="3">
        <v>574433</v>
      </c>
      <c r="AH30" s="55">
        <f t="shared" si="69"/>
        <v>565114</v>
      </c>
      <c r="AI30" s="37">
        <v>273863</v>
      </c>
      <c r="AJ30" s="37">
        <v>291251</v>
      </c>
      <c r="AK30" s="3">
        <v>1730</v>
      </c>
      <c r="AL30" s="55">
        <f t="shared" si="70"/>
        <v>1678</v>
      </c>
      <c r="AM30" s="37">
        <v>1041</v>
      </c>
      <c r="AN30" s="37">
        <v>637</v>
      </c>
      <c r="AO30" s="3">
        <v>22295</v>
      </c>
      <c r="AP30" s="37">
        <v>12596</v>
      </c>
      <c r="AQ30" s="37">
        <v>9699</v>
      </c>
      <c r="AR30" s="59">
        <f t="shared" si="71"/>
        <v>12205</v>
      </c>
      <c r="AS30" s="68">
        <v>787505</v>
      </c>
      <c r="AT30" s="3">
        <v>730725</v>
      </c>
      <c r="AU30" s="115">
        <v>358833</v>
      </c>
      <c r="AV30" s="115">
        <v>371892</v>
      </c>
      <c r="AW30" s="55">
        <f t="shared" si="72"/>
        <v>713381</v>
      </c>
      <c r="AX30" s="37">
        <v>349683</v>
      </c>
      <c r="AY30" s="37">
        <v>363698</v>
      </c>
      <c r="AZ30" s="3">
        <v>2664</v>
      </c>
      <c r="BA30" s="37">
        <v>1695</v>
      </c>
      <c r="BB30" s="37">
        <v>969</v>
      </c>
      <c r="BC30" s="3">
        <v>44496</v>
      </c>
      <c r="BD30" s="37">
        <v>23926</v>
      </c>
      <c r="BE30" s="37">
        <v>20570</v>
      </c>
      <c r="BF30" s="92">
        <v>54116</v>
      </c>
      <c r="BG30" s="92">
        <v>27517</v>
      </c>
      <c r="BH30" s="92">
        <v>26599</v>
      </c>
      <c r="BI30" s="68">
        <v>972106</v>
      </c>
      <c r="BJ30" s="37">
        <v>479623</v>
      </c>
      <c r="BK30" s="37">
        <v>492483</v>
      </c>
      <c r="BL30" s="37">
        <v>912016</v>
      </c>
      <c r="BM30" s="37">
        <v>450550</v>
      </c>
      <c r="BN30" s="37">
        <v>461466</v>
      </c>
      <c r="BO30" s="37">
        <v>855563</v>
      </c>
      <c r="BP30" s="37">
        <v>420981</v>
      </c>
      <c r="BQ30" s="37">
        <v>434582</v>
      </c>
      <c r="BR30" s="37">
        <v>4394</v>
      </c>
      <c r="BS30" s="37">
        <v>2668</v>
      </c>
      <c r="BT30" s="37">
        <v>1726</v>
      </c>
      <c r="BU30" s="37">
        <v>77125</v>
      </c>
      <c r="BV30" s="37">
        <v>40627</v>
      </c>
      <c r="BW30" s="37">
        <v>36498</v>
      </c>
      <c r="BX30" s="92">
        <f t="shared" si="73"/>
        <v>55696</v>
      </c>
      <c r="BY30" s="37">
        <v>26405</v>
      </c>
      <c r="BZ30" s="37">
        <v>29291</v>
      </c>
      <c r="CA30" s="125">
        <v>917853</v>
      </c>
      <c r="CB30" s="38">
        <v>816662</v>
      </c>
      <c r="CC30" s="37">
        <v>3822</v>
      </c>
      <c r="CD30" s="37">
        <v>54474</v>
      </c>
      <c r="CE30" s="37">
        <v>65955</v>
      </c>
      <c r="CF30" s="68">
        <v>939967</v>
      </c>
      <c r="CG30" s="3">
        <v>883457</v>
      </c>
      <c r="CH30" s="37">
        <v>4039</v>
      </c>
      <c r="CI30" s="37">
        <v>52471</v>
      </c>
      <c r="CJ30" s="37">
        <v>69156</v>
      </c>
      <c r="CK30" s="42">
        <v>948694</v>
      </c>
      <c r="CL30" s="40">
        <v>891943</v>
      </c>
      <c r="CM30" s="41">
        <v>3989</v>
      </c>
      <c r="CN30" s="41">
        <v>52762</v>
      </c>
      <c r="CO30" s="41">
        <v>72541</v>
      </c>
      <c r="CP30" s="42">
        <v>972106</v>
      </c>
      <c r="CQ30" s="356">
        <v>912016</v>
      </c>
      <c r="CR30" s="356">
        <v>4394</v>
      </c>
      <c r="CS30" s="41">
        <v>55696</v>
      </c>
      <c r="CT30" s="356">
        <v>77125</v>
      </c>
      <c r="CU30" s="42">
        <v>986017</v>
      </c>
      <c r="CV30" s="356">
        <v>924890</v>
      </c>
      <c r="CX30" s="215">
        <f t="shared" si="74"/>
        <v>61127</v>
      </c>
      <c r="CY30" s="420">
        <v>80721</v>
      </c>
      <c r="CZ30" s="37">
        <v>999548</v>
      </c>
      <c r="DA30" s="37">
        <v>874650</v>
      </c>
      <c r="DB30" s="37">
        <v>4456</v>
      </c>
      <c r="DC30" s="37">
        <v>58398</v>
      </c>
      <c r="DD30" s="371">
        <v>84021</v>
      </c>
      <c r="DE30" s="37">
        <v>1014097</v>
      </c>
      <c r="DF30" s="37">
        <v>884001</v>
      </c>
      <c r="DG30" s="1">
        <v>4482</v>
      </c>
      <c r="DH30" s="37">
        <v>62656</v>
      </c>
      <c r="DI30" s="37">
        <v>87007</v>
      </c>
      <c r="DJ30" s="37">
        <v>1045193</v>
      </c>
      <c r="DK30" s="37">
        <v>906691</v>
      </c>
      <c r="DL30" s="37">
        <v>4155</v>
      </c>
      <c r="DM30" s="669">
        <v>62480</v>
      </c>
      <c r="DN30" s="37">
        <v>93318</v>
      </c>
      <c r="DO30" s="507">
        <v>1065982</v>
      </c>
      <c r="DP30" s="37">
        <v>921431</v>
      </c>
      <c r="DQ30" s="37"/>
      <c r="DR30" s="338">
        <v>70019</v>
      </c>
      <c r="DS30" s="37">
        <v>94680</v>
      </c>
      <c r="DT30" s="507">
        <v>1087265</v>
      </c>
      <c r="DU30" s="37">
        <v>938873</v>
      </c>
      <c r="DV30" s="37"/>
      <c r="DW30" s="338">
        <v>80242</v>
      </c>
      <c r="DX30" s="37">
        <v>99188</v>
      </c>
      <c r="DY30" s="506">
        <v>15651</v>
      </c>
      <c r="DZ30" s="506">
        <v>0</v>
      </c>
      <c r="EA30" s="506">
        <v>15720</v>
      </c>
      <c r="EB30" s="506">
        <v>18274</v>
      </c>
      <c r="EC30" s="765">
        <v>30597</v>
      </c>
      <c r="ED30" s="542">
        <v>1111788</v>
      </c>
      <c r="EE30" s="37">
        <v>954238</v>
      </c>
      <c r="EF30" s="28">
        <v>0</v>
      </c>
      <c r="EG30" s="304">
        <v>81236</v>
      </c>
      <c r="EH30" s="37">
        <v>104078</v>
      </c>
      <c r="EI30" s="542">
        <v>1143747</v>
      </c>
      <c r="EJ30" s="37"/>
      <c r="EK30" s="28"/>
      <c r="EM30" s="37"/>
      <c r="EN30" s="37">
        <v>1170997</v>
      </c>
      <c r="EO30" s="37">
        <v>998524</v>
      </c>
      <c r="EP30" s="28"/>
      <c r="EQ30" s="304">
        <v>96995</v>
      </c>
      <c r="ER30" s="37">
        <v>115826</v>
      </c>
      <c r="ES30" s="37">
        <v>1257566</v>
      </c>
      <c r="ET30" s="37">
        <v>1031784</v>
      </c>
      <c r="EU30" s="28">
        <v>6998</v>
      </c>
      <c r="EV30" s="304">
        <v>195340</v>
      </c>
      <c r="EW30" s="37">
        <v>131533</v>
      </c>
      <c r="EX30" s="1">
        <v>18322</v>
      </c>
      <c r="EZ30" s="1">
        <v>13404</v>
      </c>
      <c r="FA30" s="1">
        <v>100568</v>
      </c>
      <c r="FB30" s="701">
        <v>63046</v>
      </c>
    </row>
    <row r="31" spans="1:158" ht="15.6">
      <c r="A31" s="38" t="s">
        <v>31</v>
      </c>
      <c r="B31" s="8"/>
      <c r="C31" s="17"/>
      <c r="D31" s="37">
        <v>356087</v>
      </c>
      <c r="E31" s="37">
        <v>177045</v>
      </c>
      <c r="F31" s="37">
        <v>169626</v>
      </c>
      <c r="G31" s="37">
        <v>4836</v>
      </c>
      <c r="H31" s="37">
        <v>4580</v>
      </c>
      <c r="I31" s="68">
        <v>364508</v>
      </c>
      <c r="J31" s="92">
        <f t="shared" si="63"/>
        <v>353377</v>
      </c>
      <c r="K31" s="37">
        <v>174600</v>
      </c>
      <c r="L31" s="37">
        <v>178777</v>
      </c>
      <c r="M31" s="92">
        <f t="shared" si="64"/>
        <v>630</v>
      </c>
      <c r="N31" s="37">
        <v>386</v>
      </c>
      <c r="O31" s="37">
        <v>244</v>
      </c>
      <c r="P31" s="92">
        <f t="shared" si="65"/>
        <v>3111</v>
      </c>
      <c r="Q31" s="37">
        <v>1644</v>
      </c>
      <c r="R31" s="37">
        <v>1467</v>
      </c>
      <c r="S31" s="68">
        <v>450862</v>
      </c>
      <c r="T31" s="90">
        <f t="shared" si="66"/>
        <v>429252</v>
      </c>
      <c r="U31" s="37">
        <v>210603</v>
      </c>
      <c r="V31" s="37">
        <v>218649</v>
      </c>
      <c r="W31" s="90">
        <f t="shared" si="67"/>
        <v>726</v>
      </c>
      <c r="X31" s="37">
        <v>503</v>
      </c>
      <c r="Y31" s="37">
        <v>223</v>
      </c>
      <c r="Z31" s="90">
        <f t="shared" si="68"/>
        <v>3979</v>
      </c>
      <c r="AA31" s="37">
        <v>1970</v>
      </c>
      <c r="AB31" s="37">
        <v>2009</v>
      </c>
      <c r="AC31" s="92">
        <v>16753</v>
      </c>
      <c r="AD31" s="92">
        <v>7793</v>
      </c>
      <c r="AE31" s="92">
        <v>8960</v>
      </c>
      <c r="AF31" s="68">
        <v>507851</v>
      </c>
      <c r="AG31" s="3">
        <v>480126</v>
      </c>
      <c r="AH31" s="55">
        <f t="shared" si="69"/>
        <v>476873</v>
      </c>
      <c r="AI31" s="37">
        <v>231432</v>
      </c>
      <c r="AJ31" s="37">
        <v>245441</v>
      </c>
      <c r="AK31" s="3">
        <v>986</v>
      </c>
      <c r="AL31" s="55">
        <f t="shared" si="70"/>
        <v>945</v>
      </c>
      <c r="AM31" s="37">
        <v>591</v>
      </c>
      <c r="AN31" s="37">
        <v>354</v>
      </c>
      <c r="AO31" s="3">
        <v>5425</v>
      </c>
      <c r="AP31" s="37">
        <v>2615</v>
      </c>
      <c r="AQ31" s="37">
        <v>2810</v>
      </c>
      <c r="AR31" s="59">
        <f t="shared" si="71"/>
        <v>24608</v>
      </c>
      <c r="AS31" s="68">
        <v>586621</v>
      </c>
      <c r="AT31" s="3">
        <v>545199</v>
      </c>
      <c r="AU31" s="115">
        <v>266760</v>
      </c>
      <c r="AV31" s="115">
        <v>278439</v>
      </c>
      <c r="AW31" s="55">
        <f t="shared" si="72"/>
        <v>540232</v>
      </c>
      <c r="AX31" s="37">
        <v>264456</v>
      </c>
      <c r="AY31" s="37">
        <v>275776</v>
      </c>
      <c r="AZ31" s="3">
        <v>1130</v>
      </c>
      <c r="BA31" s="37">
        <v>709</v>
      </c>
      <c r="BB31" s="37">
        <v>421</v>
      </c>
      <c r="BC31" s="3">
        <v>8612</v>
      </c>
      <c r="BD31" s="37">
        <v>4056</v>
      </c>
      <c r="BE31" s="37">
        <v>4556</v>
      </c>
      <c r="BF31" s="92">
        <v>40292</v>
      </c>
      <c r="BG31" s="92">
        <v>18984</v>
      </c>
      <c r="BH31" s="92">
        <v>21308</v>
      </c>
      <c r="BI31" s="68">
        <v>664198</v>
      </c>
      <c r="BJ31" s="37">
        <v>328050</v>
      </c>
      <c r="BK31" s="37">
        <v>336148</v>
      </c>
      <c r="BL31" s="37">
        <v>613888</v>
      </c>
      <c r="BM31" s="37">
        <v>303875</v>
      </c>
      <c r="BN31" s="37">
        <v>310013</v>
      </c>
      <c r="BO31" s="37">
        <v>605113</v>
      </c>
      <c r="BP31" s="37">
        <v>299908</v>
      </c>
      <c r="BQ31" s="37">
        <v>305205</v>
      </c>
      <c r="BU31" s="37">
        <v>13189</v>
      </c>
      <c r="BV31" s="37">
        <v>6147</v>
      </c>
      <c r="BW31" s="37">
        <v>7042</v>
      </c>
      <c r="BX31" s="92">
        <f t="shared" si="73"/>
        <v>50310</v>
      </c>
      <c r="BY31" s="37">
        <v>24175</v>
      </c>
      <c r="BZ31" s="37">
        <v>26135</v>
      </c>
      <c r="CA31" s="125">
        <v>631746</v>
      </c>
      <c r="CB31" s="38">
        <v>576674</v>
      </c>
      <c r="CC31" s="37">
        <v>2212</v>
      </c>
      <c r="CD31" s="37">
        <v>46157</v>
      </c>
      <c r="CE31" s="37">
        <v>11437</v>
      </c>
      <c r="CF31" s="68">
        <v>640386</v>
      </c>
      <c r="CG31" s="3">
        <v>591847</v>
      </c>
      <c r="CH31" s="37">
        <v>1854</v>
      </c>
      <c r="CI31" s="37">
        <v>46685</v>
      </c>
      <c r="CJ31" s="37">
        <v>12843</v>
      </c>
      <c r="CK31" s="42">
        <v>642879</v>
      </c>
      <c r="CL31" s="40">
        <v>592956</v>
      </c>
      <c r="CM31" s="41">
        <v>2176</v>
      </c>
      <c r="CN31" s="41">
        <v>47747</v>
      </c>
      <c r="CO31" s="41">
        <v>13502</v>
      </c>
      <c r="CP31" s="42">
        <v>664198</v>
      </c>
      <c r="CQ31" s="356">
        <v>613888</v>
      </c>
      <c r="CR31" s="356"/>
      <c r="CS31" s="41">
        <v>50310</v>
      </c>
      <c r="CT31" s="356">
        <v>13189</v>
      </c>
      <c r="CU31" s="42">
        <v>672126</v>
      </c>
      <c r="CV31" s="356">
        <v>619594</v>
      </c>
      <c r="CW31" s="356"/>
      <c r="CX31" s="215">
        <f t="shared" si="74"/>
        <v>52532</v>
      </c>
      <c r="CY31" s="419">
        <v>13684</v>
      </c>
      <c r="CZ31" s="37">
        <v>678572</v>
      </c>
      <c r="DA31" s="37">
        <v>615068</v>
      </c>
      <c r="DB31" s="37">
        <v>2357</v>
      </c>
      <c r="DC31" s="37">
        <v>50606</v>
      </c>
      <c r="DD31" s="371">
        <v>14633</v>
      </c>
      <c r="DE31" s="37">
        <v>683938</v>
      </c>
      <c r="DF31" s="37">
        <v>618381</v>
      </c>
      <c r="DG31" s="1">
        <v>2613</v>
      </c>
      <c r="DH31" s="37">
        <v>52875</v>
      </c>
      <c r="DI31" s="37">
        <v>15102</v>
      </c>
      <c r="DJ31" s="37">
        <v>695850</v>
      </c>
      <c r="DK31" s="37">
        <v>627291</v>
      </c>
      <c r="DL31" s="37">
        <v>0</v>
      </c>
      <c r="DM31" s="669">
        <v>50955</v>
      </c>
      <c r="DN31" s="37">
        <v>15020</v>
      </c>
      <c r="DO31" s="507">
        <v>706329</v>
      </c>
      <c r="DP31" s="37">
        <v>633603</v>
      </c>
      <c r="DQ31" s="37"/>
      <c r="DR31" s="338">
        <v>52927</v>
      </c>
      <c r="DS31" s="37">
        <v>18587</v>
      </c>
      <c r="DT31" s="507">
        <v>712616</v>
      </c>
      <c r="DU31" s="37">
        <v>639560</v>
      </c>
      <c r="DV31" s="37"/>
      <c r="DW31" s="338">
        <v>49498</v>
      </c>
      <c r="DX31" s="37">
        <v>18098</v>
      </c>
      <c r="DY31" s="506">
        <v>0</v>
      </c>
      <c r="DZ31" s="506">
        <v>0</v>
      </c>
      <c r="EA31" s="506">
        <v>34821</v>
      </c>
      <c r="EB31" s="506">
        <v>14677</v>
      </c>
      <c r="EC31" s="765"/>
      <c r="ED31" s="542">
        <v>723666</v>
      </c>
      <c r="EE31" s="37">
        <v>645390</v>
      </c>
      <c r="EF31" s="28">
        <v>0</v>
      </c>
      <c r="EG31" s="304">
        <v>51254</v>
      </c>
      <c r="EH31" s="37">
        <v>18729</v>
      </c>
      <c r="EI31" s="542">
        <v>735761</v>
      </c>
      <c r="EJ31" s="37"/>
      <c r="EK31" s="28"/>
      <c r="EM31" s="37"/>
      <c r="EN31" s="37">
        <v>741950</v>
      </c>
      <c r="EO31" s="37">
        <v>658762</v>
      </c>
      <c r="EP31" s="28"/>
      <c r="EQ31" s="304">
        <v>66193</v>
      </c>
      <c r="ER31" s="37">
        <v>22102</v>
      </c>
      <c r="ES31" s="37">
        <v>766758</v>
      </c>
      <c r="ET31" s="37">
        <v>666186</v>
      </c>
      <c r="EU31" s="28"/>
      <c r="EV31" s="304">
        <v>90716</v>
      </c>
      <c r="EW31" s="37">
        <v>24626</v>
      </c>
      <c r="EX31" s="1">
        <v>6308</v>
      </c>
      <c r="EZ31" s="1">
        <v>34556</v>
      </c>
      <c r="FA31" s="1">
        <v>40062</v>
      </c>
      <c r="FB31" s="701">
        <v>9790</v>
      </c>
    </row>
    <row r="32" spans="1:158" ht="15.6">
      <c r="A32" s="38" t="s">
        <v>32</v>
      </c>
      <c r="B32" s="8"/>
      <c r="C32" s="17"/>
      <c r="D32" s="37">
        <v>159974</v>
      </c>
      <c r="E32" s="37">
        <v>78384</v>
      </c>
      <c r="F32" s="37">
        <v>71810</v>
      </c>
      <c r="G32" s="37">
        <v>5231</v>
      </c>
      <c r="H32" s="37">
        <v>4549</v>
      </c>
      <c r="I32" s="68">
        <v>265089</v>
      </c>
      <c r="J32" s="92">
        <f t="shared" si="63"/>
        <v>248023</v>
      </c>
      <c r="K32" s="37">
        <v>126529</v>
      </c>
      <c r="L32" s="37">
        <v>121494</v>
      </c>
      <c r="M32" s="92">
        <f t="shared" si="64"/>
        <v>11409</v>
      </c>
      <c r="N32" s="37">
        <v>5752</v>
      </c>
      <c r="O32" s="37">
        <v>5657</v>
      </c>
      <c r="P32" s="92">
        <f t="shared" si="65"/>
        <v>12512</v>
      </c>
      <c r="Q32" s="37">
        <v>6729</v>
      </c>
      <c r="R32" s="37">
        <v>5783</v>
      </c>
      <c r="S32" s="68">
        <v>479601</v>
      </c>
      <c r="T32" s="90">
        <f t="shared" si="66"/>
        <v>415128</v>
      </c>
      <c r="U32" s="37">
        <v>209234</v>
      </c>
      <c r="V32" s="37">
        <v>205894</v>
      </c>
      <c r="W32" s="90">
        <f t="shared" si="67"/>
        <v>22827</v>
      </c>
      <c r="X32" s="37">
        <v>11288</v>
      </c>
      <c r="Y32" s="37">
        <v>11539</v>
      </c>
      <c r="Z32" s="90">
        <f t="shared" si="68"/>
        <v>25771</v>
      </c>
      <c r="AA32" s="37">
        <v>13311</v>
      </c>
      <c r="AB32" s="37">
        <v>12460</v>
      </c>
      <c r="AC32" s="92">
        <v>15387</v>
      </c>
      <c r="AD32" s="92">
        <v>6967</v>
      </c>
      <c r="AE32" s="92">
        <v>8420</v>
      </c>
      <c r="AF32" s="68">
        <v>789638</v>
      </c>
      <c r="AG32" s="3">
        <v>684080</v>
      </c>
      <c r="AH32" s="55">
        <f t="shared" si="69"/>
        <v>649731</v>
      </c>
      <c r="AI32" s="37">
        <v>329389</v>
      </c>
      <c r="AJ32" s="37">
        <v>320342</v>
      </c>
      <c r="AK32" s="3">
        <v>42817</v>
      </c>
      <c r="AL32" s="55">
        <f t="shared" si="70"/>
        <v>42243</v>
      </c>
      <c r="AM32" s="37">
        <v>21263</v>
      </c>
      <c r="AN32" s="37">
        <v>20980</v>
      </c>
      <c r="AO32" s="3">
        <v>62507</v>
      </c>
      <c r="AP32" s="37">
        <v>33977</v>
      </c>
      <c r="AQ32" s="37">
        <v>28530</v>
      </c>
      <c r="AR32" s="59">
        <f t="shared" si="71"/>
        <v>35157</v>
      </c>
      <c r="AS32" s="68">
        <v>1310176</v>
      </c>
      <c r="AT32" s="3">
        <v>1033837</v>
      </c>
      <c r="AU32" s="115">
        <v>523743</v>
      </c>
      <c r="AV32" s="115">
        <v>510094</v>
      </c>
      <c r="AW32" s="55">
        <f t="shared" si="72"/>
        <v>930360</v>
      </c>
      <c r="AX32" s="37">
        <v>469488</v>
      </c>
      <c r="AY32" s="37">
        <v>460872</v>
      </c>
      <c r="AZ32" s="3">
        <v>78926</v>
      </c>
      <c r="BA32" s="37">
        <v>40070</v>
      </c>
      <c r="BB32" s="37">
        <v>38856</v>
      </c>
      <c r="BC32" s="3">
        <v>195171</v>
      </c>
      <c r="BD32" s="37">
        <v>104059</v>
      </c>
      <c r="BE32" s="37">
        <v>91112</v>
      </c>
      <c r="BF32" s="92">
        <v>197413</v>
      </c>
      <c r="BG32" s="92">
        <v>97452</v>
      </c>
      <c r="BH32" s="92">
        <v>99961</v>
      </c>
      <c r="BI32" s="68">
        <v>1768726</v>
      </c>
      <c r="BJ32" s="37">
        <v>887136</v>
      </c>
      <c r="BK32" s="37">
        <v>881590</v>
      </c>
      <c r="BL32" s="37">
        <v>1360824</v>
      </c>
      <c r="BM32" s="37">
        <v>693942</v>
      </c>
      <c r="BN32" s="37">
        <v>666882</v>
      </c>
      <c r="BO32" s="37">
        <v>1087540</v>
      </c>
      <c r="BP32" s="37">
        <v>552228</v>
      </c>
      <c r="BQ32" s="37">
        <v>535312</v>
      </c>
      <c r="BR32" s="37">
        <v>130557</v>
      </c>
      <c r="BS32" s="37">
        <v>64840</v>
      </c>
      <c r="BT32" s="37">
        <v>65717</v>
      </c>
      <c r="BU32" s="37">
        <v>360868</v>
      </c>
      <c r="BV32" s="37">
        <v>185289</v>
      </c>
      <c r="BW32" s="37">
        <v>175579</v>
      </c>
      <c r="BX32" s="92">
        <f t="shared" si="73"/>
        <v>277345</v>
      </c>
      <c r="BY32" s="37">
        <v>128354</v>
      </c>
      <c r="BZ32" s="37">
        <v>148991</v>
      </c>
      <c r="CA32" s="125">
        <v>1640801</v>
      </c>
      <c r="CB32" s="38">
        <v>1063750</v>
      </c>
      <c r="CC32" s="37">
        <v>107900</v>
      </c>
      <c r="CD32" s="37">
        <v>261743</v>
      </c>
      <c r="CE32" s="37">
        <v>316853</v>
      </c>
      <c r="CF32" s="68">
        <v>1676453</v>
      </c>
      <c r="CG32" s="3">
        <v>1299132</v>
      </c>
      <c r="CH32" s="37">
        <v>112754</v>
      </c>
      <c r="CI32" s="37">
        <v>264567</v>
      </c>
      <c r="CJ32" s="37">
        <v>333174</v>
      </c>
      <c r="CK32" s="42">
        <v>1702430</v>
      </c>
      <c r="CL32" s="40">
        <v>1323798</v>
      </c>
      <c r="CM32" s="41">
        <v>117437</v>
      </c>
      <c r="CN32" s="41">
        <v>261195</v>
      </c>
      <c r="CO32" s="41">
        <v>345721</v>
      </c>
      <c r="CP32" s="42">
        <v>1768726</v>
      </c>
      <c r="CQ32" s="356">
        <v>1360824</v>
      </c>
      <c r="CR32" s="356">
        <v>130557</v>
      </c>
      <c r="CS32" s="41">
        <v>277345</v>
      </c>
      <c r="CT32" s="356">
        <v>360868</v>
      </c>
      <c r="CU32" s="42">
        <v>1790594</v>
      </c>
      <c r="CV32" s="356">
        <v>1357737</v>
      </c>
      <c r="CW32" s="356">
        <v>134957</v>
      </c>
      <c r="CX32" s="215">
        <f t="shared" si="74"/>
        <v>297900</v>
      </c>
      <c r="CY32" s="419">
        <v>372713</v>
      </c>
      <c r="CZ32" s="37">
        <v>1813077</v>
      </c>
      <c r="DA32" s="37">
        <v>1090439</v>
      </c>
      <c r="DB32" s="37">
        <v>137382</v>
      </c>
      <c r="DC32" s="37">
        <v>325319</v>
      </c>
      <c r="DD32" s="371">
        <v>383607</v>
      </c>
      <c r="DE32" s="37">
        <v>1840605</v>
      </c>
      <c r="DF32" s="37">
        <v>1093949</v>
      </c>
      <c r="DG32" s="1">
        <v>142733</v>
      </c>
      <c r="DH32" s="37">
        <v>351811</v>
      </c>
      <c r="DI32" s="37">
        <v>395826</v>
      </c>
      <c r="DJ32" s="37">
        <v>1919598</v>
      </c>
      <c r="DK32" s="37">
        <v>1109890</v>
      </c>
      <c r="DL32" s="37">
        <v>152752</v>
      </c>
      <c r="DM32" s="669">
        <v>396417</v>
      </c>
      <c r="DN32" s="37">
        <v>426459</v>
      </c>
      <c r="DO32" s="507">
        <v>1968167</v>
      </c>
      <c r="DP32" s="37">
        <v>1119394</v>
      </c>
      <c r="DQ32" s="37">
        <v>158431</v>
      </c>
      <c r="DR32" s="338">
        <v>419559</v>
      </c>
      <c r="DS32" s="37">
        <v>443701</v>
      </c>
      <c r="DT32" s="507">
        <v>2010610</v>
      </c>
      <c r="DU32" s="37">
        <v>1129799</v>
      </c>
      <c r="DV32" s="37">
        <v>166410</v>
      </c>
      <c r="DW32" s="338">
        <v>435927</v>
      </c>
      <c r="DX32" s="37">
        <v>460183</v>
      </c>
      <c r="DY32" s="506">
        <v>185203</v>
      </c>
      <c r="DZ32" s="506">
        <v>11123</v>
      </c>
      <c r="EA32" s="506">
        <v>21522</v>
      </c>
      <c r="EB32" s="506">
        <v>60209</v>
      </c>
      <c r="EC32" s="765">
        <v>157870</v>
      </c>
      <c r="ED32" s="542">
        <v>2063180</v>
      </c>
      <c r="EE32" s="37">
        <v>1133748</v>
      </c>
      <c r="EF32" s="28">
        <v>175821</v>
      </c>
      <c r="EG32" s="304">
        <v>491573</v>
      </c>
      <c r="EH32" s="37">
        <v>483686</v>
      </c>
      <c r="EI32" s="542">
        <v>2096574</v>
      </c>
      <c r="EJ32" s="37"/>
      <c r="EK32" s="28"/>
      <c r="EM32" s="37"/>
      <c r="EN32" s="37">
        <v>2136466</v>
      </c>
      <c r="EO32" s="37">
        <v>1148711</v>
      </c>
      <c r="EP32" s="28">
        <v>192799</v>
      </c>
      <c r="EQ32" s="304">
        <v>498795</v>
      </c>
      <c r="ER32" s="37">
        <v>512330</v>
      </c>
      <c r="ES32" s="37">
        <v>2192826</v>
      </c>
      <c r="ET32" s="37">
        <v>1117578</v>
      </c>
      <c r="EU32" s="28">
        <v>188562</v>
      </c>
      <c r="EV32" s="304">
        <v>809583</v>
      </c>
      <c r="EW32" s="37">
        <v>547036</v>
      </c>
      <c r="EX32" s="1">
        <v>209934</v>
      </c>
      <c r="EY32" s="1">
        <v>14402</v>
      </c>
      <c r="EZ32" s="1">
        <v>29967</v>
      </c>
      <c r="FA32" s="1">
        <v>311130</v>
      </c>
      <c r="FB32" s="701">
        <v>244150</v>
      </c>
    </row>
    <row r="33" spans="1:158" ht="15.6">
      <c r="A33" s="38" t="s">
        <v>33</v>
      </c>
      <c r="B33" s="8"/>
      <c r="C33" s="17"/>
      <c r="D33" s="37">
        <v>444503</v>
      </c>
      <c r="E33" s="37">
        <v>208267</v>
      </c>
      <c r="F33" s="37">
        <v>207891</v>
      </c>
      <c r="G33" s="37">
        <v>14149</v>
      </c>
      <c r="H33" s="37">
        <v>14196</v>
      </c>
      <c r="I33" s="68">
        <v>489623</v>
      </c>
      <c r="J33" s="92">
        <f t="shared" si="63"/>
        <v>454193</v>
      </c>
      <c r="K33" s="37">
        <v>219260</v>
      </c>
      <c r="L33" s="37">
        <v>234933</v>
      </c>
      <c r="M33" s="92">
        <f t="shared" si="64"/>
        <v>7911</v>
      </c>
      <c r="N33" s="37">
        <v>3940</v>
      </c>
      <c r="O33" s="37">
        <v>3971</v>
      </c>
      <c r="P33" s="92">
        <f t="shared" si="65"/>
        <v>169304</v>
      </c>
      <c r="Q33" s="37">
        <v>82698</v>
      </c>
      <c r="R33" s="37">
        <v>86606</v>
      </c>
      <c r="S33" s="68">
        <v>707147</v>
      </c>
      <c r="T33" s="90">
        <f t="shared" si="66"/>
        <v>427371</v>
      </c>
      <c r="U33" s="37">
        <v>206207</v>
      </c>
      <c r="V33" s="37">
        <v>221164</v>
      </c>
      <c r="W33" s="90">
        <f t="shared" si="67"/>
        <v>10508</v>
      </c>
      <c r="X33" s="37">
        <v>5535</v>
      </c>
      <c r="Y33" s="37">
        <v>4973</v>
      </c>
      <c r="Z33" s="90">
        <f t="shared" si="68"/>
        <v>222076</v>
      </c>
      <c r="AA33" s="37">
        <v>106965</v>
      </c>
      <c r="AB33" s="37">
        <v>115111</v>
      </c>
      <c r="AC33" s="92">
        <v>45725</v>
      </c>
      <c r="AD33" s="92">
        <v>20789</v>
      </c>
      <c r="AE33" s="92">
        <v>24936</v>
      </c>
      <c r="AF33" s="68">
        <v>922590</v>
      </c>
      <c r="AG33" s="3">
        <v>734024</v>
      </c>
      <c r="AH33" s="55">
        <f t="shared" si="69"/>
        <v>525118</v>
      </c>
      <c r="AI33" s="37">
        <v>252107</v>
      </c>
      <c r="AJ33" s="37">
        <v>273011</v>
      </c>
      <c r="AK33" s="3">
        <v>16176</v>
      </c>
      <c r="AL33" s="55">
        <f t="shared" si="70"/>
        <v>15482</v>
      </c>
      <c r="AM33" s="37">
        <v>8333</v>
      </c>
      <c r="AN33" s="37">
        <v>7149</v>
      </c>
      <c r="AO33" s="3">
        <v>310224</v>
      </c>
      <c r="AP33" s="37">
        <v>149799</v>
      </c>
      <c r="AQ33" s="37">
        <v>160425</v>
      </c>
      <c r="AR33" s="59">
        <f t="shared" si="71"/>
        <v>71766</v>
      </c>
      <c r="AS33" s="68">
        <v>1134801</v>
      </c>
      <c r="AT33" s="3">
        <v>819163</v>
      </c>
      <c r="AU33" s="115">
        <v>392569</v>
      </c>
      <c r="AV33" s="115">
        <v>426594</v>
      </c>
      <c r="AW33" s="55">
        <f t="shared" si="72"/>
        <v>585792</v>
      </c>
      <c r="AX33" s="37">
        <v>280732</v>
      </c>
      <c r="AY33" s="37">
        <v>305060</v>
      </c>
      <c r="AZ33" s="3">
        <v>19291</v>
      </c>
      <c r="BA33" s="37">
        <v>10326</v>
      </c>
      <c r="BB33" s="37">
        <v>8965</v>
      </c>
      <c r="BC33" s="3">
        <v>420863</v>
      </c>
      <c r="BD33" s="37">
        <v>203071</v>
      </c>
      <c r="BE33" s="37">
        <v>217792</v>
      </c>
      <c r="BF33" s="92">
        <v>296347</v>
      </c>
      <c r="BG33" s="92">
        <v>141082</v>
      </c>
      <c r="BH33" s="92">
        <v>155265</v>
      </c>
      <c r="BI33" s="68">
        <v>1316053</v>
      </c>
      <c r="BJ33" s="37">
        <v>637637</v>
      </c>
      <c r="BK33" s="37">
        <v>678416</v>
      </c>
      <c r="BL33" s="37">
        <v>1005255</v>
      </c>
      <c r="BM33" s="37">
        <v>484197</v>
      </c>
      <c r="BN33" s="37">
        <v>521058</v>
      </c>
      <c r="BO33" s="37">
        <v>630338</v>
      </c>
      <c r="BP33" s="37">
        <v>305425</v>
      </c>
      <c r="BQ33" s="37">
        <v>324913</v>
      </c>
      <c r="BR33" s="37">
        <v>24817</v>
      </c>
      <c r="BS33" s="37">
        <v>13802</v>
      </c>
      <c r="BT33" s="37">
        <v>11015</v>
      </c>
      <c r="BU33" s="37">
        <v>530895</v>
      </c>
      <c r="BV33" s="37">
        <v>258230</v>
      </c>
      <c r="BW33" s="37">
        <v>272665</v>
      </c>
      <c r="BX33" s="92">
        <f t="shared" si="73"/>
        <v>285981</v>
      </c>
      <c r="BY33" s="37">
        <v>139638</v>
      </c>
      <c r="BZ33" s="37">
        <v>146343</v>
      </c>
      <c r="CA33" s="125">
        <v>1240342</v>
      </c>
      <c r="CB33" s="38">
        <v>602379</v>
      </c>
      <c r="CC33" s="37">
        <v>23340</v>
      </c>
      <c r="CD33" s="37">
        <v>317036</v>
      </c>
      <c r="CE33" s="37">
        <v>491137</v>
      </c>
      <c r="CF33" s="68">
        <v>1258320</v>
      </c>
      <c r="CG33" s="3">
        <v>929122</v>
      </c>
      <c r="CH33" s="37">
        <v>24256</v>
      </c>
      <c r="CI33" s="37">
        <v>304942</v>
      </c>
      <c r="CJ33" s="37">
        <v>502531</v>
      </c>
      <c r="CK33" s="42">
        <v>1280801</v>
      </c>
      <c r="CL33" s="40">
        <v>958938</v>
      </c>
      <c r="CM33" s="41">
        <v>25604</v>
      </c>
      <c r="CN33" s="41">
        <v>296259</v>
      </c>
      <c r="CO33" s="41">
        <v>515565</v>
      </c>
      <c r="CP33" s="42">
        <v>1316053</v>
      </c>
      <c r="CQ33" s="356">
        <v>1005255</v>
      </c>
      <c r="CR33" s="356">
        <v>24817</v>
      </c>
      <c r="CS33" s="41">
        <v>285981</v>
      </c>
      <c r="CT33" s="356">
        <v>530895</v>
      </c>
      <c r="CU33" s="42">
        <v>1337142</v>
      </c>
      <c r="CV33" s="356">
        <v>1015138</v>
      </c>
      <c r="CW33" s="356">
        <v>25188</v>
      </c>
      <c r="CX33" s="215">
        <f t="shared" si="74"/>
        <v>296816</v>
      </c>
      <c r="CY33" s="419">
        <v>546069</v>
      </c>
      <c r="CZ33" s="37">
        <v>1353059</v>
      </c>
      <c r="DA33" s="37">
        <v>634234</v>
      </c>
      <c r="DB33" s="37">
        <v>25005</v>
      </c>
      <c r="DC33" s="37">
        <v>305813</v>
      </c>
      <c r="DD33" s="371">
        <v>557831</v>
      </c>
      <c r="DE33" s="37">
        <v>1358996</v>
      </c>
      <c r="DF33" s="37">
        <v>630446</v>
      </c>
      <c r="DG33" s="1">
        <v>25244</v>
      </c>
      <c r="DH33" s="37">
        <v>301477</v>
      </c>
      <c r="DI33" s="37">
        <v>564206</v>
      </c>
      <c r="DJ33" s="37">
        <v>1373822</v>
      </c>
      <c r="DK33" s="37">
        <v>621675</v>
      </c>
      <c r="DL33" s="37">
        <v>26308</v>
      </c>
      <c r="DM33" s="669">
        <v>300834</v>
      </c>
      <c r="DN33" s="37">
        <v>582025</v>
      </c>
      <c r="DO33" s="507">
        <v>1377548</v>
      </c>
      <c r="DP33" s="37">
        <v>617719</v>
      </c>
      <c r="DQ33" s="37">
        <v>28411</v>
      </c>
      <c r="DR33" s="338">
        <v>298088</v>
      </c>
      <c r="DS33" s="37">
        <v>589076</v>
      </c>
      <c r="DT33" s="507">
        <v>1391381</v>
      </c>
      <c r="DU33" s="37">
        <v>616225</v>
      </c>
      <c r="DV33" s="37">
        <v>25485</v>
      </c>
      <c r="DW33" s="338">
        <v>307623</v>
      </c>
      <c r="DX33" s="37">
        <v>598277</v>
      </c>
      <c r="DY33" s="506">
        <v>23167</v>
      </c>
      <c r="DZ33" s="506">
        <v>0</v>
      </c>
      <c r="EA33" s="506">
        <v>117341</v>
      </c>
      <c r="EB33" s="506">
        <v>32229</v>
      </c>
      <c r="EC33" s="765">
        <v>134886</v>
      </c>
      <c r="ED33" s="542">
        <v>1391475</v>
      </c>
      <c r="EE33" s="37">
        <v>606845</v>
      </c>
      <c r="EF33" s="28">
        <v>27850</v>
      </c>
      <c r="EG33" s="304">
        <v>275250</v>
      </c>
      <c r="EH33" s="37">
        <v>606602</v>
      </c>
      <c r="EI33" s="542">
        <v>1416481</v>
      </c>
      <c r="EJ33" s="37"/>
      <c r="EK33" s="28"/>
      <c r="EM33" s="37"/>
      <c r="EN33" s="37">
        <v>1425988</v>
      </c>
      <c r="EO33" s="37">
        <v>606478</v>
      </c>
      <c r="EP33" s="28">
        <v>29349</v>
      </c>
      <c r="EQ33" s="304">
        <v>314241</v>
      </c>
      <c r="ER33" s="37">
        <v>630721</v>
      </c>
      <c r="ES33" s="37">
        <v>1450549</v>
      </c>
      <c r="ET33" s="37">
        <v>590972</v>
      </c>
      <c r="EU33" s="28">
        <v>29106</v>
      </c>
      <c r="EV33" s="304">
        <v>696329</v>
      </c>
      <c r="EW33" s="37">
        <v>647485</v>
      </c>
      <c r="EX33" s="1">
        <v>24659</v>
      </c>
      <c r="EZ33" s="1">
        <v>127473</v>
      </c>
      <c r="FA33" s="1">
        <v>345493</v>
      </c>
      <c r="FB33" s="701">
        <v>198704</v>
      </c>
    </row>
    <row r="34" spans="1:158" ht="15.6">
      <c r="A34" s="38" t="s">
        <v>34</v>
      </c>
      <c r="B34" s="8"/>
      <c r="C34" s="17"/>
      <c r="D34" s="37">
        <v>996083</v>
      </c>
      <c r="E34" s="37">
        <v>482086</v>
      </c>
      <c r="F34" s="37">
        <v>496251</v>
      </c>
      <c r="G34" s="37">
        <v>9295</v>
      </c>
      <c r="H34" s="37">
        <v>8451</v>
      </c>
      <c r="I34" s="68">
        <v>1156024</v>
      </c>
      <c r="J34" s="92">
        <f t="shared" si="63"/>
        <v>1130529</v>
      </c>
      <c r="K34" s="37">
        <v>544150</v>
      </c>
      <c r="L34" s="37">
        <v>586379</v>
      </c>
      <c r="M34" s="92">
        <f t="shared" si="64"/>
        <v>11852</v>
      </c>
      <c r="N34" s="37">
        <v>6025</v>
      </c>
      <c r="O34" s="37">
        <v>5827</v>
      </c>
      <c r="P34" s="92">
        <f t="shared" si="65"/>
        <v>13635</v>
      </c>
      <c r="Q34" s="37">
        <v>7123</v>
      </c>
      <c r="R34" s="37">
        <v>6512</v>
      </c>
      <c r="S34" s="68">
        <v>1579841</v>
      </c>
      <c r="T34" s="90">
        <f t="shared" si="66"/>
        <v>1499311</v>
      </c>
      <c r="U34" s="37">
        <v>720969</v>
      </c>
      <c r="V34" s="37">
        <v>778342</v>
      </c>
      <c r="W34" s="90">
        <f t="shared" si="67"/>
        <v>17834</v>
      </c>
      <c r="X34" s="37">
        <v>9380</v>
      </c>
      <c r="Y34" s="37">
        <v>8454</v>
      </c>
      <c r="Z34" s="90">
        <f t="shared" si="68"/>
        <v>27457</v>
      </c>
      <c r="AA34" s="37">
        <v>14652</v>
      </c>
      <c r="AB34" s="37">
        <v>12805</v>
      </c>
      <c r="AC34" s="92">
        <v>34186</v>
      </c>
      <c r="AD34" s="92">
        <v>16058</v>
      </c>
      <c r="AE34" s="92">
        <v>18128</v>
      </c>
      <c r="AF34" s="68">
        <v>1855369</v>
      </c>
      <c r="AG34" s="3">
        <v>1748500</v>
      </c>
      <c r="AH34" s="55">
        <f t="shared" si="69"/>
        <v>1722514</v>
      </c>
      <c r="AI34" s="37">
        <v>823790</v>
      </c>
      <c r="AJ34" s="37">
        <v>898724</v>
      </c>
      <c r="AK34" s="3">
        <v>24123</v>
      </c>
      <c r="AL34" s="55">
        <f t="shared" si="70"/>
        <v>23765</v>
      </c>
      <c r="AM34" s="37">
        <v>12514</v>
      </c>
      <c r="AN34" s="37">
        <v>11251</v>
      </c>
      <c r="AO34" s="3">
        <v>50104</v>
      </c>
      <c r="AP34" s="37">
        <v>28013</v>
      </c>
      <c r="AQ34" s="37">
        <v>22091</v>
      </c>
      <c r="AR34" s="59">
        <f t="shared" si="71"/>
        <v>58986</v>
      </c>
      <c r="AS34" s="68">
        <v>2250998</v>
      </c>
      <c r="AT34" s="3">
        <v>2009396</v>
      </c>
      <c r="AU34" s="115">
        <v>971030</v>
      </c>
      <c r="AV34" s="115">
        <v>1038366</v>
      </c>
      <c r="AW34" s="55">
        <f t="shared" si="72"/>
        <v>1961219</v>
      </c>
      <c r="AX34" s="37">
        <v>945533</v>
      </c>
      <c r="AY34" s="37">
        <v>1015686</v>
      </c>
      <c r="AZ34" s="3">
        <v>30502</v>
      </c>
      <c r="BA34" s="37">
        <v>16680</v>
      </c>
      <c r="BB34" s="37">
        <v>13822</v>
      </c>
      <c r="BC34" s="3">
        <v>125163</v>
      </c>
      <c r="BD34" s="37">
        <v>70125</v>
      </c>
      <c r="BE34" s="37">
        <v>55038</v>
      </c>
      <c r="BF34" s="92">
        <v>211100</v>
      </c>
      <c r="BG34" s="92">
        <v>107853</v>
      </c>
      <c r="BH34" s="92">
        <v>103247</v>
      </c>
      <c r="BI34" s="68">
        <v>2580193</v>
      </c>
      <c r="BJ34" s="37">
        <v>1257246</v>
      </c>
      <c r="BK34" s="37">
        <v>1322947</v>
      </c>
      <c r="BL34" s="37">
        <v>2280700</v>
      </c>
      <c r="BM34" s="37">
        <v>1108302</v>
      </c>
      <c r="BN34" s="37">
        <v>1172398</v>
      </c>
      <c r="BO34" s="37">
        <v>2158385</v>
      </c>
      <c r="BP34" s="37">
        <v>1044475</v>
      </c>
      <c r="BQ34" s="37">
        <v>1113910</v>
      </c>
      <c r="BR34" s="37">
        <v>40052</v>
      </c>
      <c r="BS34" s="37">
        <v>22025</v>
      </c>
      <c r="BT34" s="37">
        <v>18027</v>
      </c>
      <c r="BU34" s="37">
        <v>208782</v>
      </c>
      <c r="BV34" s="37">
        <v>111492</v>
      </c>
      <c r="BW34" s="37">
        <v>97290</v>
      </c>
      <c r="BX34" s="92">
        <f t="shared" si="73"/>
        <v>259441</v>
      </c>
      <c r="BY34" s="37">
        <v>126919</v>
      </c>
      <c r="BZ34" s="37">
        <v>132522</v>
      </c>
      <c r="CA34" s="125">
        <v>2496987</v>
      </c>
      <c r="CB34" s="38">
        <v>2113971</v>
      </c>
      <c r="CC34" s="37">
        <v>36269</v>
      </c>
      <c r="CD34" s="37">
        <v>247011</v>
      </c>
      <c r="CE34" s="37">
        <v>189937</v>
      </c>
      <c r="CF34" s="68">
        <v>2538321</v>
      </c>
      <c r="CG34" s="3">
        <v>2252578</v>
      </c>
      <c r="CH34" s="37">
        <v>36758</v>
      </c>
      <c r="CI34" s="37">
        <v>248985</v>
      </c>
      <c r="CJ34" s="37">
        <v>198554</v>
      </c>
      <c r="CK34" s="42">
        <v>2551516</v>
      </c>
      <c r="CL34" s="40">
        <v>2262644</v>
      </c>
      <c r="CM34" s="41">
        <v>38217</v>
      </c>
      <c r="CN34" s="41">
        <v>250655</v>
      </c>
      <c r="CO34" s="41">
        <v>199269</v>
      </c>
      <c r="CP34" s="42">
        <v>2580193</v>
      </c>
      <c r="CQ34" s="356">
        <v>2280700</v>
      </c>
      <c r="CR34" s="356">
        <v>40052</v>
      </c>
      <c r="CS34" s="41">
        <v>259441</v>
      </c>
      <c r="CT34" s="356">
        <v>208782</v>
      </c>
      <c r="CU34" s="42">
        <v>2613587</v>
      </c>
      <c r="CV34" s="356">
        <v>2297671</v>
      </c>
      <c r="CW34" s="356">
        <v>41710</v>
      </c>
      <c r="CX34" s="215">
        <f t="shared" si="74"/>
        <v>274206</v>
      </c>
      <c r="CY34" s="419">
        <v>216750</v>
      </c>
      <c r="CZ34" s="37">
        <v>2643922</v>
      </c>
      <c r="DA34" s="37">
        <v>2193182</v>
      </c>
      <c r="DB34" s="37">
        <v>41748</v>
      </c>
      <c r="DC34" s="37">
        <v>279901</v>
      </c>
      <c r="DD34" s="371">
        <v>222719</v>
      </c>
      <c r="DE34" s="37">
        <v>2673399</v>
      </c>
      <c r="DF34" s="37">
        <v>2210043</v>
      </c>
      <c r="DG34" s="1">
        <v>43004</v>
      </c>
      <c r="DH34" s="37">
        <v>278157</v>
      </c>
      <c r="DI34" s="37">
        <v>229153</v>
      </c>
      <c r="DJ34" s="37">
        <v>2746957</v>
      </c>
      <c r="DK34" s="37">
        <v>2249244</v>
      </c>
      <c r="DL34" s="37">
        <v>43368</v>
      </c>
      <c r="DM34" s="669">
        <v>301370</v>
      </c>
      <c r="DN34" s="37">
        <v>247445</v>
      </c>
      <c r="DO34" s="507">
        <v>2804461</v>
      </c>
      <c r="DP34" s="37">
        <v>2281052</v>
      </c>
      <c r="DQ34" s="37">
        <v>49935</v>
      </c>
      <c r="DR34" s="338">
        <v>299458</v>
      </c>
      <c r="DS34" s="37">
        <v>257198</v>
      </c>
      <c r="DT34" s="507">
        <v>2857952</v>
      </c>
      <c r="DU34" s="37">
        <v>2318767</v>
      </c>
      <c r="DV34" s="37">
        <v>49212</v>
      </c>
      <c r="DW34" s="338">
        <v>320672</v>
      </c>
      <c r="DX34" s="37">
        <v>264005</v>
      </c>
      <c r="DY34" s="506">
        <v>119827</v>
      </c>
      <c r="DZ34" s="506">
        <v>8401</v>
      </c>
      <c r="EA34" s="506">
        <v>29349</v>
      </c>
      <c r="EB34" s="506">
        <v>94607</v>
      </c>
      <c r="EC34" s="765">
        <v>68488</v>
      </c>
      <c r="ED34" s="542">
        <v>2901195</v>
      </c>
      <c r="EE34" s="37">
        <v>2337915</v>
      </c>
      <c r="EF34" s="28">
        <v>49421</v>
      </c>
      <c r="EG34" s="304">
        <v>325550</v>
      </c>
      <c r="EH34" s="37">
        <v>277055</v>
      </c>
      <c r="EI34" s="542">
        <v>2952380</v>
      </c>
      <c r="EJ34" s="37"/>
      <c r="EK34" s="28"/>
      <c r="EM34" s="37"/>
      <c r="EN34" s="37">
        <v>2988118</v>
      </c>
      <c r="EO34" s="37">
        <v>2376419</v>
      </c>
      <c r="EP34" s="28">
        <v>51503</v>
      </c>
      <c r="EQ34" s="304">
        <v>368188</v>
      </c>
      <c r="ER34" s="37">
        <v>301623</v>
      </c>
      <c r="ES34" s="37">
        <v>3030635</v>
      </c>
      <c r="ET34" s="37">
        <v>2320923</v>
      </c>
      <c r="EU34" s="28">
        <v>50855</v>
      </c>
      <c r="EV34" s="304">
        <v>600791</v>
      </c>
      <c r="EW34" s="37">
        <v>325436</v>
      </c>
      <c r="EX34" s="1">
        <v>139338</v>
      </c>
      <c r="EY34" s="1">
        <v>9773</v>
      </c>
      <c r="EZ34" s="1">
        <v>35750</v>
      </c>
      <c r="FA34" s="1">
        <v>277584</v>
      </c>
      <c r="FB34" s="701">
        <v>138346</v>
      </c>
    </row>
    <row r="35" spans="1:158" ht="15.6">
      <c r="A35" s="38" t="s">
        <v>35</v>
      </c>
      <c r="B35" s="8"/>
      <c r="C35" s="17"/>
      <c r="D35" s="37">
        <v>419381</v>
      </c>
      <c r="E35" s="37">
        <v>204028</v>
      </c>
      <c r="F35" s="37">
        <v>208033</v>
      </c>
      <c r="G35" s="37">
        <v>3938</v>
      </c>
      <c r="H35" s="37">
        <v>3382</v>
      </c>
      <c r="I35" s="68">
        <v>492337</v>
      </c>
      <c r="J35" s="92">
        <f t="shared" si="63"/>
        <v>482753</v>
      </c>
      <c r="K35" s="37">
        <v>234201</v>
      </c>
      <c r="L35" s="37">
        <v>248552</v>
      </c>
      <c r="M35" s="92">
        <f t="shared" si="64"/>
        <v>2273</v>
      </c>
      <c r="N35" s="37">
        <v>1164</v>
      </c>
      <c r="O35" s="37">
        <v>1109</v>
      </c>
      <c r="P35" s="92">
        <f t="shared" si="65"/>
        <v>15813</v>
      </c>
      <c r="Q35" s="37">
        <v>8167</v>
      </c>
      <c r="R35" s="37">
        <v>7646</v>
      </c>
      <c r="S35" s="68">
        <v>704790</v>
      </c>
      <c r="T35" s="90">
        <f t="shared" si="66"/>
        <v>661203</v>
      </c>
      <c r="U35" s="37">
        <v>321673</v>
      </c>
      <c r="V35" s="37">
        <v>339530</v>
      </c>
      <c r="W35" s="90">
        <f t="shared" si="67"/>
        <v>4030</v>
      </c>
      <c r="X35" s="37">
        <v>2285</v>
      </c>
      <c r="Y35" s="37">
        <v>1745</v>
      </c>
      <c r="Z35" s="90">
        <f t="shared" si="68"/>
        <v>23523</v>
      </c>
      <c r="AA35" s="37">
        <v>11871</v>
      </c>
      <c r="AB35" s="37">
        <v>11652</v>
      </c>
      <c r="AC35" s="92">
        <v>15530</v>
      </c>
      <c r="AD35" s="92">
        <v>7397</v>
      </c>
      <c r="AE35" s="92">
        <v>8133</v>
      </c>
      <c r="AF35" s="68">
        <v>897321</v>
      </c>
      <c r="AG35" s="3">
        <v>847484</v>
      </c>
      <c r="AH35" s="55">
        <f t="shared" si="69"/>
        <v>828157</v>
      </c>
      <c r="AI35" s="37">
        <v>401365</v>
      </c>
      <c r="AJ35" s="37">
        <v>426792</v>
      </c>
      <c r="AK35" s="3">
        <v>5526</v>
      </c>
      <c r="AL35" s="55">
        <f t="shared" si="70"/>
        <v>5266</v>
      </c>
      <c r="AM35" s="37">
        <v>3134</v>
      </c>
      <c r="AN35" s="37">
        <v>2132</v>
      </c>
      <c r="AO35" s="3">
        <v>37082</v>
      </c>
      <c r="AP35" s="37">
        <v>18925</v>
      </c>
      <c r="AQ35" s="37">
        <v>18157</v>
      </c>
      <c r="AR35" s="59">
        <f t="shared" si="71"/>
        <v>26816</v>
      </c>
      <c r="AS35" s="68">
        <v>1197892</v>
      </c>
      <c r="AT35" s="3">
        <v>1085309</v>
      </c>
      <c r="AU35" s="115">
        <v>533349</v>
      </c>
      <c r="AV35" s="115">
        <v>551960</v>
      </c>
      <c r="AW35" s="55">
        <f t="shared" si="72"/>
        <v>1044901</v>
      </c>
      <c r="AX35" s="37">
        <v>512244</v>
      </c>
      <c r="AY35" s="37">
        <v>532657</v>
      </c>
      <c r="AZ35" s="3">
        <v>7996</v>
      </c>
      <c r="BA35" s="37">
        <v>4825</v>
      </c>
      <c r="BB35" s="37">
        <v>3171</v>
      </c>
      <c r="BC35" s="3">
        <v>91672</v>
      </c>
      <c r="BD35" s="37">
        <v>49400</v>
      </c>
      <c r="BE35" s="37">
        <v>42272</v>
      </c>
      <c r="BF35" s="92">
        <v>104587</v>
      </c>
      <c r="BG35" s="92">
        <v>54525</v>
      </c>
      <c r="BH35" s="92">
        <v>50062</v>
      </c>
      <c r="BI35" s="68">
        <v>1546535</v>
      </c>
      <c r="BJ35" s="37">
        <v>768004</v>
      </c>
      <c r="BK35" s="37">
        <v>778531</v>
      </c>
      <c r="BL35" s="37">
        <v>1408836</v>
      </c>
      <c r="BM35" s="37">
        <v>698410</v>
      </c>
      <c r="BN35" s="37">
        <v>710426</v>
      </c>
      <c r="BO35" s="37">
        <v>1295596</v>
      </c>
      <c r="BP35" s="37">
        <v>639995</v>
      </c>
      <c r="BQ35" s="37">
        <v>655601</v>
      </c>
      <c r="BR35" s="37">
        <v>13265</v>
      </c>
      <c r="BS35" s="37">
        <v>7916</v>
      </c>
      <c r="BT35" s="37">
        <v>5349</v>
      </c>
      <c r="BU35" s="37">
        <v>163418</v>
      </c>
      <c r="BV35" s="37">
        <v>84485</v>
      </c>
      <c r="BW35" s="37">
        <v>78933</v>
      </c>
      <c r="BX35" s="92">
        <f t="shared" si="73"/>
        <v>124434</v>
      </c>
      <c r="BY35" s="37">
        <v>61678</v>
      </c>
      <c r="BZ35" s="37">
        <v>62756</v>
      </c>
      <c r="CA35" s="125">
        <v>1449914</v>
      </c>
      <c r="CB35" s="38">
        <v>1231671</v>
      </c>
      <c r="CC35" s="37">
        <v>11226</v>
      </c>
      <c r="CD35" s="37">
        <v>119922</v>
      </c>
      <c r="CE35" s="37">
        <v>142517</v>
      </c>
      <c r="CF35" s="68">
        <v>1508950</v>
      </c>
      <c r="CG35" s="3">
        <v>1380406</v>
      </c>
      <c r="CH35" s="37">
        <v>11943</v>
      </c>
      <c r="CI35" s="37">
        <v>116601</v>
      </c>
      <c r="CJ35" s="37">
        <v>150679</v>
      </c>
      <c r="CK35" s="42">
        <v>1535560</v>
      </c>
      <c r="CL35" s="40">
        <v>1407637</v>
      </c>
      <c r="CM35" s="41">
        <v>12763</v>
      </c>
      <c r="CN35" s="41">
        <v>115160</v>
      </c>
      <c r="CO35" s="41">
        <v>154054</v>
      </c>
      <c r="CP35" s="42">
        <v>1546535</v>
      </c>
      <c r="CQ35" s="356">
        <v>1408836</v>
      </c>
      <c r="CR35" s="356">
        <v>13265</v>
      </c>
      <c r="CS35" s="41">
        <v>124434</v>
      </c>
      <c r="CT35" s="356">
        <v>163418</v>
      </c>
      <c r="CU35" s="42">
        <v>1579327</v>
      </c>
      <c r="CV35" s="356">
        <v>1429859</v>
      </c>
      <c r="CW35" s="356">
        <v>13828</v>
      </c>
      <c r="CX35" s="215">
        <f t="shared" si="74"/>
        <v>135640</v>
      </c>
      <c r="CY35" s="419">
        <v>170435</v>
      </c>
      <c r="CZ35" s="37">
        <v>1612410</v>
      </c>
      <c r="DA35" s="37">
        <v>1342335</v>
      </c>
      <c r="DB35" s="37">
        <v>14666</v>
      </c>
      <c r="DC35" s="37">
        <v>143298</v>
      </c>
      <c r="DD35" s="371">
        <v>176475</v>
      </c>
      <c r="DE35" s="37">
        <v>1641750</v>
      </c>
      <c r="DF35" s="37">
        <v>1362961</v>
      </c>
      <c r="DG35" s="1">
        <v>15596</v>
      </c>
      <c r="DH35" s="37">
        <v>151863</v>
      </c>
      <c r="DI35" s="37">
        <v>180611</v>
      </c>
      <c r="DJ35" s="37">
        <v>1704734</v>
      </c>
      <c r="DK35" s="37">
        <v>1403493</v>
      </c>
      <c r="DL35" s="37">
        <v>17207</v>
      </c>
      <c r="DM35" s="669">
        <v>167421</v>
      </c>
      <c r="DN35" s="37">
        <v>193879</v>
      </c>
      <c r="DO35" s="507">
        <v>1741949</v>
      </c>
      <c r="DP35" s="37">
        <v>1428908</v>
      </c>
      <c r="DQ35" s="37">
        <v>17199</v>
      </c>
      <c r="DR35" s="338">
        <v>174320</v>
      </c>
      <c r="DS35" s="37">
        <v>201172</v>
      </c>
      <c r="DT35" s="507">
        <v>1783244</v>
      </c>
      <c r="DU35" s="37">
        <v>1460142</v>
      </c>
      <c r="DV35" s="37">
        <v>17317</v>
      </c>
      <c r="DW35" s="338">
        <v>194963</v>
      </c>
      <c r="DX35" s="37">
        <v>206718</v>
      </c>
      <c r="DY35" s="506">
        <v>46290</v>
      </c>
      <c r="DZ35" s="506">
        <v>15028</v>
      </c>
      <c r="EA35" s="506">
        <v>17415</v>
      </c>
      <c r="EB35" s="506">
        <v>29006</v>
      </c>
      <c r="EC35" s="765">
        <v>87224</v>
      </c>
      <c r="ED35" s="542">
        <v>1827035</v>
      </c>
      <c r="EE35" s="37">
        <v>1485935</v>
      </c>
      <c r="EF35" s="28">
        <v>19072</v>
      </c>
      <c r="EG35" s="304">
        <v>207653</v>
      </c>
      <c r="EH35" s="37">
        <v>215503</v>
      </c>
      <c r="EI35" s="542">
        <v>1871902</v>
      </c>
      <c r="EJ35" s="37"/>
      <c r="EK35" s="28"/>
      <c r="EM35" s="37"/>
      <c r="EN35" s="37">
        <v>1911592</v>
      </c>
      <c r="EO35" s="37">
        <v>1540298</v>
      </c>
      <c r="EP35" s="28">
        <v>19937</v>
      </c>
      <c r="EQ35" s="304">
        <v>197537</v>
      </c>
      <c r="ER35" s="37">
        <v>233666</v>
      </c>
      <c r="ES35" s="37">
        <v>2010727</v>
      </c>
      <c r="ET35" s="37">
        <v>1587219</v>
      </c>
      <c r="EU35" s="28">
        <v>19335</v>
      </c>
      <c r="EV35" s="304">
        <v>352719</v>
      </c>
      <c r="EW35" s="37">
        <v>254587</v>
      </c>
      <c r="EX35" s="1">
        <v>56580</v>
      </c>
      <c r="EY35" s="1">
        <v>17109</v>
      </c>
      <c r="EZ35" s="1">
        <v>19793</v>
      </c>
      <c r="FA35" s="1">
        <v>151112</v>
      </c>
      <c r="FB35" s="701">
        <v>108125</v>
      </c>
    </row>
    <row r="36" spans="1:158" ht="15.6">
      <c r="A36" s="38" t="s">
        <v>36</v>
      </c>
      <c r="B36" s="8"/>
      <c r="C36" s="17"/>
      <c r="D36" s="37">
        <v>1577155</v>
      </c>
      <c r="E36" s="37">
        <v>757925</v>
      </c>
      <c r="F36" s="37">
        <v>769964</v>
      </c>
      <c r="G36" s="37">
        <v>26718</v>
      </c>
      <c r="H36" s="37">
        <v>22548</v>
      </c>
      <c r="I36" s="68">
        <v>1825888</v>
      </c>
      <c r="J36" s="92">
        <f t="shared" si="63"/>
        <v>1755741</v>
      </c>
      <c r="K36" s="37">
        <v>851678</v>
      </c>
      <c r="L36" s="37">
        <v>904063</v>
      </c>
      <c r="M36" s="92">
        <f t="shared" si="64"/>
        <v>31489</v>
      </c>
      <c r="N36" s="37">
        <v>16618</v>
      </c>
      <c r="O36" s="37">
        <v>14871</v>
      </c>
      <c r="P36" s="92">
        <f t="shared" si="65"/>
        <v>26814</v>
      </c>
      <c r="Q36" s="37">
        <v>14479</v>
      </c>
      <c r="R36" s="37">
        <v>12335</v>
      </c>
      <c r="S36" s="68">
        <v>2439417</v>
      </c>
      <c r="T36" s="90">
        <f t="shared" si="66"/>
        <v>2253266</v>
      </c>
      <c r="U36" s="37">
        <v>1091346</v>
      </c>
      <c r="V36" s="37">
        <v>1161920</v>
      </c>
      <c r="W36" s="90">
        <f t="shared" si="67"/>
        <v>49212</v>
      </c>
      <c r="X36" s="37">
        <v>26371</v>
      </c>
      <c r="Y36" s="37">
        <v>22841</v>
      </c>
      <c r="Z36" s="90">
        <f t="shared" si="68"/>
        <v>48302</v>
      </c>
      <c r="AA36" s="37">
        <v>25524</v>
      </c>
      <c r="AB36" s="37">
        <v>22778</v>
      </c>
      <c r="AC36" s="92">
        <v>86575</v>
      </c>
      <c r="AD36" s="92">
        <v>38976</v>
      </c>
      <c r="AE36" s="92">
        <v>47599</v>
      </c>
      <c r="AF36" s="68">
        <v>3126390</v>
      </c>
      <c r="AG36" s="3">
        <v>2833653</v>
      </c>
      <c r="AH36" s="55">
        <f t="shared" si="69"/>
        <v>2794268</v>
      </c>
      <c r="AI36" s="37">
        <v>1354563</v>
      </c>
      <c r="AJ36" s="37">
        <v>1439705</v>
      </c>
      <c r="AK36" s="3">
        <v>78598</v>
      </c>
      <c r="AL36" s="55">
        <f t="shared" si="70"/>
        <v>77320</v>
      </c>
      <c r="AM36" s="37">
        <v>41691</v>
      </c>
      <c r="AN36" s="37">
        <v>35629</v>
      </c>
      <c r="AO36" s="3">
        <v>92937</v>
      </c>
      <c r="AP36" s="37">
        <v>50172</v>
      </c>
      <c r="AQ36" s="37">
        <v>42765</v>
      </c>
      <c r="AR36" s="59">
        <f t="shared" si="71"/>
        <v>161865</v>
      </c>
      <c r="AS36" s="68">
        <v>3827507</v>
      </c>
      <c r="AT36" s="3">
        <v>3248493</v>
      </c>
      <c r="AU36" s="115">
        <v>1585091</v>
      </c>
      <c r="AV36" s="115">
        <v>1663402</v>
      </c>
      <c r="AW36" s="55">
        <f t="shared" si="72"/>
        <v>3167304</v>
      </c>
      <c r="AX36" s="37">
        <v>1542335</v>
      </c>
      <c r="AY36" s="37">
        <v>1624969</v>
      </c>
      <c r="AZ36" s="3">
        <v>107612</v>
      </c>
      <c r="BA36" s="37">
        <v>58333</v>
      </c>
      <c r="BB36" s="37">
        <v>49279</v>
      </c>
      <c r="BC36" s="3">
        <v>200700</v>
      </c>
      <c r="BD36" s="37">
        <v>108381</v>
      </c>
      <c r="BE36" s="37">
        <v>92319</v>
      </c>
      <c r="BF36" s="92">
        <v>471402</v>
      </c>
      <c r="BG36" s="92">
        <v>227176</v>
      </c>
      <c r="BH36" s="92">
        <v>244226</v>
      </c>
      <c r="BI36" s="68">
        <v>4436983</v>
      </c>
      <c r="BJ36" s="37">
        <v>2176719</v>
      </c>
      <c r="BK36" s="37">
        <v>2260264</v>
      </c>
      <c r="BL36" s="37">
        <v>3652906</v>
      </c>
      <c r="BM36" s="37">
        <v>1791661</v>
      </c>
      <c r="BN36" s="37">
        <v>1861245</v>
      </c>
      <c r="BO36" s="37">
        <v>3460705</v>
      </c>
      <c r="BP36" s="37">
        <v>1693849</v>
      </c>
      <c r="BQ36" s="37">
        <v>1766856</v>
      </c>
      <c r="BR36" s="37">
        <v>142527</v>
      </c>
      <c r="BS36" s="37">
        <v>78106</v>
      </c>
      <c r="BT36" s="37">
        <v>64421</v>
      </c>
      <c r="BU36" s="37">
        <v>346427</v>
      </c>
      <c r="BV36" s="37">
        <v>182659</v>
      </c>
      <c r="BW36" s="37">
        <v>163768</v>
      </c>
      <c r="BX36" s="92">
        <f t="shared" si="73"/>
        <v>641550</v>
      </c>
      <c r="BY36" s="37">
        <v>306952</v>
      </c>
      <c r="BZ36" s="37">
        <v>334598</v>
      </c>
      <c r="CA36" s="125">
        <v>4243790</v>
      </c>
      <c r="CB36" s="38">
        <v>3403984</v>
      </c>
      <c r="CC36" s="37">
        <v>127967</v>
      </c>
      <c r="CD36" s="37">
        <v>573321</v>
      </c>
      <c r="CE36" s="37">
        <v>287054</v>
      </c>
      <c r="CF36" s="68">
        <v>4313853</v>
      </c>
      <c r="CG36" s="3">
        <v>3595070</v>
      </c>
      <c r="CH36" s="37">
        <v>130331</v>
      </c>
      <c r="CI36" s="37">
        <v>588452</v>
      </c>
      <c r="CJ36" s="37">
        <v>300432</v>
      </c>
      <c r="CK36" s="42">
        <v>4370771</v>
      </c>
      <c r="CL36" s="40">
        <v>3636020</v>
      </c>
      <c r="CM36" s="41">
        <v>133491</v>
      </c>
      <c r="CN36" s="41">
        <v>601260</v>
      </c>
      <c r="CO36" s="41">
        <v>311675</v>
      </c>
      <c r="CP36" s="42">
        <v>4436983</v>
      </c>
      <c r="CQ36" s="356">
        <v>3652906</v>
      </c>
      <c r="CR36" s="356">
        <v>142527</v>
      </c>
      <c r="CS36" s="41">
        <v>641550</v>
      </c>
      <c r="CT36" s="356">
        <v>346427</v>
      </c>
      <c r="CU36" s="42">
        <v>4511908</v>
      </c>
      <c r="CV36" s="356">
        <v>3702007</v>
      </c>
      <c r="CW36" s="356">
        <v>146310</v>
      </c>
      <c r="CX36" s="215">
        <f t="shared" si="74"/>
        <v>663591</v>
      </c>
      <c r="CY36" s="419">
        <v>363085</v>
      </c>
      <c r="CZ36" s="37">
        <v>4577171</v>
      </c>
      <c r="DA36" s="37">
        <v>3527811</v>
      </c>
      <c r="DB36" s="37">
        <v>150219</v>
      </c>
      <c r="DC36" s="37">
        <v>686390</v>
      </c>
      <c r="DD36" s="371">
        <v>376097</v>
      </c>
      <c r="DE36" s="37">
        <v>4640203</v>
      </c>
      <c r="DF36" s="37">
        <v>3553558</v>
      </c>
      <c r="DG36" s="1">
        <v>155404</v>
      </c>
      <c r="DH36" s="37">
        <v>704353</v>
      </c>
      <c r="DI36" s="37">
        <v>389403</v>
      </c>
      <c r="DJ36" s="37">
        <v>4784484</v>
      </c>
      <c r="DK36" s="37">
        <v>3610657</v>
      </c>
      <c r="DL36" s="37">
        <v>159787</v>
      </c>
      <c r="DM36" s="669">
        <v>757459</v>
      </c>
      <c r="DN36" s="37">
        <v>419481</v>
      </c>
      <c r="DO36" s="507">
        <v>4889314</v>
      </c>
      <c r="DP36" s="37">
        <v>3661107</v>
      </c>
      <c r="DQ36" s="37">
        <v>164860</v>
      </c>
      <c r="DR36" s="338">
        <v>806709</v>
      </c>
      <c r="DS36" s="37">
        <v>437200</v>
      </c>
      <c r="DT36" s="507">
        <v>4996555</v>
      </c>
      <c r="DU36" s="37">
        <v>3720765</v>
      </c>
      <c r="DV36" s="37">
        <v>169496</v>
      </c>
      <c r="DW36" s="338">
        <v>872961</v>
      </c>
      <c r="DX36" s="37">
        <v>450014</v>
      </c>
      <c r="DY36" s="506">
        <v>426803</v>
      </c>
      <c r="DZ36" s="506">
        <v>29505</v>
      </c>
      <c r="EA36" s="506">
        <v>56970</v>
      </c>
      <c r="EB36" s="506">
        <v>176551</v>
      </c>
      <c r="EC36" s="765">
        <v>183132</v>
      </c>
      <c r="ED36" s="542">
        <v>5101968</v>
      </c>
      <c r="EE36" s="37">
        <v>3755569</v>
      </c>
      <c r="EF36" s="28">
        <v>177786</v>
      </c>
      <c r="EG36" s="304">
        <v>911863</v>
      </c>
      <c r="EH36" s="37">
        <v>474071</v>
      </c>
      <c r="EI36" s="542">
        <v>5215063</v>
      </c>
      <c r="EJ36" s="37"/>
      <c r="EK36" s="28"/>
      <c r="EM36" s="37"/>
      <c r="EN36" s="37">
        <v>5290324</v>
      </c>
      <c r="EO36" s="37">
        <v>3821704</v>
      </c>
      <c r="EP36" s="28">
        <v>195806</v>
      </c>
      <c r="EQ36" s="304">
        <v>1003865</v>
      </c>
      <c r="ER36" s="37">
        <v>509771</v>
      </c>
      <c r="ES36" s="37">
        <v>5401149</v>
      </c>
      <c r="ET36" s="37">
        <v>3746246</v>
      </c>
      <c r="EU36" s="28">
        <v>199642</v>
      </c>
      <c r="EV36" s="304">
        <v>1373760</v>
      </c>
      <c r="EW36" s="37">
        <v>549637</v>
      </c>
      <c r="EX36" s="1">
        <v>538704</v>
      </c>
      <c r="EY36" s="1">
        <v>33689</v>
      </c>
      <c r="EZ36" s="1">
        <v>60263</v>
      </c>
      <c r="FA36" s="1">
        <v>492230</v>
      </c>
      <c r="FB36" s="701">
        <v>248874</v>
      </c>
    </row>
    <row r="37" spans="1:158" ht="15.6">
      <c r="A37" s="140" t="s">
        <v>37</v>
      </c>
      <c r="B37" s="159"/>
      <c r="C37" s="264"/>
      <c r="D37" s="265">
        <v>174252</v>
      </c>
      <c r="E37" s="265">
        <v>88542</v>
      </c>
      <c r="F37" s="265">
        <v>82759</v>
      </c>
      <c r="G37" s="265">
        <v>1585</v>
      </c>
      <c r="H37" s="265">
        <v>1366</v>
      </c>
      <c r="I37" s="266">
        <v>175649</v>
      </c>
      <c r="J37" s="267">
        <f t="shared" si="63"/>
        <v>172299</v>
      </c>
      <c r="K37" s="265">
        <v>85296</v>
      </c>
      <c r="L37" s="265">
        <v>87003</v>
      </c>
      <c r="M37" s="267">
        <f t="shared" si="64"/>
        <v>1047</v>
      </c>
      <c r="N37" s="265">
        <v>541</v>
      </c>
      <c r="O37" s="265">
        <v>506</v>
      </c>
      <c r="P37" s="267">
        <f t="shared" si="65"/>
        <v>7191</v>
      </c>
      <c r="Q37" s="265">
        <v>3643</v>
      </c>
      <c r="R37" s="265">
        <v>3548</v>
      </c>
      <c r="S37" s="266">
        <v>255149</v>
      </c>
      <c r="T37" s="165">
        <f t="shared" si="66"/>
        <v>238674</v>
      </c>
      <c r="U37" s="265">
        <v>120895</v>
      </c>
      <c r="V37" s="265">
        <v>117779</v>
      </c>
      <c r="W37" s="165">
        <f t="shared" si="67"/>
        <v>1338</v>
      </c>
      <c r="X37" s="265">
        <v>759</v>
      </c>
      <c r="Y37" s="265">
        <v>579</v>
      </c>
      <c r="Z37" s="165">
        <f t="shared" si="68"/>
        <v>10451</v>
      </c>
      <c r="AA37" s="265">
        <v>5630</v>
      </c>
      <c r="AB37" s="265">
        <v>4821</v>
      </c>
      <c r="AC37" s="267">
        <v>4469</v>
      </c>
      <c r="AD37" s="267">
        <v>2094</v>
      </c>
      <c r="AE37" s="267">
        <v>2375</v>
      </c>
      <c r="AF37" s="266">
        <v>277769</v>
      </c>
      <c r="AG37" s="158">
        <v>264566</v>
      </c>
      <c r="AH37" s="165">
        <f t="shared" si="69"/>
        <v>257937</v>
      </c>
      <c r="AI37" s="265">
        <v>126823</v>
      </c>
      <c r="AJ37" s="265">
        <v>131114</v>
      </c>
      <c r="AK37" s="158">
        <v>1672</v>
      </c>
      <c r="AL37" s="165">
        <f t="shared" si="70"/>
        <v>1621</v>
      </c>
      <c r="AM37" s="265">
        <v>922</v>
      </c>
      <c r="AN37" s="265">
        <v>699</v>
      </c>
      <c r="AO37" s="158">
        <v>12340</v>
      </c>
      <c r="AP37" s="265">
        <v>6192</v>
      </c>
      <c r="AQ37" s="265">
        <v>6148</v>
      </c>
      <c r="AR37" s="268">
        <f t="shared" si="71"/>
        <v>5871</v>
      </c>
      <c r="AS37" s="266">
        <v>315663</v>
      </c>
      <c r="AT37" s="158">
        <v>295036</v>
      </c>
      <c r="AU37" s="269">
        <v>145849</v>
      </c>
      <c r="AV37" s="269">
        <v>149187</v>
      </c>
      <c r="AW37" s="165">
        <f t="shared" si="72"/>
        <v>286774</v>
      </c>
      <c r="AX37" s="265">
        <v>141814</v>
      </c>
      <c r="AY37" s="265">
        <v>144960</v>
      </c>
      <c r="AZ37" s="158">
        <v>1776</v>
      </c>
      <c r="BA37" s="265">
        <v>1081</v>
      </c>
      <c r="BB37" s="265">
        <v>695</v>
      </c>
      <c r="BC37" s="158">
        <v>15938</v>
      </c>
      <c r="BD37" s="265">
        <v>8148</v>
      </c>
      <c r="BE37" s="265">
        <v>7790</v>
      </c>
      <c r="BF37" s="267">
        <v>18851</v>
      </c>
      <c r="BG37" s="267">
        <v>9384</v>
      </c>
      <c r="BH37" s="267">
        <v>9467</v>
      </c>
      <c r="BI37" s="266">
        <v>363880</v>
      </c>
      <c r="BJ37" s="265">
        <v>183497</v>
      </c>
      <c r="BK37" s="265">
        <v>180383</v>
      </c>
      <c r="BL37" s="265">
        <v>339392</v>
      </c>
      <c r="BM37" s="265">
        <v>171336</v>
      </c>
      <c r="BN37" s="265">
        <v>168056</v>
      </c>
      <c r="BO37" s="265">
        <v>324759</v>
      </c>
      <c r="BP37" s="265">
        <v>163809</v>
      </c>
      <c r="BQ37" s="265">
        <v>160950</v>
      </c>
      <c r="BR37" s="265">
        <v>2305</v>
      </c>
      <c r="BS37" s="265">
        <v>1487</v>
      </c>
      <c r="BT37" s="265">
        <v>818</v>
      </c>
      <c r="BU37" s="265">
        <v>24138</v>
      </c>
      <c r="BV37" s="265">
        <v>12750</v>
      </c>
      <c r="BW37" s="265">
        <v>11388</v>
      </c>
      <c r="BX37" s="267">
        <f t="shared" si="73"/>
        <v>22183</v>
      </c>
      <c r="BY37" s="265">
        <v>10674</v>
      </c>
      <c r="BZ37" s="265">
        <v>11509</v>
      </c>
      <c r="CA37" s="270">
        <v>336599</v>
      </c>
      <c r="CB37" s="38">
        <v>303451</v>
      </c>
      <c r="CC37" s="265">
        <v>1891</v>
      </c>
      <c r="CD37" s="265">
        <v>19748</v>
      </c>
      <c r="CE37" s="265">
        <v>19622</v>
      </c>
      <c r="CF37" s="266">
        <v>343120</v>
      </c>
      <c r="CG37" s="158">
        <v>320707</v>
      </c>
      <c r="CH37" s="265">
        <v>2464</v>
      </c>
      <c r="CI37" s="265">
        <v>19949</v>
      </c>
      <c r="CJ37" s="265">
        <v>20667</v>
      </c>
      <c r="CK37" s="161">
        <v>346944</v>
      </c>
      <c r="CL37" s="162">
        <v>323959</v>
      </c>
      <c r="CM37" s="162">
        <v>2945</v>
      </c>
      <c r="CN37" s="162">
        <v>20040</v>
      </c>
      <c r="CO37" s="162">
        <v>22236</v>
      </c>
      <c r="CP37" s="161">
        <v>363880</v>
      </c>
      <c r="CQ37" s="356">
        <v>339392</v>
      </c>
      <c r="CR37" s="356">
        <v>2305</v>
      </c>
      <c r="CS37" s="41">
        <v>22183</v>
      </c>
      <c r="CT37" s="356">
        <v>24138</v>
      </c>
      <c r="CU37" s="161">
        <v>370897</v>
      </c>
      <c r="CV37" s="356">
        <v>344701</v>
      </c>
      <c r="CW37" s="356"/>
      <c r="CX37" s="215">
        <f t="shared" si="74"/>
        <v>26196</v>
      </c>
      <c r="CY37" s="419">
        <v>24810</v>
      </c>
      <c r="CZ37" s="266">
        <v>376874</v>
      </c>
      <c r="DA37" s="37">
        <v>332724</v>
      </c>
      <c r="DB37" s="37">
        <v>2899</v>
      </c>
      <c r="DC37" s="37">
        <v>23967</v>
      </c>
      <c r="DD37" s="372">
        <v>27775</v>
      </c>
      <c r="DE37" s="37">
        <v>380967</v>
      </c>
      <c r="DF37" s="37">
        <v>334327</v>
      </c>
      <c r="DG37" s="1">
        <v>3075</v>
      </c>
      <c r="DH37" s="37">
        <v>24848</v>
      </c>
      <c r="DI37" s="37">
        <v>28762</v>
      </c>
      <c r="DJ37" s="37">
        <v>388962</v>
      </c>
      <c r="DK37" s="37">
        <v>337837</v>
      </c>
      <c r="DL37" s="37">
        <v>4056</v>
      </c>
      <c r="DM37" s="669">
        <v>21109</v>
      </c>
      <c r="DN37" s="37">
        <v>30849</v>
      </c>
      <c r="DO37" s="507">
        <v>388747</v>
      </c>
      <c r="DP37" s="37">
        <v>339931</v>
      </c>
      <c r="DQ37" s="37"/>
      <c r="DR37" s="338">
        <v>13515</v>
      </c>
      <c r="DS37" s="37">
        <v>30770</v>
      </c>
      <c r="DT37" s="507">
        <v>390794</v>
      </c>
      <c r="DU37" s="37">
        <v>341979</v>
      </c>
      <c r="DV37" s="37"/>
      <c r="DW37" s="338">
        <v>14482</v>
      </c>
      <c r="DX37" s="37">
        <v>30415</v>
      </c>
      <c r="DY37" s="506"/>
      <c r="DZ37" s="506">
        <v>0</v>
      </c>
      <c r="EA37" s="506">
        <v>7248</v>
      </c>
      <c r="EB37" s="506">
        <v>7234</v>
      </c>
      <c r="EC37" s="765"/>
      <c r="ED37" s="542">
        <v>387700</v>
      </c>
      <c r="EE37" s="37">
        <v>339033</v>
      </c>
      <c r="EF37" s="28">
        <v>0</v>
      </c>
      <c r="EG37" s="304">
        <v>13806</v>
      </c>
      <c r="EH37" s="37">
        <v>31371</v>
      </c>
      <c r="EI37" s="542">
        <v>393136</v>
      </c>
      <c r="EJ37" s="37"/>
      <c r="EK37" s="28"/>
      <c r="EM37" s="37"/>
      <c r="EN37" s="37">
        <v>389847</v>
      </c>
      <c r="EO37" s="37">
        <v>340863</v>
      </c>
      <c r="EP37" s="28"/>
      <c r="EQ37" s="304">
        <v>14151</v>
      </c>
      <c r="ER37" s="37">
        <v>30212</v>
      </c>
      <c r="ES37" s="37">
        <v>395348</v>
      </c>
      <c r="ET37" s="37">
        <v>333809</v>
      </c>
      <c r="EU37" s="28"/>
      <c r="EV37" s="304">
        <v>45790</v>
      </c>
      <c r="EW37" s="37">
        <v>34494</v>
      </c>
      <c r="EZ37" s="1">
        <v>5779</v>
      </c>
      <c r="FA37" s="1">
        <v>27926</v>
      </c>
      <c r="FB37" s="701">
        <v>12085</v>
      </c>
    </row>
    <row r="38" spans="1:158">
      <c r="A38" s="141" t="s">
        <v>38</v>
      </c>
      <c r="B38" s="373">
        <f>SUM(B40:B51)</f>
        <v>0</v>
      </c>
      <c r="C38" s="307">
        <f t="shared" ref="C38:CF38" si="75">SUM(C40:C51)</f>
        <v>0</v>
      </c>
      <c r="D38" s="304">
        <f t="shared" si="75"/>
        <v>28697480</v>
      </c>
      <c r="E38" s="304">
        <f t="shared" si="75"/>
        <v>13059523</v>
      </c>
      <c r="F38" s="304">
        <f t="shared" si="75"/>
        <v>13818547</v>
      </c>
      <c r="G38" s="304">
        <f t="shared" si="75"/>
        <v>878386</v>
      </c>
      <c r="H38" s="304">
        <f t="shared" si="75"/>
        <v>941064</v>
      </c>
      <c r="I38" s="305">
        <f t="shared" si="75"/>
        <v>28548259</v>
      </c>
      <c r="J38" s="304">
        <f t="shared" si="75"/>
        <v>26351616</v>
      </c>
      <c r="K38" s="304">
        <f t="shared" si="75"/>
        <v>12533074</v>
      </c>
      <c r="L38" s="304">
        <f t="shared" si="75"/>
        <v>13818542</v>
      </c>
      <c r="M38" s="304">
        <f t="shared" si="75"/>
        <v>2056903</v>
      </c>
      <c r="N38" s="304">
        <f t="shared" si="75"/>
        <v>949174</v>
      </c>
      <c r="O38" s="304">
        <f t="shared" si="75"/>
        <v>1107729</v>
      </c>
      <c r="P38" s="304">
        <f t="shared" si="75"/>
        <v>321632</v>
      </c>
      <c r="Q38" s="304">
        <f t="shared" si="75"/>
        <v>165966</v>
      </c>
      <c r="R38" s="304">
        <f t="shared" si="75"/>
        <v>155666</v>
      </c>
      <c r="S38" s="305">
        <f t="shared" si="75"/>
        <v>34084932</v>
      </c>
      <c r="T38" s="201">
        <f t="shared" si="75"/>
        <v>30572834</v>
      </c>
      <c r="U38" s="304">
        <f t="shared" si="75"/>
        <v>14429538</v>
      </c>
      <c r="V38" s="304">
        <f t="shared" si="75"/>
        <v>16143296</v>
      </c>
      <c r="W38" s="201">
        <f t="shared" si="75"/>
        <v>2606960</v>
      </c>
      <c r="X38" s="304">
        <f t="shared" si="75"/>
        <v>1168843</v>
      </c>
      <c r="Y38" s="304">
        <f t="shared" si="75"/>
        <v>1438117</v>
      </c>
      <c r="Z38" s="201">
        <f t="shared" si="75"/>
        <v>541313</v>
      </c>
      <c r="AA38" s="304">
        <f t="shared" si="75"/>
        <v>277603</v>
      </c>
      <c r="AB38" s="304">
        <f t="shared" si="75"/>
        <v>263710</v>
      </c>
      <c r="AC38" s="304">
        <f t="shared" si="75"/>
        <v>348195</v>
      </c>
      <c r="AD38" s="304">
        <f t="shared" si="75"/>
        <v>160451</v>
      </c>
      <c r="AE38" s="304">
        <f t="shared" si="75"/>
        <v>187744</v>
      </c>
      <c r="AF38" s="305">
        <f t="shared" si="75"/>
        <v>37873006</v>
      </c>
      <c r="AG38" s="201">
        <f t="shared" si="75"/>
        <v>33751700</v>
      </c>
      <c r="AH38" s="196">
        <f t="shared" si="75"/>
        <v>33364723</v>
      </c>
      <c r="AI38" s="304">
        <f t="shared" si="75"/>
        <v>15779009</v>
      </c>
      <c r="AJ38" s="304">
        <f t="shared" si="75"/>
        <v>17585714</v>
      </c>
      <c r="AK38" s="201">
        <f t="shared" si="75"/>
        <v>3147680</v>
      </c>
      <c r="AL38" s="196">
        <f t="shared" si="75"/>
        <v>3130275</v>
      </c>
      <c r="AM38" s="304">
        <f t="shared" si="75"/>
        <v>1386032</v>
      </c>
      <c r="AN38" s="304">
        <f t="shared" si="75"/>
        <v>1744243</v>
      </c>
      <c r="AO38" s="201">
        <f t="shared" si="75"/>
        <v>789239</v>
      </c>
      <c r="AP38" s="304">
        <f t="shared" si="75"/>
        <v>408847</v>
      </c>
      <c r="AQ38" s="304">
        <f t="shared" si="75"/>
        <v>380392</v>
      </c>
      <c r="AR38" s="306">
        <f t="shared" si="75"/>
        <v>588769</v>
      </c>
      <c r="AS38" s="305">
        <f t="shared" si="75"/>
        <v>41537007</v>
      </c>
      <c r="AT38" s="201">
        <f t="shared" si="75"/>
        <v>35789504</v>
      </c>
      <c r="AU38" s="308">
        <f t="shared" si="75"/>
        <v>17142791</v>
      </c>
      <c r="AV38" s="308">
        <f t="shared" si="75"/>
        <v>18646713</v>
      </c>
      <c r="AW38" s="196">
        <f t="shared" si="75"/>
        <v>35071724</v>
      </c>
      <c r="AX38" s="304">
        <f t="shared" si="75"/>
        <v>16766529</v>
      </c>
      <c r="AY38" s="304">
        <f t="shared" si="75"/>
        <v>18305195</v>
      </c>
      <c r="AZ38" s="201">
        <f t="shared" si="75"/>
        <v>3649327</v>
      </c>
      <c r="BA38" s="304">
        <f t="shared" si="75"/>
        <v>1644765</v>
      </c>
      <c r="BB38" s="304">
        <f t="shared" si="75"/>
        <v>2004562</v>
      </c>
      <c r="BC38" s="201">
        <f t="shared" si="75"/>
        <v>1501284</v>
      </c>
      <c r="BD38" s="304">
        <f t="shared" si="75"/>
        <v>799960</v>
      </c>
      <c r="BE38" s="304">
        <f t="shared" si="75"/>
        <v>701324</v>
      </c>
      <c r="BF38" s="304">
        <f t="shared" si="75"/>
        <v>2098176</v>
      </c>
      <c r="BG38" s="304">
        <f t="shared" si="75"/>
        <v>1058543</v>
      </c>
      <c r="BH38" s="304">
        <f t="shared" si="75"/>
        <v>1039633</v>
      </c>
      <c r="BI38" s="359">
        <f t="shared" si="75"/>
        <v>44026818</v>
      </c>
      <c r="BJ38" s="361">
        <f t="shared" si="75"/>
        <v>21220365</v>
      </c>
      <c r="BK38" s="361">
        <f t="shared" si="75"/>
        <v>22806453</v>
      </c>
      <c r="BL38" s="361">
        <f t="shared" si="75"/>
        <v>37382509</v>
      </c>
      <c r="BM38" s="361">
        <f t="shared" si="75"/>
        <v>18095537</v>
      </c>
      <c r="BN38" s="361">
        <f t="shared" si="75"/>
        <v>19286972</v>
      </c>
      <c r="BO38" s="361">
        <f t="shared" si="75"/>
        <v>36032481</v>
      </c>
      <c r="BP38" s="361">
        <f t="shared" si="75"/>
        <v>17395677</v>
      </c>
      <c r="BQ38" s="361">
        <f t="shared" si="75"/>
        <v>18636804</v>
      </c>
      <c r="BR38" s="361">
        <f t="shared" si="75"/>
        <v>4048970</v>
      </c>
      <c r="BS38" s="361">
        <f t="shared" si="75"/>
        <v>1847417</v>
      </c>
      <c r="BT38" s="361">
        <f t="shared" si="75"/>
        <v>2201553</v>
      </c>
      <c r="BU38" s="361">
        <f t="shared" si="75"/>
        <v>2265506</v>
      </c>
      <c r="BV38" s="361">
        <f t="shared" si="75"/>
        <v>1182018</v>
      </c>
      <c r="BW38" s="361">
        <f t="shared" si="75"/>
        <v>1083488</v>
      </c>
      <c r="BX38" s="361">
        <f t="shared" si="75"/>
        <v>2595339</v>
      </c>
      <c r="BY38" s="361">
        <f t="shared" si="75"/>
        <v>1277411</v>
      </c>
      <c r="BZ38" s="361">
        <f t="shared" si="75"/>
        <v>1317928</v>
      </c>
      <c r="CA38" s="309">
        <f t="shared" si="75"/>
        <v>43336463</v>
      </c>
      <c r="CB38" s="361">
        <f t="shared" si="75"/>
        <v>35829109</v>
      </c>
      <c r="CC38" s="304">
        <f t="shared" si="75"/>
        <v>3912713</v>
      </c>
      <c r="CD38" s="304">
        <f t="shared" si="75"/>
        <v>2644521</v>
      </c>
      <c r="CE38" s="304">
        <f t="shared" si="75"/>
        <v>2061239</v>
      </c>
      <c r="CF38" s="305">
        <f t="shared" si="75"/>
        <v>43618215</v>
      </c>
      <c r="CG38" s="201">
        <f t="shared" ref="CG38:CP38" si="76">SUM(CG40:CG51)</f>
        <v>37030568</v>
      </c>
      <c r="CH38" s="304">
        <f t="shared" si="76"/>
        <v>3939452</v>
      </c>
      <c r="CI38" s="304">
        <f t="shared" si="76"/>
        <v>2648195</v>
      </c>
      <c r="CJ38" s="304">
        <f t="shared" si="76"/>
        <v>2125299</v>
      </c>
      <c r="CK38" s="195">
        <f t="shared" si="76"/>
        <v>43802224</v>
      </c>
      <c r="CL38" s="173">
        <f t="shared" si="76"/>
        <v>37248636</v>
      </c>
      <c r="CM38" s="215">
        <f t="shared" si="76"/>
        <v>3968188</v>
      </c>
      <c r="CN38" s="215">
        <f t="shared" si="76"/>
        <v>2585400</v>
      </c>
      <c r="CO38" s="215">
        <f t="shared" si="76"/>
        <v>2156509</v>
      </c>
      <c r="CP38" s="250">
        <f t="shared" si="76"/>
        <v>44026818</v>
      </c>
      <c r="CQ38" s="362">
        <f t="shared" ref="CQ38:DO38" si="77">SUM(CQ40:CQ51)</f>
        <v>37382509</v>
      </c>
      <c r="CR38" s="362">
        <f t="shared" si="77"/>
        <v>4048970</v>
      </c>
      <c r="CS38" s="362">
        <f t="shared" si="77"/>
        <v>2595339</v>
      </c>
      <c r="CT38" s="362">
        <f t="shared" si="77"/>
        <v>2265506</v>
      </c>
      <c r="CU38" s="250">
        <f t="shared" si="77"/>
        <v>44312398</v>
      </c>
      <c r="CV38" s="362">
        <f t="shared" si="77"/>
        <v>37569470</v>
      </c>
      <c r="CW38" s="362">
        <f t="shared" si="77"/>
        <v>4087398</v>
      </c>
      <c r="CX38" s="362">
        <f t="shared" si="77"/>
        <v>2655530</v>
      </c>
      <c r="CY38" s="415">
        <f t="shared" si="77"/>
        <v>2332301</v>
      </c>
      <c r="CZ38" s="425">
        <f t="shared" si="77"/>
        <v>44573814</v>
      </c>
      <c r="DA38" s="425">
        <f t="shared" si="77"/>
        <v>36251858</v>
      </c>
      <c r="DB38" s="425">
        <f t="shared" si="77"/>
        <v>4131316</v>
      </c>
      <c r="DC38" s="425">
        <f t="shared" si="77"/>
        <v>2691330</v>
      </c>
      <c r="DD38" s="422">
        <f t="shared" si="77"/>
        <v>2402152</v>
      </c>
      <c r="DE38" s="425">
        <f t="shared" si="77"/>
        <v>44822869</v>
      </c>
      <c r="DF38" s="425">
        <f t="shared" si="77"/>
        <v>36347528</v>
      </c>
      <c r="DG38" s="425">
        <f t="shared" si="77"/>
        <v>4151608</v>
      </c>
      <c r="DH38" s="425">
        <f t="shared" si="77"/>
        <v>2765339</v>
      </c>
      <c r="DI38" s="425">
        <f t="shared" si="77"/>
        <v>2467257</v>
      </c>
      <c r="DJ38" s="425">
        <f t="shared" si="77"/>
        <v>45370783</v>
      </c>
      <c r="DK38" s="425">
        <f t="shared" si="77"/>
        <v>36499579</v>
      </c>
      <c r="DL38" s="682">
        <f t="shared" si="77"/>
        <v>4242463</v>
      </c>
      <c r="DM38" s="425">
        <f t="shared" si="77"/>
        <v>2953757</v>
      </c>
      <c r="DN38" s="425">
        <f t="shared" si="77"/>
        <v>2592664</v>
      </c>
      <c r="DO38" s="425">
        <f t="shared" si="77"/>
        <v>45618163</v>
      </c>
      <c r="DP38" s="425">
        <f>SUM(DP40:DP51)</f>
        <v>36561813</v>
      </c>
      <c r="DQ38" s="425">
        <f t="shared" ref="DQ38:EC38" si="78">SUM(DQ40:DQ51)</f>
        <v>4299232</v>
      </c>
      <c r="DR38" s="425">
        <f t="shared" si="78"/>
        <v>3053489</v>
      </c>
      <c r="DS38" s="425">
        <f t="shared" si="78"/>
        <v>2671536</v>
      </c>
      <c r="DT38" s="425">
        <f>SUM(DT40:DT51)</f>
        <v>45803569</v>
      </c>
      <c r="DU38" s="425">
        <f>SUM(DU40:DU51)</f>
        <v>36584021</v>
      </c>
      <c r="DV38" s="425">
        <f t="shared" si="78"/>
        <v>4331889</v>
      </c>
      <c r="DW38" s="425">
        <f t="shared" si="78"/>
        <v>3182424</v>
      </c>
      <c r="DX38" s="425">
        <f t="shared" si="78"/>
        <v>2721334</v>
      </c>
      <c r="DY38" s="425">
        <f t="shared" si="78"/>
        <v>1366245</v>
      </c>
      <c r="DZ38" s="425">
        <f t="shared" si="78"/>
        <v>0</v>
      </c>
      <c r="EA38" s="425">
        <f t="shared" si="78"/>
        <v>258570</v>
      </c>
      <c r="EB38" s="425">
        <f t="shared" si="78"/>
        <v>641114</v>
      </c>
      <c r="EC38" s="425">
        <f t="shared" si="78"/>
        <v>916495</v>
      </c>
      <c r="ED38" s="544">
        <f>SUM(ED40:ED51)</f>
        <v>46158645</v>
      </c>
      <c r="EE38" s="425">
        <f>SUM(EE40:EE51)</f>
        <v>36666613</v>
      </c>
      <c r="EF38" s="425">
        <f>SUM(EF40:EF51)</f>
        <v>4415512</v>
      </c>
      <c r="EG38" s="425">
        <f t="shared" ref="EG38:EH38" si="79">SUM(EG40:EG51)</f>
        <v>3269832</v>
      </c>
      <c r="EH38" s="425">
        <f t="shared" si="79"/>
        <v>2813704</v>
      </c>
      <c r="EI38" s="544">
        <f>SUM(EI40:EI51)</f>
        <v>46421475</v>
      </c>
      <c r="EJ38" s="425">
        <f>SUM(EJ40:EJ51)</f>
        <v>0</v>
      </c>
      <c r="EK38" s="425">
        <f>SUM(EK40:EK51)</f>
        <v>0</v>
      </c>
      <c r="EL38" s="425">
        <f t="shared" ref="EL38:EM38" si="80">SUM(EL40:EL51)</f>
        <v>0</v>
      </c>
      <c r="EM38" s="425">
        <f t="shared" si="80"/>
        <v>0</v>
      </c>
      <c r="EN38" s="544">
        <f>SUM(EN40:EN51)</f>
        <v>46615059</v>
      </c>
      <c r="EO38" s="425">
        <f>SUM(EO40:EO51)</f>
        <v>36737565</v>
      </c>
      <c r="EP38" s="425">
        <f>SUM(EP40:EP51)</f>
        <v>4533097</v>
      </c>
      <c r="EQ38" s="425">
        <f t="shared" ref="EQ38:ER38" si="81">SUM(EQ40:EQ51)</f>
        <v>3451315</v>
      </c>
      <c r="ER38" s="425">
        <f t="shared" si="81"/>
        <v>2942446</v>
      </c>
      <c r="ES38" s="544">
        <f>SUM(ES40:ES51)</f>
        <v>47050957</v>
      </c>
      <c r="ET38" s="425">
        <f>SUM(ET40:ET51)</f>
        <v>36264561</v>
      </c>
      <c r="EU38" s="425">
        <f>SUM(EU40:EU51)</f>
        <v>4376903</v>
      </c>
      <c r="EV38" s="425">
        <f t="shared" ref="EV38:FB38" si="82">SUM(EV40:EV51)</f>
        <v>5902421</v>
      </c>
      <c r="EW38" s="425">
        <f t="shared" si="82"/>
        <v>3128647</v>
      </c>
      <c r="EX38" s="425">
        <f t="shared" si="82"/>
        <v>1550356</v>
      </c>
      <c r="EY38" s="425">
        <f t="shared" ref="EY38" si="83">SUM(EY40:EY51)</f>
        <v>0</v>
      </c>
      <c r="EZ38" s="425">
        <f t="shared" si="82"/>
        <v>273762</v>
      </c>
      <c r="FA38" s="425">
        <f t="shared" si="82"/>
        <v>2755226</v>
      </c>
      <c r="FB38" s="425">
        <f t="shared" si="82"/>
        <v>1323077</v>
      </c>
    </row>
    <row r="39" spans="1:158" ht="15.6">
      <c r="A39" s="141" t="s">
        <v>150</v>
      </c>
      <c r="B39" s="8"/>
      <c r="C39" s="17"/>
      <c r="J39" s="92"/>
      <c r="M39" s="92"/>
      <c r="P39" s="92"/>
      <c r="S39" s="68"/>
      <c r="T39" s="90"/>
      <c r="W39" s="90"/>
      <c r="Z39" s="90"/>
      <c r="AC39" s="92"/>
      <c r="AD39" s="92"/>
      <c r="AE39" s="92"/>
      <c r="AG39" s="3"/>
      <c r="AH39" s="55"/>
      <c r="AK39" s="3"/>
      <c r="AL39" s="55"/>
      <c r="AO39" s="3"/>
      <c r="AR39" s="59"/>
      <c r="AT39" s="3"/>
      <c r="AU39" s="115"/>
      <c r="AV39" s="115"/>
      <c r="AW39" s="55"/>
      <c r="AZ39" s="3"/>
      <c r="BC39" s="3"/>
      <c r="BF39" s="92"/>
      <c r="BG39" s="92"/>
      <c r="BH39" s="92"/>
      <c r="BI39" s="68"/>
      <c r="BL39" s="92"/>
      <c r="BX39" s="92"/>
      <c r="CA39" s="125"/>
      <c r="CB39" s="38"/>
      <c r="CF39" s="68"/>
      <c r="CG39" s="3"/>
      <c r="CK39" s="42"/>
      <c r="CL39" s="40"/>
      <c r="CM39" s="41"/>
      <c r="CN39" s="41"/>
      <c r="CO39" s="41"/>
      <c r="CP39" s="42"/>
      <c r="CQ39" s="356"/>
      <c r="CR39" s="356"/>
      <c r="CS39" s="41"/>
      <c r="CT39" s="356"/>
      <c r="CU39" s="42"/>
      <c r="CV39" s="356"/>
      <c r="CW39" s="356"/>
      <c r="CX39" s="356"/>
      <c r="CY39" s="419"/>
      <c r="CZ39" s="37"/>
      <c r="DA39" s="37"/>
      <c r="DB39" s="37"/>
      <c r="DC39" s="37"/>
      <c r="DD39" s="371"/>
      <c r="DH39" s="37">
        <v>0</v>
      </c>
      <c r="DM39" s="670"/>
      <c r="DO39" s="507">
        <v>0</v>
      </c>
      <c r="DP39" s="506"/>
      <c r="DQ39" s="37"/>
      <c r="DR39" s="338">
        <v>0</v>
      </c>
      <c r="DS39" s="37"/>
      <c r="DT39" s="507"/>
      <c r="DU39" s="506"/>
      <c r="DV39" s="37"/>
      <c r="DX39" s="37"/>
      <c r="EC39" s="701"/>
      <c r="ED39" s="542"/>
      <c r="EE39" s="506"/>
      <c r="EF39" s="28"/>
      <c r="EH39" s="37"/>
      <c r="EI39" s="542"/>
      <c r="EJ39" s="506"/>
      <c r="EK39" s="28"/>
      <c r="EM39" s="37"/>
      <c r="EN39" s="542"/>
      <c r="EO39" s="506"/>
      <c r="EP39" s="28"/>
      <c r="EQ39" s="304"/>
      <c r="ER39" s="37"/>
      <c r="ES39" s="542"/>
      <c r="ET39" s="506"/>
      <c r="EU39" s="28"/>
      <c r="EV39" s="304"/>
      <c r="EW39" s="37"/>
      <c r="FB39" s="701"/>
    </row>
    <row r="40" spans="1:158" ht="15.6">
      <c r="A40" s="38" t="s">
        <v>39</v>
      </c>
      <c r="B40" s="8"/>
      <c r="C40" s="17"/>
      <c r="D40" s="37">
        <v>5808313</v>
      </c>
      <c r="E40" s="37">
        <v>2549342</v>
      </c>
      <c r="F40" s="37">
        <v>2718144</v>
      </c>
      <c r="G40" s="37">
        <v>258514</v>
      </c>
      <c r="H40" s="37">
        <v>282313</v>
      </c>
      <c r="I40" s="68">
        <v>6089328</v>
      </c>
      <c r="J40" s="92">
        <f t="shared" ref="J40:J51" si="84">+K40+L40</f>
        <v>5397905</v>
      </c>
      <c r="K40" s="37">
        <v>2558930</v>
      </c>
      <c r="L40" s="37">
        <v>2838975</v>
      </c>
      <c r="M40" s="92">
        <f t="shared" ref="M40:M51" si="85">+N40+O40</f>
        <v>651998</v>
      </c>
      <c r="N40" s="37">
        <v>296878</v>
      </c>
      <c r="O40" s="37">
        <v>355120</v>
      </c>
      <c r="P40" s="92">
        <f t="shared" ref="P40:P51" si="86">+Q40+R40</f>
        <v>148457</v>
      </c>
      <c r="Q40" s="37">
        <v>77248</v>
      </c>
      <c r="R40" s="37">
        <v>71209</v>
      </c>
      <c r="S40" s="68">
        <v>6678759</v>
      </c>
      <c r="T40" s="90">
        <f t="shared" ref="T40:T51" si="87">+U40+V40</f>
        <v>5485175</v>
      </c>
      <c r="U40" s="37">
        <v>2576154</v>
      </c>
      <c r="V40" s="37">
        <v>2909021</v>
      </c>
      <c r="W40" s="90">
        <f t="shared" ref="W40:W51" si="88">+X40+Y40</f>
        <v>807761</v>
      </c>
      <c r="X40" s="37">
        <v>355479</v>
      </c>
      <c r="Y40" s="37">
        <v>452282</v>
      </c>
      <c r="Z40" s="90">
        <f t="shared" ref="Z40:Z51" si="89">+AA40+AB40</f>
        <v>273346</v>
      </c>
      <c r="AA40" s="37">
        <v>142431</v>
      </c>
      <c r="AB40" s="37">
        <v>130915</v>
      </c>
      <c r="AC40" s="92">
        <v>107032</v>
      </c>
      <c r="AD40" s="92">
        <v>50457</v>
      </c>
      <c r="AE40" s="92">
        <v>56575</v>
      </c>
      <c r="AF40" s="68">
        <v>7293930</v>
      </c>
      <c r="AG40" s="3">
        <v>5949891</v>
      </c>
      <c r="AH40" s="55">
        <f t="shared" ref="AH40:AH51" si="90">+AI40+AJ40</f>
        <v>5756734</v>
      </c>
      <c r="AI40" s="37">
        <v>2711981</v>
      </c>
      <c r="AJ40" s="37">
        <v>3044753</v>
      </c>
      <c r="AK40" s="3">
        <v>938378</v>
      </c>
      <c r="AL40" s="55">
        <f t="shared" ref="AL40:AL51" si="91">+AM40+AN40</f>
        <v>931085</v>
      </c>
      <c r="AM40" s="37">
        <v>406589</v>
      </c>
      <c r="AN40" s="37">
        <v>524496</v>
      </c>
      <c r="AO40" s="3">
        <v>423820</v>
      </c>
      <c r="AP40" s="37">
        <v>222297</v>
      </c>
      <c r="AQ40" s="37">
        <v>201523</v>
      </c>
      <c r="AR40" s="59">
        <f t="shared" ref="AR40:AR51" si="92">+AF40-AH40-AL40-AO40</f>
        <v>182291</v>
      </c>
      <c r="AS40" s="68">
        <v>7973671</v>
      </c>
      <c r="AT40" s="3">
        <v>6144044</v>
      </c>
      <c r="AU40" s="115">
        <v>2937352</v>
      </c>
      <c r="AV40" s="115">
        <v>3206692</v>
      </c>
      <c r="AW40" s="55">
        <f t="shared" ref="AW40:AW51" si="93">+AX40+AY40</f>
        <v>5786876</v>
      </c>
      <c r="AX40" s="37">
        <v>2748690</v>
      </c>
      <c r="AY40" s="37">
        <v>3038186</v>
      </c>
      <c r="AZ40" s="3">
        <v>1064516</v>
      </c>
      <c r="BA40" s="37">
        <v>469766</v>
      </c>
      <c r="BB40" s="37">
        <v>594750</v>
      </c>
      <c r="BC40" s="3">
        <v>754648</v>
      </c>
      <c r="BD40" s="37">
        <v>399729</v>
      </c>
      <c r="BE40" s="37">
        <v>354919</v>
      </c>
      <c r="BF40" s="92">
        <v>765111</v>
      </c>
      <c r="BG40" s="92">
        <v>387284</v>
      </c>
      <c r="BH40" s="92">
        <v>377827</v>
      </c>
      <c r="BI40" s="68">
        <v>8407186</v>
      </c>
      <c r="BJ40" s="37">
        <v>4032378</v>
      </c>
      <c r="BK40" s="37">
        <v>4374808</v>
      </c>
      <c r="BL40" s="37">
        <v>6355118</v>
      </c>
      <c r="BM40" s="37">
        <v>3075211</v>
      </c>
      <c r="BN40" s="37">
        <v>3279907</v>
      </c>
      <c r="BO40" s="37">
        <v>5783410</v>
      </c>
      <c r="BP40" s="37">
        <v>2778511</v>
      </c>
      <c r="BQ40" s="37">
        <v>3004899</v>
      </c>
      <c r="BR40" s="37">
        <v>1117298</v>
      </c>
      <c r="BS40" s="37">
        <v>494902</v>
      </c>
      <c r="BT40" s="37">
        <v>622396</v>
      </c>
      <c r="BU40" s="37">
        <v>1041805</v>
      </c>
      <c r="BV40" s="37">
        <v>539371</v>
      </c>
      <c r="BW40" s="37">
        <v>502434</v>
      </c>
      <c r="BX40" s="92">
        <f t="shared" ref="BX40:BX51" si="94">+BY40+BZ40</f>
        <v>934770</v>
      </c>
      <c r="BY40" s="37">
        <v>462265</v>
      </c>
      <c r="BZ40" s="37">
        <v>472505</v>
      </c>
      <c r="CA40" s="125">
        <v>8292894</v>
      </c>
      <c r="CB40" s="38">
        <v>5771538</v>
      </c>
      <c r="CC40" s="37">
        <v>1103660</v>
      </c>
      <c r="CD40" s="37">
        <v>1015038</v>
      </c>
      <c r="CE40" s="37">
        <v>990478</v>
      </c>
      <c r="CF40" s="68">
        <v>8336919</v>
      </c>
      <c r="CG40" s="3">
        <v>6216397</v>
      </c>
      <c r="CH40" s="37">
        <v>1110546</v>
      </c>
      <c r="CI40" s="37">
        <v>1009976</v>
      </c>
      <c r="CJ40" s="37">
        <v>1017903</v>
      </c>
      <c r="CK40" s="42">
        <v>8372752</v>
      </c>
      <c r="CL40" s="40">
        <v>6296420</v>
      </c>
      <c r="CM40" s="41">
        <v>1119587</v>
      </c>
      <c r="CN40" s="41">
        <v>956745</v>
      </c>
      <c r="CO40" s="41">
        <v>1012721</v>
      </c>
      <c r="CP40" s="42">
        <v>8407186</v>
      </c>
      <c r="CQ40" s="356">
        <v>6355118</v>
      </c>
      <c r="CR40" s="356">
        <v>1117298</v>
      </c>
      <c r="CS40" s="41">
        <v>934770</v>
      </c>
      <c r="CT40" s="356">
        <v>1041805</v>
      </c>
      <c r="CU40" s="42">
        <v>8465750</v>
      </c>
      <c r="CV40" s="356">
        <v>6398088</v>
      </c>
      <c r="CW40" s="356">
        <v>1126013</v>
      </c>
      <c r="CX40" s="215">
        <f t="shared" ref="CX40:CX51" si="95">CU40-CV40-CW40</f>
        <v>941649</v>
      </c>
      <c r="CY40" s="419">
        <v>1070933</v>
      </c>
      <c r="CZ40" s="37">
        <v>8515161</v>
      </c>
      <c r="DA40" s="37">
        <v>5792243</v>
      </c>
      <c r="DB40" s="37">
        <v>1134333</v>
      </c>
      <c r="DC40" s="37">
        <v>942381</v>
      </c>
      <c r="DD40" s="371">
        <v>1094874</v>
      </c>
      <c r="DE40" s="37">
        <v>8556788</v>
      </c>
      <c r="DF40" s="37">
        <v>5791932</v>
      </c>
      <c r="DG40" s="1">
        <v>1135131</v>
      </c>
      <c r="DH40" s="37">
        <v>956241</v>
      </c>
      <c r="DI40" s="37">
        <v>1117722</v>
      </c>
      <c r="DJ40" s="37">
        <v>8639076</v>
      </c>
      <c r="DK40" s="37">
        <v>5771650</v>
      </c>
      <c r="DL40" s="37">
        <v>1147196</v>
      </c>
      <c r="DM40" s="669">
        <v>1014565</v>
      </c>
      <c r="DN40" s="37">
        <v>1169583</v>
      </c>
      <c r="DO40" s="507">
        <v>8661938</v>
      </c>
      <c r="DP40" s="37">
        <v>5748466</v>
      </c>
      <c r="DQ40" s="37">
        <v>1158317</v>
      </c>
      <c r="DR40" s="338">
        <v>1039118</v>
      </c>
      <c r="DS40" s="37">
        <v>1194878</v>
      </c>
      <c r="DT40" s="507">
        <v>8665219</v>
      </c>
      <c r="DU40" s="37">
        <v>5724521</v>
      </c>
      <c r="DV40" s="37">
        <v>1154328</v>
      </c>
      <c r="DW40" s="338">
        <v>1086429</v>
      </c>
      <c r="DX40" s="37">
        <v>1205051</v>
      </c>
      <c r="DY40" s="1">
        <v>478425</v>
      </c>
      <c r="DZ40" s="1">
        <v>0</v>
      </c>
      <c r="EA40" s="1">
        <v>21134</v>
      </c>
      <c r="EB40" s="1">
        <v>126159</v>
      </c>
      <c r="EC40" s="701">
        <v>460711</v>
      </c>
      <c r="ED40" s="542">
        <v>8707057</v>
      </c>
      <c r="EE40" s="37">
        <v>5711077</v>
      </c>
      <c r="EF40" s="28">
        <v>1168603</v>
      </c>
      <c r="EG40" s="304">
        <v>1097248</v>
      </c>
      <c r="EH40" s="37">
        <v>1234633</v>
      </c>
      <c r="EI40" s="542">
        <v>8706376</v>
      </c>
      <c r="EJ40" s="37"/>
      <c r="EK40" s="28"/>
      <c r="EM40" s="37"/>
      <c r="EN40" s="37">
        <v>8694694</v>
      </c>
      <c r="EO40" s="37">
        <v>5640997</v>
      </c>
      <c r="EP40" s="28">
        <v>1177578</v>
      </c>
      <c r="EQ40" s="304">
        <v>1100197</v>
      </c>
      <c r="ER40" s="37">
        <v>1256316</v>
      </c>
      <c r="ES40" s="37">
        <v>8730697</v>
      </c>
      <c r="ET40" s="37">
        <v>5506258</v>
      </c>
      <c r="EU40" s="28">
        <v>1137909</v>
      </c>
      <c r="EV40" s="304">
        <v>1925372</v>
      </c>
      <c r="EW40" s="37">
        <v>1316805</v>
      </c>
      <c r="EX40" s="1">
        <v>522981</v>
      </c>
      <c r="EZ40" s="1">
        <v>52279</v>
      </c>
      <c r="FA40" s="1">
        <v>769434</v>
      </c>
      <c r="FB40" s="701">
        <v>580678</v>
      </c>
    </row>
    <row r="41" spans="1:158" ht="15.6">
      <c r="A41" s="38" t="s">
        <v>40</v>
      </c>
      <c r="B41" s="8"/>
      <c r="C41" s="17"/>
      <c r="D41" s="37">
        <v>2550162</v>
      </c>
      <c r="E41" s="37">
        <v>1167374</v>
      </c>
      <c r="F41" s="37">
        <v>1245886</v>
      </c>
      <c r="G41" s="37">
        <v>66044</v>
      </c>
      <c r="H41" s="37">
        <v>70898</v>
      </c>
      <c r="I41" s="68">
        <v>2746414</v>
      </c>
      <c r="J41" s="92">
        <f t="shared" si="84"/>
        <v>2578280</v>
      </c>
      <c r="K41" s="37">
        <v>1224278</v>
      </c>
      <c r="L41" s="37">
        <v>1354002</v>
      </c>
      <c r="M41" s="92">
        <f t="shared" si="85"/>
        <v>161664</v>
      </c>
      <c r="N41" s="37">
        <v>75428</v>
      </c>
      <c r="O41" s="37">
        <v>86236</v>
      </c>
      <c r="P41" s="92">
        <f t="shared" si="86"/>
        <v>25931</v>
      </c>
      <c r="Q41" s="37">
        <v>13447</v>
      </c>
      <c r="R41" s="37">
        <v>12484</v>
      </c>
      <c r="S41" s="68">
        <v>3135772</v>
      </c>
      <c r="T41" s="90">
        <f t="shared" si="87"/>
        <v>2881095</v>
      </c>
      <c r="U41" s="37">
        <v>1355467</v>
      </c>
      <c r="V41" s="37">
        <v>1525628</v>
      </c>
      <c r="W41" s="90">
        <f t="shared" si="88"/>
        <v>199540</v>
      </c>
      <c r="X41" s="37">
        <v>90358</v>
      </c>
      <c r="Y41" s="37">
        <v>109182</v>
      </c>
      <c r="Z41" s="90">
        <f t="shared" si="89"/>
        <v>36887</v>
      </c>
      <c r="AA41" s="37">
        <v>18565</v>
      </c>
      <c r="AB41" s="37">
        <v>18322</v>
      </c>
      <c r="AC41" s="92">
        <v>17531</v>
      </c>
      <c r="AD41" s="92">
        <v>7792</v>
      </c>
      <c r="AE41" s="92">
        <v>9739</v>
      </c>
      <c r="AF41" s="68">
        <v>3489470</v>
      </c>
      <c r="AG41" s="3">
        <v>3202320</v>
      </c>
      <c r="AH41" s="55">
        <f t="shared" si="90"/>
        <v>3176283</v>
      </c>
      <c r="AI41" s="37">
        <v>1497284</v>
      </c>
      <c r="AJ41" s="37">
        <v>1678999</v>
      </c>
      <c r="AK41" s="3">
        <v>238287</v>
      </c>
      <c r="AL41" s="55">
        <f t="shared" si="91"/>
        <v>237261</v>
      </c>
      <c r="AM41" s="37">
        <v>105480</v>
      </c>
      <c r="AN41" s="37">
        <v>131781</v>
      </c>
      <c r="AO41" s="3">
        <v>46403</v>
      </c>
      <c r="AP41" s="37">
        <v>23492</v>
      </c>
      <c r="AQ41" s="37">
        <v>22911</v>
      </c>
      <c r="AR41" s="59">
        <f t="shared" si="92"/>
        <v>29523</v>
      </c>
      <c r="AS41" s="68">
        <v>3893278</v>
      </c>
      <c r="AT41" s="3">
        <v>3478901</v>
      </c>
      <c r="AU41" s="115">
        <v>1663935</v>
      </c>
      <c r="AV41" s="115">
        <v>1814966</v>
      </c>
      <c r="AW41" s="55">
        <f t="shared" si="93"/>
        <v>3429767</v>
      </c>
      <c r="AX41" s="37">
        <v>1637912</v>
      </c>
      <c r="AY41" s="37">
        <v>1791855</v>
      </c>
      <c r="AZ41" s="3">
        <v>286094</v>
      </c>
      <c r="BA41" s="37">
        <v>130514</v>
      </c>
      <c r="BB41" s="37">
        <v>155580</v>
      </c>
      <c r="BC41" s="3">
        <v>101261</v>
      </c>
      <c r="BD41" s="37">
        <v>55677</v>
      </c>
      <c r="BE41" s="37">
        <v>45584</v>
      </c>
      <c r="BF41" s="92">
        <v>128283</v>
      </c>
      <c r="BG41" s="92">
        <v>66143</v>
      </c>
      <c r="BH41" s="92">
        <v>62140</v>
      </c>
      <c r="BI41" s="68">
        <v>4200431</v>
      </c>
      <c r="BJ41" s="37">
        <v>2023464</v>
      </c>
      <c r="BK41" s="37">
        <v>2176967</v>
      </c>
      <c r="BL41" s="37">
        <v>3677433</v>
      </c>
      <c r="BM41" s="37">
        <v>1775763</v>
      </c>
      <c r="BN41" s="37">
        <v>1901670</v>
      </c>
      <c r="BO41" s="37">
        <v>3575425</v>
      </c>
      <c r="BP41" s="37">
        <v>1721291</v>
      </c>
      <c r="BQ41" s="37">
        <v>1854134</v>
      </c>
      <c r="BR41" s="37">
        <v>338097</v>
      </c>
      <c r="BS41" s="37">
        <v>154956</v>
      </c>
      <c r="BT41" s="37">
        <v>183141</v>
      </c>
      <c r="BU41" s="37">
        <v>183322</v>
      </c>
      <c r="BV41" s="37">
        <v>97722</v>
      </c>
      <c r="BW41" s="37">
        <v>85600</v>
      </c>
      <c r="BX41" s="92">
        <f t="shared" si="94"/>
        <v>184901</v>
      </c>
      <c r="BY41" s="37">
        <v>92745</v>
      </c>
      <c r="BZ41" s="37">
        <v>92156</v>
      </c>
      <c r="CA41" s="125">
        <v>4107829</v>
      </c>
      <c r="CB41" s="38">
        <v>3543100</v>
      </c>
      <c r="CC41" s="37">
        <v>317815</v>
      </c>
      <c r="CD41" s="37">
        <v>175917</v>
      </c>
      <c r="CE41" s="37">
        <v>155150</v>
      </c>
      <c r="CF41" s="68">
        <v>4145875</v>
      </c>
      <c r="CG41" s="3">
        <v>3645205</v>
      </c>
      <c r="CH41" s="37">
        <v>322391</v>
      </c>
      <c r="CI41" s="37">
        <v>178279</v>
      </c>
      <c r="CJ41" s="37">
        <v>161424</v>
      </c>
      <c r="CK41" s="42">
        <v>4156633</v>
      </c>
      <c r="CL41" s="40">
        <v>3648422</v>
      </c>
      <c r="CM41" s="41">
        <v>327681</v>
      </c>
      <c r="CN41" s="41">
        <v>180530</v>
      </c>
      <c r="CO41" s="41">
        <v>167996</v>
      </c>
      <c r="CP41" s="42">
        <v>4200431</v>
      </c>
      <c r="CQ41" s="356">
        <v>3677433</v>
      </c>
      <c r="CR41" s="356">
        <v>338097</v>
      </c>
      <c r="CS41" s="41">
        <v>184901</v>
      </c>
      <c r="CT41" s="356">
        <v>183322</v>
      </c>
      <c r="CU41" s="42">
        <v>4229306</v>
      </c>
      <c r="CV41" s="356">
        <v>3696858</v>
      </c>
      <c r="CW41" s="356">
        <v>342465</v>
      </c>
      <c r="CX41" s="215">
        <f t="shared" si="95"/>
        <v>189983</v>
      </c>
      <c r="CY41" s="419">
        <v>189167</v>
      </c>
      <c r="CZ41" s="37">
        <v>4256342</v>
      </c>
      <c r="DA41" s="37">
        <v>3604318</v>
      </c>
      <c r="DB41" s="37">
        <v>345873</v>
      </c>
      <c r="DC41" s="37">
        <v>194745</v>
      </c>
      <c r="DD41" s="371">
        <v>195144</v>
      </c>
      <c r="DE41" s="37">
        <v>4287171</v>
      </c>
      <c r="DF41" s="37">
        <v>3617904</v>
      </c>
      <c r="DG41" s="1">
        <v>351497</v>
      </c>
      <c r="DH41" s="37">
        <v>205088</v>
      </c>
      <c r="DI41" s="37">
        <v>201278</v>
      </c>
      <c r="DJ41" s="37">
        <v>4342916</v>
      </c>
      <c r="DK41" s="37">
        <v>3641903</v>
      </c>
      <c r="DL41" s="37">
        <v>364389</v>
      </c>
      <c r="DM41" s="669">
        <v>210694</v>
      </c>
      <c r="DN41" s="37">
        <v>206972</v>
      </c>
      <c r="DO41" s="507">
        <v>4363573</v>
      </c>
      <c r="DP41" s="37">
        <v>3652170</v>
      </c>
      <c r="DQ41" s="37">
        <v>364442</v>
      </c>
      <c r="DR41" s="338">
        <v>213509</v>
      </c>
      <c r="DS41" s="37">
        <v>214180</v>
      </c>
      <c r="DT41" s="507">
        <v>4392576</v>
      </c>
      <c r="DU41" s="37">
        <v>3656504</v>
      </c>
      <c r="DV41" s="37">
        <v>370196</v>
      </c>
      <c r="DW41" s="338">
        <v>231257</v>
      </c>
      <c r="DX41" s="37">
        <v>224064</v>
      </c>
      <c r="DY41" s="1">
        <v>83957</v>
      </c>
      <c r="DZ41" s="1">
        <v>0</v>
      </c>
      <c r="EA41" s="1">
        <v>13260</v>
      </c>
      <c r="EB41" s="1">
        <v>50495</v>
      </c>
      <c r="EC41" s="701">
        <v>83545</v>
      </c>
      <c r="ED41" s="542">
        <v>4435317</v>
      </c>
      <c r="EE41" s="37">
        <v>3673030</v>
      </c>
      <c r="EF41" s="28">
        <v>383579</v>
      </c>
      <c r="EG41" s="304">
        <v>228560</v>
      </c>
      <c r="EH41" s="37">
        <v>230550</v>
      </c>
      <c r="EI41" s="542">
        <v>4467893</v>
      </c>
      <c r="EJ41" s="37"/>
      <c r="EK41" s="28"/>
      <c r="EM41" s="37"/>
      <c r="EN41" s="37">
        <v>4502015</v>
      </c>
      <c r="EO41" s="37">
        <v>3692360</v>
      </c>
      <c r="EP41" s="28">
        <v>395797</v>
      </c>
      <c r="EQ41" s="304">
        <v>261220</v>
      </c>
      <c r="ER41" s="37">
        <v>247337</v>
      </c>
      <c r="ES41" s="37">
        <v>4559631</v>
      </c>
      <c r="ET41" s="37">
        <v>3663146</v>
      </c>
      <c r="EU41" s="28">
        <v>376912</v>
      </c>
      <c r="EV41" s="304">
        <v>475904</v>
      </c>
      <c r="EW41" s="37">
        <v>265091</v>
      </c>
      <c r="EX41" s="1">
        <v>98834</v>
      </c>
      <c r="EZ41" s="1">
        <v>12522</v>
      </c>
      <c r="FA41" s="1">
        <v>249215</v>
      </c>
      <c r="FB41" s="701">
        <v>115333</v>
      </c>
    </row>
    <row r="42" spans="1:158" ht="15.6">
      <c r="A42" s="38" t="s">
        <v>41</v>
      </c>
      <c r="B42" s="8"/>
      <c r="C42" s="17"/>
      <c r="D42" s="37">
        <v>1541333</v>
      </c>
      <c r="E42" s="37">
        <v>738658</v>
      </c>
      <c r="F42" s="37">
        <v>788091</v>
      </c>
      <c r="G42" s="37">
        <v>6946</v>
      </c>
      <c r="H42" s="37">
        <v>7638</v>
      </c>
      <c r="I42" s="68">
        <v>1540588</v>
      </c>
      <c r="J42" s="92">
        <f t="shared" si="84"/>
        <v>1523292</v>
      </c>
      <c r="K42" s="37">
        <v>719410</v>
      </c>
      <c r="L42" s="37">
        <v>803882</v>
      </c>
      <c r="M42" s="92">
        <f t="shared" si="85"/>
        <v>14116</v>
      </c>
      <c r="N42" s="37">
        <v>6665</v>
      </c>
      <c r="O42" s="37">
        <v>7451</v>
      </c>
      <c r="P42" s="92">
        <f t="shared" si="86"/>
        <v>6846</v>
      </c>
      <c r="Q42" s="37">
        <v>3510</v>
      </c>
      <c r="R42" s="37">
        <v>3336</v>
      </c>
      <c r="S42" s="68">
        <v>1700102</v>
      </c>
      <c r="T42" s="90">
        <f t="shared" si="87"/>
        <v>1660935</v>
      </c>
      <c r="U42" s="37">
        <v>781805</v>
      </c>
      <c r="V42" s="37">
        <v>879130</v>
      </c>
      <c r="W42" s="90">
        <f t="shared" si="88"/>
        <v>18880</v>
      </c>
      <c r="X42" s="37">
        <v>9083</v>
      </c>
      <c r="Y42" s="37">
        <v>9797</v>
      </c>
      <c r="Z42" s="90">
        <f t="shared" si="89"/>
        <v>10808</v>
      </c>
      <c r="AA42" s="37">
        <v>5362</v>
      </c>
      <c r="AB42" s="37">
        <v>5446</v>
      </c>
      <c r="AC42" s="92">
        <v>8851</v>
      </c>
      <c r="AD42" s="92">
        <v>4002</v>
      </c>
      <c r="AE42" s="92">
        <v>4849</v>
      </c>
      <c r="AF42" s="68">
        <v>1776798</v>
      </c>
      <c r="AG42" s="3">
        <v>1732752</v>
      </c>
      <c r="AH42" s="55">
        <f t="shared" si="90"/>
        <v>1725131</v>
      </c>
      <c r="AI42" s="37">
        <v>808918</v>
      </c>
      <c r="AJ42" s="37">
        <v>916213</v>
      </c>
      <c r="AK42" s="3">
        <v>23300</v>
      </c>
      <c r="AL42" s="55">
        <f t="shared" si="91"/>
        <v>23136</v>
      </c>
      <c r="AM42" s="37">
        <v>11182</v>
      </c>
      <c r="AN42" s="37">
        <v>11954</v>
      </c>
      <c r="AO42" s="3">
        <v>13335</v>
      </c>
      <c r="AP42" s="37">
        <v>6825</v>
      </c>
      <c r="AQ42" s="37">
        <v>6510</v>
      </c>
      <c r="AR42" s="59">
        <f t="shared" si="92"/>
        <v>15196</v>
      </c>
      <c r="AS42" s="68">
        <v>1895856</v>
      </c>
      <c r="AT42" s="3">
        <v>1810293</v>
      </c>
      <c r="AU42" s="115">
        <v>863095</v>
      </c>
      <c r="AV42" s="115">
        <v>947198</v>
      </c>
      <c r="AW42" s="55">
        <f t="shared" si="93"/>
        <v>1792980</v>
      </c>
      <c r="AX42" s="37">
        <v>853548</v>
      </c>
      <c r="AY42" s="37">
        <v>939432</v>
      </c>
      <c r="AZ42" s="3">
        <v>31023</v>
      </c>
      <c r="BA42" s="37">
        <v>16150</v>
      </c>
      <c r="BB42" s="37">
        <v>14873</v>
      </c>
      <c r="BC42" s="3">
        <v>37284</v>
      </c>
      <c r="BD42" s="37">
        <v>21212</v>
      </c>
      <c r="BE42" s="37">
        <v>16072</v>
      </c>
      <c r="BF42" s="92">
        <v>54540</v>
      </c>
      <c r="BG42" s="92">
        <v>28654</v>
      </c>
      <c r="BH42" s="92">
        <v>25886</v>
      </c>
      <c r="BI42" s="68">
        <v>2000692</v>
      </c>
      <c r="BJ42" s="37">
        <v>969685</v>
      </c>
      <c r="BK42" s="37">
        <v>1031007</v>
      </c>
      <c r="BL42" s="37">
        <v>1881608</v>
      </c>
      <c r="BM42" s="37">
        <v>908257</v>
      </c>
      <c r="BN42" s="37">
        <v>973351</v>
      </c>
      <c r="BO42" s="37">
        <v>1842984</v>
      </c>
      <c r="BP42" s="37">
        <v>889311</v>
      </c>
      <c r="BQ42" s="37">
        <v>953673</v>
      </c>
      <c r="BR42" s="37">
        <v>43520</v>
      </c>
      <c r="BS42" s="37">
        <v>22415</v>
      </c>
      <c r="BT42" s="37">
        <v>21105</v>
      </c>
      <c r="BU42" s="37">
        <v>65027</v>
      </c>
      <c r="BV42" s="37">
        <v>34509</v>
      </c>
      <c r="BW42" s="37">
        <v>30518</v>
      </c>
      <c r="BX42" s="92">
        <f t="shared" si="94"/>
        <v>75564</v>
      </c>
      <c r="BY42" s="37">
        <v>39013</v>
      </c>
      <c r="BZ42" s="37">
        <v>36551</v>
      </c>
      <c r="CA42" s="125">
        <v>1951982</v>
      </c>
      <c r="CB42" s="38">
        <v>1817209</v>
      </c>
      <c r="CC42" s="37">
        <v>36803</v>
      </c>
      <c r="CD42" s="37">
        <v>68597</v>
      </c>
      <c r="CE42" s="37">
        <v>54960</v>
      </c>
      <c r="CF42" s="68">
        <v>1965813</v>
      </c>
      <c r="CG42" s="3">
        <v>1857922</v>
      </c>
      <c r="CH42" s="37">
        <v>37478</v>
      </c>
      <c r="CI42" s="37">
        <v>70413</v>
      </c>
      <c r="CJ42" s="37">
        <v>56944</v>
      </c>
      <c r="CK42" s="42">
        <v>1965156</v>
      </c>
      <c r="CL42" s="40">
        <v>1854789</v>
      </c>
      <c r="CM42" s="41">
        <v>38641</v>
      </c>
      <c r="CN42" s="41">
        <v>71726</v>
      </c>
      <c r="CO42" s="41">
        <v>60130</v>
      </c>
      <c r="CP42" s="42">
        <v>2000692</v>
      </c>
      <c r="CQ42" s="356">
        <v>1881608</v>
      </c>
      <c r="CR42" s="356">
        <v>43520</v>
      </c>
      <c r="CS42" s="41">
        <v>75564</v>
      </c>
      <c r="CT42" s="356">
        <v>65027</v>
      </c>
      <c r="CU42" s="42">
        <v>2013877</v>
      </c>
      <c r="CV42" s="356">
        <v>1889960</v>
      </c>
      <c r="CW42" s="356">
        <v>45586</v>
      </c>
      <c r="CX42" s="215">
        <f t="shared" si="95"/>
        <v>78331</v>
      </c>
      <c r="CY42" s="419">
        <v>67554</v>
      </c>
      <c r="CZ42" s="37">
        <v>2027762</v>
      </c>
      <c r="DA42" s="37">
        <v>1856620</v>
      </c>
      <c r="DB42" s="37">
        <v>46798</v>
      </c>
      <c r="DC42" s="37">
        <v>78702</v>
      </c>
      <c r="DD42" s="371">
        <v>70514</v>
      </c>
      <c r="DE42" s="37">
        <v>2038371</v>
      </c>
      <c r="DF42" s="37">
        <v>1860198</v>
      </c>
      <c r="DG42" s="1">
        <v>48550</v>
      </c>
      <c r="DH42" s="37">
        <v>78941</v>
      </c>
      <c r="DI42" s="37">
        <v>73760</v>
      </c>
      <c r="DJ42" s="37">
        <v>2062734</v>
      </c>
      <c r="DK42" s="37">
        <v>1867667</v>
      </c>
      <c r="DL42" s="37">
        <v>52965</v>
      </c>
      <c r="DM42" s="669">
        <v>82514</v>
      </c>
      <c r="DN42" s="37">
        <v>79434</v>
      </c>
      <c r="DO42" s="507">
        <v>2074504</v>
      </c>
      <c r="DP42" s="37">
        <v>1873980</v>
      </c>
      <c r="DQ42" s="37">
        <v>56789</v>
      </c>
      <c r="DR42" s="338">
        <v>89200</v>
      </c>
      <c r="DS42" s="37">
        <v>80639</v>
      </c>
      <c r="DT42" s="507">
        <v>2087020</v>
      </c>
      <c r="DU42" s="37">
        <v>1873486</v>
      </c>
      <c r="DV42" s="37">
        <v>59550</v>
      </c>
      <c r="DW42" s="338">
        <v>92022</v>
      </c>
      <c r="DX42" s="37">
        <v>85565</v>
      </c>
      <c r="DY42" s="1">
        <v>44570</v>
      </c>
      <c r="DZ42" s="1">
        <v>0</v>
      </c>
      <c r="EA42" s="1">
        <v>6651</v>
      </c>
      <c r="EB42" s="1">
        <v>18059</v>
      </c>
      <c r="EC42" s="701">
        <v>22742</v>
      </c>
      <c r="ED42" s="542">
        <v>2093909</v>
      </c>
      <c r="EE42" s="37">
        <v>1873817</v>
      </c>
      <c r="EF42" s="28">
        <v>57195</v>
      </c>
      <c r="EG42" s="304">
        <v>97848</v>
      </c>
      <c r="EH42" s="37">
        <v>88561</v>
      </c>
      <c r="EI42" s="542">
        <v>2104792</v>
      </c>
      <c r="EJ42" s="37"/>
      <c r="EK42" s="28"/>
      <c r="EM42" s="37"/>
      <c r="EN42" s="37">
        <v>2123004</v>
      </c>
      <c r="EO42" s="37">
        <v>1877984</v>
      </c>
      <c r="EP42" s="28">
        <v>72382</v>
      </c>
      <c r="EQ42" s="304">
        <v>98656</v>
      </c>
      <c r="ER42" s="37">
        <v>94822</v>
      </c>
      <c r="ES42" s="37">
        <v>2137261</v>
      </c>
      <c r="ET42" s="37">
        <v>1859465</v>
      </c>
      <c r="EU42" s="28">
        <v>61450</v>
      </c>
      <c r="EV42" s="304">
        <v>193796</v>
      </c>
      <c r="EW42" s="37">
        <v>100788</v>
      </c>
      <c r="EX42" s="1">
        <v>47459</v>
      </c>
      <c r="EZ42" s="1">
        <v>8372</v>
      </c>
      <c r="FA42" s="1">
        <v>99790</v>
      </c>
      <c r="FB42" s="701">
        <v>38175</v>
      </c>
    </row>
    <row r="43" spans="1:158" ht="15.6">
      <c r="A43" s="38" t="s">
        <v>42</v>
      </c>
      <c r="B43" s="8"/>
      <c r="C43" s="17"/>
      <c r="D43" s="37">
        <v>1215923</v>
      </c>
      <c r="E43" s="37">
        <v>566037</v>
      </c>
      <c r="F43" s="37">
        <v>599819</v>
      </c>
      <c r="G43" s="37">
        <v>24508</v>
      </c>
      <c r="H43" s="37">
        <v>25559</v>
      </c>
      <c r="I43" s="68">
        <v>1225988</v>
      </c>
      <c r="J43" s="92">
        <f t="shared" si="84"/>
        <v>1171424</v>
      </c>
      <c r="K43" s="37">
        <v>555307</v>
      </c>
      <c r="L43" s="37">
        <v>616117</v>
      </c>
      <c r="M43" s="92">
        <f t="shared" si="85"/>
        <v>47942</v>
      </c>
      <c r="N43" s="37">
        <v>22514</v>
      </c>
      <c r="O43" s="37">
        <v>25428</v>
      </c>
      <c r="P43" s="92">
        <f t="shared" si="86"/>
        <v>18293</v>
      </c>
      <c r="Q43" s="37">
        <v>9478</v>
      </c>
      <c r="R43" s="37">
        <v>8815</v>
      </c>
      <c r="S43" s="68">
        <v>1388102</v>
      </c>
      <c r="T43" s="90">
        <f t="shared" si="87"/>
        <v>1287424</v>
      </c>
      <c r="U43" s="37">
        <v>608120</v>
      </c>
      <c r="V43" s="37">
        <v>679304</v>
      </c>
      <c r="W43" s="90">
        <f t="shared" si="88"/>
        <v>57602</v>
      </c>
      <c r="X43" s="37">
        <v>27074</v>
      </c>
      <c r="Y43" s="37">
        <v>30528</v>
      </c>
      <c r="Z43" s="90">
        <f t="shared" si="89"/>
        <v>25792</v>
      </c>
      <c r="AA43" s="37">
        <v>13203</v>
      </c>
      <c r="AB43" s="37">
        <v>12589</v>
      </c>
      <c r="AC43" s="92">
        <v>16588</v>
      </c>
      <c r="AD43" s="92">
        <v>7480</v>
      </c>
      <c r="AE43" s="92">
        <v>9108</v>
      </c>
      <c r="AF43" s="68">
        <v>1565936</v>
      </c>
      <c r="AG43" s="3">
        <v>1439598</v>
      </c>
      <c r="AH43" s="55">
        <f t="shared" si="90"/>
        <v>1421102</v>
      </c>
      <c r="AI43" s="37">
        <v>673612</v>
      </c>
      <c r="AJ43" s="37">
        <v>747490</v>
      </c>
      <c r="AK43" s="3">
        <v>76123</v>
      </c>
      <c r="AL43" s="55">
        <f t="shared" si="91"/>
        <v>75217</v>
      </c>
      <c r="AM43" s="37">
        <v>36400</v>
      </c>
      <c r="AN43" s="37">
        <v>38817</v>
      </c>
      <c r="AO43" s="3">
        <v>41763</v>
      </c>
      <c r="AP43" s="37">
        <v>22260</v>
      </c>
      <c r="AQ43" s="37">
        <v>19503</v>
      </c>
      <c r="AR43" s="59">
        <f t="shared" si="92"/>
        <v>27854</v>
      </c>
      <c r="AS43" s="68">
        <v>1701207</v>
      </c>
      <c r="AT43" s="3">
        <v>1507908</v>
      </c>
      <c r="AU43" s="115">
        <v>722142</v>
      </c>
      <c r="AV43" s="115">
        <v>785766</v>
      </c>
      <c r="AW43" s="55">
        <f t="shared" si="93"/>
        <v>1470245</v>
      </c>
      <c r="AX43" s="37">
        <v>702463</v>
      </c>
      <c r="AY43" s="37">
        <v>767782</v>
      </c>
      <c r="AZ43" s="3">
        <v>83523</v>
      </c>
      <c r="BA43" s="37">
        <v>40432</v>
      </c>
      <c r="BB43" s="37">
        <v>43091</v>
      </c>
      <c r="BC43" s="3">
        <v>86074</v>
      </c>
      <c r="BD43" s="37">
        <v>46158</v>
      </c>
      <c r="BE43" s="37">
        <v>39916</v>
      </c>
      <c r="BF43" s="92">
        <v>109776</v>
      </c>
      <c r="BG43" s="92">
        <v>55944</v>
      </c>
      <c r="BH43" s="92">
        <v>53832</v>
      </c>
      <c r="BI43" s="68">
        <v>1824029</v>
      </c>
      <c r="BJ43" s="37">
        <v>885949</v>
      </c>
      <c r="BK43" s="37">
        <v>938080</v>
      </c>
      <c r="BL43" s="37">
        <v>1604764</v>
      </c>
      <c r="BM43" s="37">
        <v>777164</v>
      </c>
      <c r="BN43" s="37">
        <v>827600</v>
      </c>
      <c r="BO43" s="37">
        <v>1512740</v>
      </c>
      <c r="BP43" s="37">
        <v>729725</v>
      </c>
      <c r="BQ43" s="37">
        <v>783015</v>
      </c>
      <c r="BR43" s="37">
        <v>94431</v>
      </c>
      <c r="BS43" s="37">
        <v>47113</v>
      </c>
      <c r="BT43" s="37">
        <v>47318</v>
      </c>
      <c r="BU43" s="37">
        <v>135863</v>
      </c>
      <c r="BV43" s="37">
        <v>71191</v>
      </c>
      <c r="BW43" s="37">
        <v>64672</v>
      </c>
      <c r="BX43" s="92">
        <f t="shared" si="94"/>
        <v>124834</v>
      </c>
      <c r="BY43" s="37">
        <v>61672</v>
      </c>
      <c r="BZ43" s="37">
        <v>63162</v>
      </c>
      <c r="CA43" s="125">
        <v>1773908</v>
      </c>
      <c r="CB43" s="38">
        <v>1493597</v>
      </c>
      <c r="CC43" s="37">
        <v>89611</v>
      </c>
      <c r="CD43" s="37">
        <v>128601</v>
      </c>
      <c r="CE43" s="37">
        <v>119163</v>
      </c>
      <c r="CF43" s="68">
        <v>1792057</v>
      </c>
      <c r="CG43" s="3">
        <v>1576612</v>
      </c>
      <c r="CH43" s="37">
        <v>90407</v>
      </c>
      <c r="CI43" s="37">
        <v>125038</v>
      </c>
      <c r="CJ43" s="37">
        <v>122905</v>
      </c>
      <c r="CK43" s="42">
        <v>1796102</v>
      </c>
      <c r="CL43" s="40">
        <v>1584195</v>
      </c>
      <c r="CM43" s="41">
        <v>90795</v>
      </c>
      <c r="CN43" s="41">
        <v>121112</v>
      </c>
      <c r="CO43" s="41">
        <v>123896</v>
      </c>
      <c r="CP43" s="42">
        <v>1824029</v>
      </c>
      <c r="CQ43" s="356">
        <v>1604764</v>
      </c>
      <c r="CR43" s="356">
        <v>94431</v>
      </c>
      <c r="CS43" s="41">
        <v>124834</v>
      </c>
      <c r="CT43" s="356">
        <v>135863</v>
      </c>
      <c r="CU43" s="42">
        <v>1841823</v>
      </c>
      <c r="CV43" s="356">
        <v>1618943</v>
      </c>
      <c r="CW43" s="356">
        <v>96118</v>
      </c>
      <c r="CX43" s="215">
        <f t="shared" si="95"/>
        <v>126762</v>
      </c>
      <c r="CY43" s="419">
        <v>141445</v>
      </c>
      <c r="CZ43" s="37">
        <v>1854150</v>
      </c>
      <c r="DA43" s="37">
        <v>1526958</v>
      </c>
      <c r="DB43" s="37">
        <v>97208</v>
      </c>
      <c r="DC43" s="37">
        <v>126731</v>
      </c>
      <c r="DD43" s="371">
        <v>145911</v>
      </c>
      <c r="DE43" s="37">
        <v>1861026</v>
      </c>
      <c r="DF43" s="37">
        <v>1527480</v>
      </c>
      <c r="DG43" s="1">
        <v>98269</v>
      </c>
      <c r="DH43" s="37">
        <v>126403</v>
      </c>
      <c r="DI43" s="37">
        <v>149872</v>
      </c>
      <c r="DJ43" s="37">
        <v>1881521</v>
      </c>
      <c r="DK43" s="37">
        <v>1529297</v>
      </c>
      <c r="DL43" s="37">
        <v>101975</v>
      </c>
      <c r="DM43" s="669">
        <v>136532</v>
      </c>
      <c r="DN43" s="37">
        <v>156938</v>
      </c>
      <c r="DO43" s="507">
        <v>1888479</v>
      </c>
      <c r="DP43" s="37">
        <v>1532073</v>
      </c>
      <c r="DQ43" s="37">
        <v>102880</v>
      </c>
      <c r="DR43" s="338">
        <v>137247</v>
      </c>
      <c r="DS43" s="37">
        <v>163205</v>
      </c>
      <c r="DT43" s="507">
        <v>1891936</v>
      </c>
      <c r="DU43" s="37">
        <v>1532396</v>
      </c>
      <c r="DV43" s="37">
        <v>102119</v>
      </c>
      <c r="DW43" s="338">
        <v>137616</v>
      </c>
      <c r="DX43" s="37">
        <v>163361</v>
      </c>
      <c r="DY43" s="1">
        <v>50988</v>
      </c>
      <c r="DZ43" s="1">
        <v>0</v>
      </c>
      <c r="EA43" s="1">
        <v>13981</v>
      </c>
      <c r="EB43" s="1">
        <v>32593</v>
      </c>
      <c r="EC43" s="701">
        <v>40054</v>
      </c>
      <c r="ED43" s="542">
        <v>1904528</v>
      </c>
      <c r="EE43" s="37">
        <v>1532432</v>
      </c>
      <c r="EF43" s="28">
        <v>101011</v>
      </c>
      <c r="EG43" s="304">
        <v>148588</v>
      </c>
      <c r="EH43" s="37">
        <v>169377</v>
      </c>
      <c r="EI43" s="542">
        <v>1911426</v>
      </c>
      <c r="EJ43" s="37"/>
      <c r="EK43" s="28"/>
      <c r="EM43" s="37"/>
      <c r="EN43" s="37">
        <v>1918081</v>
      </c>
      <c r="EO43" s="37">
        <v>1530789</v>
      </c>
      <c r="EP43" s="28">
        <v>101769</v>
      </c>
      <c r="EQ43" s="304">
        <v>161676</v>
      </c>
      <c r="ER43" s="37">
        <v>177719</v>
      </c>
      <c r="ES43" s="37">
        <v>1942133</v>
      </c>
      <c r="ET43" s="37">
        <v>1510525</v>
      </c>
      <c r="EU43" s="28">
        <v>101035</v>
      </c>
      <c r="EV43" s="304">
        <v>291402</v>
      </c>
      <c r="EW43" s="37">
        <v>189092</v>
      </c>
      <c r="EX43" s="1">
        <v>57892</v>
      </c>
      <c r="EZ43" s="1">
        <v>12773</v>
      </c>
      <c r="FA43" s="1">
        <v>149016</v>
      </c>
      <c r="FB43" s="701">
        <v>71721</v>
      </c>
    </row>
    <row r="44" spans="1:158" ht="15.6">
      <c r="A44" s="38" t="s">
        <v>43</v>
      </c>
      <c r="B44" s="8"/>
      <c r="C44" s="17"/>
      <c r="D44" s="37">
        <v>4216909</v>
      </c>
      <c r="E44" s="37">
        <v>1889821</v>
      </c>
      <c r="F44" s="37">
        <v>1955435</v>
      </c>
      <c r="G44" s="37">
        <v>182673</v>
      </c>
      <c r="H44" s="37">
        <v>188980</v>
      </c>
      <c r="I44" s="68">
        <v>4594461</v>
      </c>
      <c r="J44" s="92">
        <f t="shared" si="84"/>
        <v>4115203</v>
      </c>
      <c r="K44" s="37">
        <v>1977334</v>
      </c>
      <c r="L44" s="37">
        <v>2137869</v>
      </c>
      <c r="M44" s="92">
        <f t="shared" si="85"/>
        <v>458197</v>
      </c>
      <c r="N44" s="37">
        <v>216655</v>
      </c>
      <c r="O44" s="37">
        <v>241542</v>
      </c>
      <c r="P44" s="92">
        <f t="shared" si="86"/>
        <v>47563</v>
      </c>
      <c r="Q44" s="37">
        <v>24357</v>
      </c>
      <c r="R44" s="37">
        <v>23206</v>
      </c>
      <c r="S44" s="68">
        <v>5254040</v>
      </c>
      <c r="T44" s="90">
        <f t="shared" si="87"/>
        <v>4539727</v>
      </c>
      <c r="U44" s="37">
        <v>2158709</v>
      </c>
      <c r="V44" s="37">
        <v>2381018</v>
      </c>
      <c r="W44" s="90">
        <f t="shared" si="88"/>
        <v>592324</v>
      </c>
      <c r="X44" s="37">
        <v>269100</v>
      </c>
      <c r="Y44" s="37">
        <v>323224</v>
      </c>
      <c r="Z44" s="90">
        <f t="shared" si="89"/>
        <v>66671</v>
      </c>
      <c r="AA44" s="37">
        <v>33604</v>
      </c>
      <c r="AB44" s="37">
        <v>33067</v>
      </c>
      <c r="AC44" s="92">
        <v>53066</v>
      </c>
      <c r="AD44" s="92">
        <v>24931</v>
      </c>
      <c r="AE44" s="92">
        <v>28135</v>
      </c>
      <c r="AF44" s="68">
        <v>5842642</v>
      </c>
      <c r="AG44" s="3">
        <v>4999581</v>
      </c>
      <c r="AH44" s="55">
        <f t="shared" si="90"/>
        <v>4954069</v>
      </c>
      <c r="AI44" s="37">
        <v>2357556</v>
      </c>
      <c r="AJ44" s="37">
        <v>2596513</v>
      </c>
      <c r="AK44" s="3">
        <v>715719</v>
      </c>
      <c r="AL44" s="55">
        <f t="shared" si="91"/>
        <v>712745</v>
      </c>
      <c r="AM44" s="37">
        <v>315723</v>
      </c>
      <c r="AN44" s="37">
        <v>397022</v>
      </c>
      <c r="AO44" s="3">
        <v>89098</v>
      </c>
      <c r="AP44" s="37">
        <v>45119</v>
      </c>
      <c r="AQ44" s="37">
        <v>43979</v>
      </c>
      <c r="AR44" s="59">
        <f t="shared" si="92"/>
        <v>86730</v>
      </c>
      <c r="AS44" s="68">
        <v>6415941</v>
      </c>
      <c r="AT44" s="3">
        <v>5309168</v>
      </c>
      <c r="AU44" s="115">
        <v>2556288</v>
      </c>
      <c r="AV44" s="115">
        <v>2752880</v>
      </c>
      <c r="AW44" s="55">
        <f t="shared" si="93"/>
        <v>5230580</v>
      </c>
      <c r="AX44" s="37">
        <v>2516067</v>
      </c>
      <c r="AY44" s="37">
        <v>2714513</v>
      </c>
      <c r="AZ44" s="3">
        <v>808383</v>
      </c>
      <c r="BA44" s="37">
        <v>363962</v>
      </c>
      <c r="BB44" s="37">
        <v>444421</v>
      </c>
      <c r="BC44" s="3">
        <v>155983</v>
      </c>
      <c r="BD44" s="37">
        <v>81587</v>
      </c>
      <c r="BE44" s="37">
        <v>74396</v>
      </c>
      <c r="BF44" s="92">
        <v>298390</v>
      </c>
      <c r="BG44" s="92">
        <v>150438</v>
      </c>
      <c r="BH44" s="92">
        <v>147952</v>
      </c>
      <c r="BI44" s="68">
        <v>6560571</v>
      </c>
      <c r="BJ44" s="37">
        <v>3151302</v>
      </c>
      <c r="BK44" s="37">
        <v>3409269</v>
      </c>
      <c r="BL44" s="37">
        <v>5393781</v>
      </c>
      <c r="BM44" s="37">
        <v>2611462</v>
      </c>
      <c r="BN44" s="37">
        <v>2782319</v>
      </c>
      <c r="BO44" s="37">
        <v>5263348</v>
      </c>
      <c r="BP44" s="37">
        <v>2546174</v>
      </c>
      <c r="BQ44" s="37">
        <v>2717174</v>
      </c>
      <c r="BR44" s="37">
        <v>834617</v>
      </c>
      <c r="BS44" s="37">
        <v>376942</v>
      </c>
      <c r="BT44" s="37">
        <v>457675</v>
      </c>
      <c r="BU44" s="37">
        <v>208147</v>
      </c>
      <c r="BV44" s="37">
        <v>106176</v>
      </c>
      <c r="BW44" s="37">
        <v>101971</v>
      </c>
      <c r="BX44" s="92">
        <f t="shared" si="94"/>
        <v>332173</v>
      </c>
      <c r="BY44" s="37">
        <v>162898</v>
      </c>
      <c r="BZ44" s="37">
        <v>169275</v>
      </c>
      <c r="CA44" s="125">
        <v>6634147</v>
      </c>
      <c r="CB44" s="38">
        <v>5336555</v>
      </c>
      <c r="CC44" s="37">
        <v>846000</v>
      </c>
      <c r="CD44" s="37">
        <v>347009</v>
      </c>
      <c r="CE44" s="37">
        <v>205379</v>
      </c>
      <c r="CF44" s="68">
        <v>6637533</v>
      </c>
      <c r="CG44" s="3">
        <v>5443998</v>
      </c>
      <c r="CH44" s="37">
        <v>843831</v>
      </c>
      <c r="CI44" s="37">
        <v>349704</v>
      </c>
      <c r="CJ44" s="37">
        <v>210173</v>
      </c>
      <c r="CK44" s="42">
        <v>6623538</v>
      </c>
      <c r="CL44" s="40">
        <v>5445899</v>
      </c>
      <c r="CM44" s="41">
        <v>838084</v>
      </c>
      <c r="CN44" s="41">
        <v>339555</v>
      </c>
      <c r="CO44" s="41">
        <v>208965</v>
      </c>
      <c r="CP44" s="42">
        <v>6560571</v>
      </c>
      <c r="CQ44" s="356">
        <v>5393781</v>
      </c>
      <c r="CR44" s="356">
        <v>834617</v>
      </c>
      <c r="CS44" s="41">
        <v>332173</v>
      </c>
      <c r="CT44" s="356">
        <v>208147</v>
      </c>
      <c r="CU44" s="42">
        <v>6570917</v>
      </c>
      <c r="CV44" s="356">
        <v>5400347</v>
      </c>
      <c r="CW44" s="356">
        <v>838531</v>
      </c>
      <c r="CX44" s="215">
        <f t="shared" si="95"/>
        <v>332039</v>
      </c>
      <c r="CY44" s="419">
        <v>213824</v>
      </c>
      <c r="CZ44" s="37">
        <v>6593489</v>
      </c>
      <c r="DA44" s="37">
        <v>5266882</v>
      </c>
      <c r="DB44" s="37">
        <v>841460</v>
      </c>
      <c r="DC44" s="37">
        <v>337436</v>
      </c>
      <c r="DD44" s="371">
        <v>218618</v>
      </c>
      <c r="DE44" s="37">
        <v>6616878</v>
      </c>
      <c r="DF44" s="37">
        <v>5277576</v>
      </c>
      <c r="DG44" s="1">
        <v>841557</v>
      </c>
      <c r="DH44" s="37">
        <v>343402</v>
      </c>
      <c r="DI44" s="37">
        <v>223721</v>
      </c>
      <c r="DJ44" s="37">
        <v>6680525</v>
      </c>
      <c r="DK44" s="37">
        <v>5300121</v>
      </c>
      <c r="DL44" s="37">
        <v>845834</v>
      </c>
      <c r="DM44" s="669">
        <v>372894</v>
      </c>
      <c r="DN44" s="37">
        <v>235609</v>
      </c>
      <c r="DO44" s="507">
        <v>6728347</v>
      </c>
      <c r="DP44" s="37">
        <v>5317387</v>
      </c>
      <c r="DQ44" s="37">
        <v>857718</v>
      </c>
      <c r="DR44" s="338">
        <v>391761</v>
      </c>
      <c r="DS44" s="37">
        <v>242913</v>
      </c>
      <c r="DT44" s="507">
        <v>6760402</v>
      </c>
      <c r="DU44" s="37">
        <v>5329047</v>
      </c>
      <c r="DV44" s="37">
        <v>861144</v>
      </c>
      <c r="DW44" s="338">
        <v>407630</v>
      </c>
      <c r="DX44" s="37">
        <v>247726</v>
      </c>
      <c r="DY44" s="1">
        <v>189523</v>
      </c>
      <c r="DZ44" s="1">
        <v>0</v>
      </c>
      <c r="EA44" s="1">
        <v>34336</v>
      </c>
      <c r="EB44" s="1">
        <v>117743</v>
      </c>
      <c r="EC44" s="701">
        <v>66028</v>
      </c>
      <c r="ED44" s="542">
        <v>6819310</v>
      </c>
      <c r="EE44" s="37">
        <v>5348762</v>
      </c>
      <c r="EF44" s="28">
        <v>875432</v>
      </c>
      <c r="EG44" s="304">
        <v>416121</v>
      </c>
      <c r="EH44" s="37">
        <v>259188</v>
      </c>
      <c r="EI44" s="542">
        <v>6869846</v>
      </c>
      <c r="EJ44" s="37"/>
      <c r="EK44" s="28"/>
      <c r="EM44" s="37"/>
      <c r="EN44" s="37">
        <v>6894627</v>
      </c>
      <c r="EO44" s="37">
        <v>5377567</v>
      </c>
      <c r="EP44" s="28">
        <v>889006</v>
      </c>
      <c r="EQ44" s="304">
        <v>439504</v>
      </c>
      <c r="ER44" s="37">
        <v>273449</v>
      </c>
      <c r="ES44" s="37">
        <v>6971895</v>
      </c>
      <c r="ET44" s="37">
        <v>5317928</v>
      </c>
      <c r="EU44" s="28">
        <v>876343</v>
      </c>
      <c r="EV44" s="304">
        <v>719099</v>
      </c>
      <c r="EW44" s="37">
        <v>298464</v>
      </c>
      <c r="EX44" s="1">
        <v>220923</v>
      </c>
      <c r="EZ44" s="1">
        <v>34093</v>
      </c>
      <c r="FA44" s="1">
        <v>348851</v>
      </c>
      <c r="FB44" s="701">
        <v>115232</v>
      </c>
    </row>
    <row r="45" spans="1:158" ht="15.6">
      <c r="A45" s="38" t="s">
        <v>44</v>
      </c>
      <c r="B45" s="8"/>
      <c r="C45" s="17"/>
      <c r="D45" s="37">
        <v>1844601</v>
      </c>
      <c r="E45" s="37">
        <v>896306</v>
      </c>
      <c r="F45" s="37">
        <v>928463</v>
      </c>
      <c r="G45" s="37">
        <v>10344</v>
      </c>
      <c r="H45" s="37">
        <v>9488</v>
      </c>
      <c r="I45" s="68">
        <v>1990367</v>
      </c>
      <c r="J45" s="92">
        <f t="shared" si="84"/>
        <v>1962368</v>
      </c>
      <c r="K45" s="37">
        <v>943482</v>
      </c>
      <c r="L45" s="37">
        <v>1018886</v>
      </c>
      <c r="M45" s="92">
        <f t="shared" si="85"/>
        <v>15354</v>
      </c>
      <c r="N45" s="37">
        <v>7672</v>
      </c>
      <c r="O45" s="37">
        <v>7682</v>
      </c>
      <c r="P45" s="92">
        <f t="shared" si="86"/>
        <v>8804</v>
      </c>
      <c r="Q45" s="37">
        <v>4522</v>
      </c>
      <c r="R45" s="37">
        <v>4282</v>
      </c>
      <c r="S45" s="68">
        <v>2345701</v>
      </c>
      <c r="T45" s="90">
        <f t="shared" si="87"/>
        <v>2279859</v>
      </c>
      <c r="U45" s="37">
        <v>1088595</v>
      </c>
      <c r="V45" s="37">
        <v>1191264</v>
      </c>
      <c r="W45" s="90">
        <f t="shared" si="88"/>
        <v>23611</v>
      </c>
      <c r="X45" s="37">
        <v>12256</v>
      </c>
      <c r="Y45" s="37">
        <v>11355</v>
      </c>
      <c r="Z45" s="90">
        <f t="shared" si="89"/>
        <v>12917</v>
      </c>
      <c r="AA45" s="37">
        <v>6509</v>
      </c>
      <c r="AB45" s="37">
        <v>6408</v>
      </c>
      <c r="AC45" s="92">
        <v>28433</v>
      </c>
      <c r="AD45" s="92">
        <v>13448</v>
      </c>
      <c r="AE45" s="92">
        <v>14985</v>
      </c>
      <c r="AF45" s="68">
        <v>2770562</v>
      </c>
      <c r="AG45" s="3">
        <v>2660023</v>
      </c>
      <c r="AH45" s="55">
        <f t="shared" si="90"/>
        <v>2648500</v>
      </c>
      <c r="AI45" s="37">
        <v>1267714</v>
      </c>
      <c r="AJ45" s="37">
        <v>1380786</v>
      </c>
      <c r="AK45" s="3">
        <v>46115</v>
      </c>
      <c r="AL45" s="55">
        <f t="shared" si="91"/>
        <v>45554</v>
      </c>
      <c r="AM45" s="37">
        <v>23856</v>
      </c>
      <c r="AN45" s="37">
        <v>21698</v>
      </c>
      <c r="AO45" s="3">
        <v>21458</v>
      </c>
      <c r="AP45" s="37">
        <v>11158</v>
      </c>
      <c r="AQ45" s="37">
        <v>10300</v>
      </c>
      <c r="AR45" s="59">
        <f t="shared" si="92"/>
        <v>55050</v>
      </c>
      <c r="AS45" s="68">
        <v>3164345</v>
      </c>
      <c r="AT45" s="3">
        <v>2919051</v>
      </c>
      <c r="AU45" s="115">
        <v>1410402</v>
      </c>
      <c r="AV45" s="115">
        <v>1508649</v>
      </c>
      <c r="AW45" s="55">
        <f t="shared" si="93"/>
        <v>2889703</v>
      </c>
      <c r="AX45" s="37">
        <v>1394839</v>
      </c>
      <c r="AY45" s="37">
        <v>1494864</v>
      </c>
      <c r="AZ45" s="3">
        <v>84577</v>
      </c>
      <c r="BA45" s="37">
        <v>43709</v>
      </c>
      <c r="BB45" s="37">
        <v>40868</v>
      </c>
      <c r="BC45" s="3">
        <v>64386</v>
      </c>
      <c r="BD45" s="37">
        <v>35515</v>
      </c>
      <c r="BE45" s="37">
        <v>28871</v>
      </c>
      <c r="BF45" s="92">
        <v>160717</v>
      </c>
      <c r="BG45" s="92">
        <v>81447</v>
      </c>
      <c r="BH45" s="92">
        <v>79270</v>
      </c>
      <c r="BI45" s="68">
        <v>3492345</v>
      </c>
      <c r="BJ45" s="37">
        <v>1707946</v>
      </c>
      <c r="BK45" s="37">
        <v>1784399</v>
      </c>
      <c r="BL45" s="37">
        <v>3135397</v>
      </c>
      <c r="BM45" s="37">
        <v>1530400</v>
      </c>
      <c r="BN45" s="37">
        <v>1604997</v>
      </c>
      <c r="BO45" s="37">
        <v>3059160</v>
      </c>
      <c r="BP45" s="37">
        <v>1490120</v>
      </c>
      <c r="BQ45" s="37">
        <v>1569040</v>
      </c>
      <c r="BR45" s="37">
        <v>138774</v>
      </c>
      <c r="BS45" s="37">
        <v>71802</v>
      </c>
      <c r="BT45" s="37">
        <v>66972</v>
      </c>
      <c r="BU45" s="37">
        <v>115403</v>
      </c>
      <c r="BV45" s="37">
        <v>61532</v>
      </c>
      <c r="BW45" s="37">
        <v>53871</v>
      </c>
      <c r="BX45" s="92">
        <f t="shared" si="94"/>
        <v>218174</v>
      </c>
      <c r="BY45" s="37">
        <v>105744</v>
      </c>
      <c r="BZ45" s="37">
        <v>112430</v>
      </c>
      <c r="CA45" s="125">
        <v>3385006</v>
      </c>
      <c r="CB45" s="38">
        <v>3012447</v>
      </c>
      <c r="CC45" s="37">
        <v>115506</v>
      </c>
      <c r="CD45" s="37">
        <v>202802</v>
      </c>
      <c r="CE45" s="37">
        <v>98809</v>
      </c>
      <c r="CF45" s="68">
        <v>3418723</v>
      </c>
      <c r="CG45" s="3">
        <v>3097087</v>
      </c>
      <c r="CH45" s="37">
        <v>119893</v>
      </c>
      <c r="CI45" s="37">
        <v>201743</v>
      </c>
      <c r="CJ45" s="37">
        <v>101618</v>
      </c>
      <c r="CK45" s="42">
        <v>3446808</v>
      </c>
      <c r="CL45" s="40">
        <v>3118528</v>
      </c>
      <c r="CM45" s="41">
        <v>121855</v>
      </c>
      <c r="CN45" s="41">
        <v>206425</v>
      </c>
      <c r="CO45" s="41">
        <v>103919</v>
      </c>
      <c r="CP45" s="42">
        <v>3492345</v>
      </c>
      <c r="CQ45" s="356">
        <v>3135397</v>
      </c>
      <c r="CR45" s="356">
        <v>138774</v>
      </c>
      <c r="CS45" s="41">
        <v>218174</v>
      </c>
      <c r="CT45" s="356">
        <v>115403</v>
      </c>
      <c r="CU45" s="42">
        <v>3527629</v>
      </c>
      <c r="CV45" s="356">
        <v>3156567</v>
      </c>
      <c r="CW45" s="356">
        <v>143417</v>
      </c>
      <c r="CX45" s="215">
        <f t="shared" si="95"/>
        <v>227645</v>
      </c>
      <c r="CY45" s="419">
        <v>119339</v>
      </c>
      <c r="CZ45" s="37">
        <v>3562974</v>
      </c>
      <c r="DA45" s="37">
        <v>3098648</v>
      </c>
      <c r="DB45" s="37">
        <v>148954</v>
      </c>
      <c r="DC45" s="37">
        <v>234576</v>
      </c>
      <c r="DD45" s="371">
        <v>122627</v>
      </c>
      <c r="DE45" s="37">
        <v>3596719</v>
      </c>
      <c r="DF45" s="37">
        <v>3116996</v>
      </c>
      <c r="DG45" s="1">
        <v>153624</v>
      </c>
      <c r="DH45" s="37">
        <v>246943</v>
      </c>
      <c r="DI45" s="37">
        <v>126091</v>
      </c>
      <c r="DJ45" s="37">
        <v>3672583</v>
      </c>
      <c r="DK45" s="37">
        <v>3146865</v>
      </c>
      <c r="DL45" s="37">
        <v>169043</v>
      </c>
      <c r="DM45" s="669">
        <v>273690</v>
      </c>
      <c r="DN45" s="37">
        <v>131931</v>
      </c>
      <c r="DO45" s="507">
        <v>3700935</v>
      </c>
      <c r="DP45" s="37">
        <v>3157190</v>
      </c>
      <c r="DQ45" s="37">
        <v>171319</v>
      </c>
      <c r="DR45" s="338">
        <v>287600</v>
      </c>
      <c r="DS45" s="37">
        <v>136552</v>
      </c>
      <c r="DT45" s="507">
        <v>3725283</v>
      </c>
      <c r="DU45" s="37">
        <v>3166229</v>
      </c>
      <c r="DV45" s="37">
        <v>180040</v>
      </c>
      <c r="DW45" s="338">
        <v>301795</v>
      </c>
      <c r="DX45" s="37">
        <v>141538</v>
      </c>
      <c r="DY45" s="1">
        <v>154563</v>
      </c>
      <c r="DZ45" s="1">
        <v>0</v>
      </c>
      <c r="EA45" s="1">
        <v>35161</v>
      </c>
      <c r="EB45" s="1">
        <v>52638</v>
      </c>
      <c r="EC45" s="701">
        <v>59433</v>
      </c>
      <c r="ED45" s="542">
        <v>3778416</v>
      </c>
      <c r="EE45" s="37">
        <v>3185661</v>
      </c>
      <c r="EF45" s="28">
        <v>196415</v>
      </c>
      <c r="EG45" s="304">
        <v>316480</v>
      </c>
      <c r="EH45" s="37">
        <v>146906</v>
      </c>
      <c r="EI45" s="542">
        <v>3809229</v>
      </c>
      <c r="EJ45" s="37"/>
      <c r="EK45" s="28"/>
      <c r="EM45" s="37"/>
      <c r="EN45" s="37">
        <v>3847212</v>
      </c>
      <c r="EO45" s="37">
        <v>3208417</v>
      </c>
      <c r="EP45" s="28">
        <v>207288</v>
      </c>
      <c r="EQ45" s="304">
        <v>339770</v>
      </c>
      <c r="ER45" s="37">
        <v>158254</v>
      </c>
      <c r="ES45" s="37">
        <v>3898742</v>
      </c>
      <c r="ET45" s="37">
        <v>3177067</v>
      </c>
      <c r="EU45" s="28">
        <v>214088</v>
      </c>
      <c r="EV45" s="304">
        <v>481060</v>
      </c>
      <c r="EW45" s="37">
        <v>170732</v>
      </c>
      <c r="EX45" s="1">
        <v>183256</v>
      </c>
      <c r="EZ45" s="1">
        <v>28497</v>
      </c>
      <c r="FA45" s="1">
        <v>182737</v>
      </c>
      <c r="FB45" s="701">
        <v>86570</v>
      </c>
    </row>
    <row r="46" spans="1:158" ht="15.6">
      <c r="A46" s="38" t="s">
        <v>45</v>
      </c>
      <c r="B46" s="8"/>
      <c r="C46" s="17"/>
      <c r="D46" s="37">
        <v>2492554</v>
      </c>
      <c r="E46" s="37">
        <v>1089432</v>
      </c>
      <c r="F46" s="37">
        <v>1199820</v>
      </c>
      <c r="G46" s="37">
        <v>94563</v>
      </c>
      <c r="H46" s="37">
        <v>108739</v>
      </c>
      <c r="I46" s="68">
        <v>2602279</v>
      </c>
      <c r="J46" s="92">
        <f t="shared" si="84"/>
        <v>2369585</v>
      </c>
      <c r="K46" s="37">
        <v>1107734</v>
      </c>
      <c r="L46" s="37">
        <v>1261851</v>
      </c>
      <c r="M46" s="92">
        <f t="shared" si="85"/>
        <v>224530</v>
      </c>
      <c r="N46" s="37">
        <v>100508</v>
      </c>
      <c r="O46" s="37">
        <v>124022</v>
      </c>
      <c r="P46" s="92">
        <f t="shared" si="86"/>
        <v>17013</v>
      </c>
      <c r="Q46" s="37">
        <v>8590</v>
      </c>
      <c r="R46" s="37">
        <v>8423</v>
      </c>
      <c r="S46" s="68">
        <v>2918656</v>
      </c>
      <c r="T46" s="90">
        <f t="shared" si="87"/>
        <v>2617804</v>
      </c>
      <c r="U46" s="37">
        <v>1218180</v>
      </c>
      <c r="V46" s="37">
        <v>1399624</v>
      </c>
      <c r="W46" s="90">
        <f t="shared" si="88"/>
        <v>254366</v>
      </c>
      <c r="X46" s="37">
        <v>111658</v>
      </c>
      <c r="Y46" s="37">
        <v>142708</v>
      </c>
      <c r="Z46" s="90">
        <f t="shared" si="89"/>
        <v>23734</v>
      </c>
      <c r="AA46" s="37">
        <v>11658</v>
      </c>
      <c r="AB46" s="37">
        <v>12076</v>
      </c>
      <c r="AC46" s="92">
        <v>21569</v>
      </c>
      <c r="AD46" s="92">
        <v>9719</v>
      </c>
      <c r="AE46" s="92">
        <v>11850</v>
      </c>
      <c r="AF46" s="68">
        <v>3291579</v>
      </c>
      <c r="AG46" s="3">
        <v>2939953</v>
      </c>
      <c r="AH46" s="55">
        <f t="shared" si="90"/>
        <v>2921263</v>
      </c>
      <c r="AI46" s="37">
        <v>1370878</v>
      </c>
      <c r="AJ46" s="37">
        <v>1550385</v>
      </c>
      <c r="AK46" s="3">
        <v>304820</v>
      </c>
      <c r="AL46" s="55">
        <f t="shared" si="91"/>
        <v>303658</v>
      </c>
      <c r="AM46" s="37">
        <v>132370</v>
      </c>
      <c r="AN46" s="37">
        <v>171288</v>
      </c>
      <c r="AO46" s="3">
        <v>30968</v>
      </c>
      <c r="AP46" s="37">
        <v>15308</v>
      </c>
      <c r="AQ46" s="37">
        <v>15660</v>
      </c>
      <c r="AR46" s="59">
        <f t="shared" si="92"/>
        <v>35690</v>
      </c>
      <c r="AS46" s="68">
        <v>3634906</v>
      </c>
      <c r="AT46" s="3">
        <v>3160532</v>
      </c>
      <c r="AU46" s="115">
        <v>1504852</v>
      </c>
      <c r="AV46" s="115">
        <v>1655680</v>
      </c>
      <c r="AW46" s="55">
        <f t="shared" si="93"/>
        <v>3129766</v>
      </c>
      <c r="AX46" s="37">
        <v>1489041</v>
      </c>
      <c r="AY46" s="37">
        <v>1640725</v>
      </c>
      <c r="AZ46" s="3">
        <v>353177</v>
      </c>
      <c r="BA46" s="37">
        <v>155597</v>
      </c>
      <c r="BB46" s="37">
        <v>197580</v>
      </c>
      <c r="BC46" s="3">
        <v>57240</v>
      </c>
      <c r="BD46" s="37">
        <v>29820</v>
      </c>
      <c r="BE46" s="37">
        <v>27420</v>
      </c>
      <c r="BF46" s="92">
        <v>121197</v>
      </c>
      <c r="BG46" s="92">
        <v>59595</v>
      </c>
      <c r="BH46" s="92">
        <v>61602</v>
      </c>
      <c r="BI46" s="68">
        <v>3943725</v>
      </c>
      <c r="BJ46" s="37">
        <v>1888392</v>
      </c>
      <c r="BK46" s="37">
        <v>2055333</v>
      </c>
      <c r="BL46" s="37">
        <v>3381757</v>
      </c>
      <c r="BM46" s="37">
        <v>1631400</v>
      </c>
      <c r="BN46" s="37">
        <v>1750357</v>
      </c>
      <c r="BO46" s="37">
        <v>3318343</v>
      </c>
      <c r="BP46" s="37">
        <v>1598481</v>
      </c>
      <c r="BQ46" s="37">
        <v>1719862</v>
      </c>
      <c r="BR46" s="37">
        <v>402225</v>
      </c>
      <c r="BS46" s="37">
        <v>179655</v>
      </c>
      <c r="BT46" s="37">
        <v>222570</v>
      </c>
      <c r="BU46" s="37">
        <v>101286</v>
      </c>
      <c r="BV46" s="37">
        <v>53048</v>
      </c>
      <c r="BW46" s="37">
        <v>48238</v>
      </c>
      <c r="BX46" s="92">
        <f t="shared" si="94"/>
        <v>159743</v>
      </c>
      <c r="BY46" s="37">
        <v>77337</v>
      </c>
      <c r="BZ46" s="37">
        <v>82406</v>
      </c>
      <c r="CA46" s="125">
        <v>3847339</v>
      </c>
      <c r="CB46" s="38">
        <v>3266880</v>
      </c>
      <c r="CC46" s="37">
        <v>384973</v>
      </c>
      <c r="CD46" s="37">
        <v>147606</v>
      </c>
      <c r="CE46" s="37">
        <v>86348</v>
      </c>
      <c r="CF46" s="68">
        <v>3886568</v>
      </c>
      <c r="CG46" s="3">
        <v>3346393</v>
      </c>
      <c r="CH46" s="37">
        <v>385934</v>
      </c>
      <c r="CI46" s="37">
        <v>154241</v>
      </c>
      <c r="CJ46" s="37">
        <v>89286</v>
      </c>
      <c r="CK46" s="42">
        <v>3925185</v>
      </c>
      <c r="CL46" s="40">
        <v>3379141</v>
      </c>
      <c r="CM46" s="41">
        <v>390342</v>
      </c>
      <c r="CN46" s="41">
        <v>155702</v>
      </c>
      <c r="CO46" s="41">
        <v>95298</v>
      </c>
      <c r="CP46" s="42">
        <v>3943725</v>
      </c>
      <c r="CQ46" s="356">
        <v>3381757</v>
      </c>
      <c r="CR46" s="356">
        <v>402225</v>
      </c>
      <c r="CS46" s="41">
        <v>159743</v>
      </c>
      <c r="CT46" s="356">
        <v>101286</v>
      </c>
      <c r="CU46" s="42">
        <v>3980669</v>
      </c>
      <c r="CV46" s="356">
        <v>3404567</v>
      </c>
      <c r="CW46" s="356">
        <v>412164</v>
      </c>
      <c r="CX46" s="215">
        <f t="shared" si="95"/>
        <v>163938</v>
      </c>
      <c r="CY46" s="419">
        <v>105248</v>
      </c>
      <c r="CZ46" s="37">
        <v>4005241</v>
      </c>
      <c r="DA46" s="37">
        <v>3352945</v>
      </c>
      <c r="DB46" s="37">
        <v>414382</v>
      </c>
      <c r="DC46" s="37">
        <v>170905</v>
      </c>
      <c r="DD46" s="371">
        <v>108232</v>
      </c>
      <c r="DE46" s="37">
        <v>4027255</v>
      </c>
      <c r="DF46" s="37">
        <v>3367577</v>
      </c>
      <c r="DG46" s="1">
        <v>415777</v>
      </c>
      <c r="DH46" s="37">
        <v>174428</v>
      </c>
      <c r="DI46" s="37">
        <v>110975</v>
      </c>
      <c r="DJ46" s="37">
        <v>4076767</v>
      </c>
      <c r="DK46" s="37">
        <v>3384974</v>
      </c>
      <c r="DL46" s="37">
        <v>429911</v>
      </c>
      <c r="DM46" s="669">
        <v>185850</v>
      </c>
      <c r="DN46" s="37">
        <v>115485</v>
      </c>
      <c r="DO46" s="507">
        <v>4097212</v>
      </c>
      <c r="DP46" s="37">
        <v>3398735</v>
      </c>
      <c r="DQ46" s="37">
        <v>435414</v>
      </c>
      <c r="DR46" s="338">
        <v>186485</v>
      </c>
      <c r="DS46" s="37">
        <v>119961</v>
      </c>
      <c r="DT46" s="507">
        <v>4121014</v>
      </c>
      <c r="DU46" s="37">
        <v>3410565</v>
      </c>
      <c r="DV46" s="37">
        <v>437911</v>
      </c>
      <c r="DW46" s="338">
        <v>185263</v>
      </c>
      <c r="DX46" s="37">
        <v>122482</v>
      </c>
      <c r="DY46" s="1">
        <v>77588</v>
      </c>
      <c r="DZ46" s="1">
        <v>0</v>
      </c>
      <c r="EA46" s="1">
        <v>18485</v>
      </c>
      <c r="EB46" s="1">
        <v>55755</v>
      </c>
      <c r="EC46" s="701">
        <v>33435</v>
      </c>
      <c r="ED46" s="542">
        <v>4150275</v>
      </c>
      <c r="EE46" s="37">
        <v>3430994</v>
      </c>
      <c r="EF46" s="28">
        <v>432245</v>
      </c>
      <c r="EG46" s="304">
        <v>201667</v>
      </c>
      <c r="EH46" s="37">
        <v>128571</v>
      </c>
      <c r="EI46" s="542">
        <v>4182787</v>
      </c>
      <c r="EJ46" s="37"/>
      <c r="EK46" s="28"/>
      <c r="EM46" s="37"/>
      <c r="EN46" s="37">
        <v>4206162</v>
      </c>
      <c r="EO46" s="37">
        <v>3449298</v>
      </c>
      <c r="EP46" s="28">
        <v>450283</v>
      </c>
      <c r="EQ46" s="304">
        <v>213810</v>
      </c>
      <c r="ER46" s="37">
        <v>138178</v>
      </c>
      <c r="ES46" s="37">
        <v>4226634</v>
      </c>
      <c r="ET46" s="37">
        <v>3368880</v>
      </c>
      <c r="EU46" s="28">
        <v>423751</v>
      </c>
      <c r="EV46" s="304">
        <v>401437</v>
      </c>
      <c r="EW46" s="37">
        <v>146158</v>
      </c>
      <c r="EX46" s="1">
        <v>86905</v>
      </c>
      <c r="EZ46" s="1">
        <v>13416</v>
      </c>
      <c r="FA46" s="1">
        <v>243145</v>
      </c>
      <c r="FB46" s="701">
        <v>57971</v>
      </c>
    </row>
    <row r="47" spans="1:158" ht="15.6">
      <c r="A47" s="38" t="s">
        <v>46</v>
      </c>
      <c r="B47" s="8"/>
      <c r="C47" s="17"/>
      <c r="D47" s="37">
        <v>791018</v>
      </c>
      <c r="E47" s="37">
        <v>377043</v>
      </c>
      <c r="F47" s="37">
        <v>396356</v>
      </c>
      <c r="G47" s="37">
        <v>8676</v>
      </c>
      <c r="H47" s="37">
        <v>8943</v>
      </c>
      <c r="I47" s="68">
        <v>804623</v>
      </c>
      <c r="J47" s="92">
        <f t="shared" si="84"/>
        <v>783464</v>
      </c>
      <c r="K47" s="37">
        <v>373415</v>
      </c>
      <c r="L47" s="37">
        <v>410049</v>
      </c>
      <c r="M47" s="92">
        <f t="shared" si="85"/>
        <v>16810</v>
      </c>
      <c r="N47" s="37">
        <v>7763</v>
      </c>
      <c r="O47" s="37">
        <v>9047</v>
      </c>
      <c r="P47" s="92">
        <f t="shared" si="86"/>
        <v>7954</v>
      </c>
      <c r="Q47" s="37">
        <v>4150</v>
      </c>
      <c r="R47" s="37">
        <v>3804</v>
      </c>
      <c r="S47" s="68">
        <v>912153</v>
      </c>
      <c r="T47" s="90">
        <f t="shared" si="87"/>
        <v>871368</v>
      </c>
      <c r="U47" s="37">
        <v>412473</v>
      </c>
      <c r="V47" s="37">
        <v>458895</v>
      </c>
      <c r="W47" s="90">
        <f t="shared" si="88"/>
        <v>21534</v>
      </c>
      <c r="X47" s="37">
        <v>9993</v>
      </c>
      <c r="Y47" s="37">
        <v>11541</v>
      </c>
      <c r="Z47" s="90">
        <f t="shared" si="89"/>
        <v>11281</v>
      </c>
      <c r="AA47" s="37">
        <v>5827</v>
      </c>
      <c r="AB47" s="37">
        <v>5454</v>
      </c>
      <c r="AC47" s="92">
        <v>7601</v>
      </c>
      <c r="AD47" s="92">
        <v>3374</v>
      </c>
      <c r="AE47" s="92">
        <v>4227</v>
      </c>
      <c r="AF47" s="68">
        <v>996049</v>
      </c>
      <c r="AG47" s="3">
        <v>946876</v>
      </c>
      <c r="AH47" s="55">
        <f t="shared" si="90"/>
        <v>938330</v>
      </c>
      <c r="AI47" s="37">
        <v>444571</v>
      </c>
      <c r="AJ47" s="37">
        <v>493759</v>
      </c>
      <c r="AK47" s="3">
        <v>29516</v>
      </c>
      <c r="AL47" s="55">
        <f t="shared" si="91"/>
        <v>29288</v>
      </c>
      <c r="AM47" s="37">
        <v>13576</v>
      </c>
      <c r="AN47" s="37">
        <v>15712</v>
      </c>
      <c r="AO47" s="3">
        <v>15988</v>
      </c>
      <c r="AP47" s="37">
        <v>8211</v>
      </c>
      <c r="AQ47" s="37">
        <v>7777</v>
      </c>
      <c r="AR47" s="59">
        <f t="shared" si="92"/>
        <v>12443</v>
      </c>
      <c r="AS47" s="68">
        <v>1087241</v>
      </c>
      <c r="AT47" s="3">
        <v>999326</v>
      </c>
      <c r="AU47" s="115">
        <v>479800</v>
      </c>
      <c r="AV47" s="115">
        <v>519526</v>
      </c>
      <c r="AW47" s="55">
        <f t="shared" si="93"/>
        <v>981129</v>
      </c>
      <c r="AX47" s="37">
        <v>470077</v>
      </c>
      <c r="AY47" s="37">
        <v>511052</v>
      </c>
      <c r="AZ47" s="3">
        <v>36058</v>
      </c>
      <c r="BA47" s="37">
        <v>17161</v>
      </c>
      <c r="BB47" s="37">
        <v>18897</v>
      </c>
      <c r="BC47" s="3">
        <v>43342</v>
      </c>
      <c r="BD47" s="37">
        <v>23966</v>
      </c>
      <c r="BE47" s="37">
        <v>19376</v>
      </c>
      <c r="BF47" s="92">
        <v>51857</v>
      </c>
      <c r="BG47" s="92">
        <v>26958</v>
      </c>
      <c r="BH47" s="92">
        <v>24899</v>
      </c>
      <c r="BI47" s="68">
        <v>1174907</v>
      </c>
      <c r="BJ47" s="37">
        <v>572859</v>
      </c>
      <c r="BK47" s="37">
        <v>602048</v>
      </c>
      <c r="BL47" s="37">
        <v>1067600</v>
      </c>
      <c r="BM47" s="37">
        <v>519108</v>
      </c>
      <c r="BN47" s="37">
        <v>548492</v>
      </c>
      <c r="BO47" s="37">
        <v>1019559</v>
      </c>
      <c r="BP47" s="37">
        <v>493623</v>
      </c>
      <c r="BQ47" s="37">
        <v>525936</v>
      </c>
      <c r="BR47" s="37">
        <v>44874</v>
      </c>
      <c r="BS47" s="37">
        <v>22906</v>
      </c>
      <c r="BT47" s="37">
        <v>21968</v>
      </c>
      <c r="BU47" s="37">
        <v>73811</v>
      </c>
      <c r="BV47" s="37">
        <v>39387</v>
      </c>
      <c r="BW47" s="37">
        <v>34424</v>
      </c>
      <c r="BX47" s="92">
        <f t="shared" si="94"/>
        <v>62433</v>
      </c>
      <c r="BY47" s="37">
        <v>30845</v>
      </c>
      <c r="BZ47" s="37">
        <v>31588</v>
      </c>
      <c r="CA47" s="125">
        <v>1131474</v>
      </c>
      <c r="CB47" s="38">
        <v>995204</v>
      </c>
      <c r="CC47" s="37">
        <v>39230</v>
      </c>
      <c r="CD47" s="37">
        <v>61094</v>
      </c>
      <c r="CE47" s="37">
        <v>63524</v>
      </c>
      <c r="CF47" s="68">
        <v>1139886</v>
      </c>
      <c r="CG47" s="3">
        <v>1038461</v>
      </c>
      <c r="CH47" s="37">
        <v>39576</v>
      </c>
      <c r="CI47" s="37">
        <v>61849</v>
      </c>
      <c r="CJ47" s="37">
        <v>65777</v>
      </c>
      <c r="CK47" s="42">
        <v>1142562</v>
      </c>
      <c r="CL47" s="40">
        <v>1039956</v>
      </c>
      <c r="CM47" s="41">
        <v>40568</v>
      </c>
      <c r="CN47" s="41">
        <v>62038</v>
      </c>
      <c r="CO47" s="41">
        <v>67636</v>
      </c>
      <c r="CP47" s="42">
        <v>1174907</v>
      </c>
      <c r="CQ47" s="356">
        <v>1067600</v>
      </c>
      <c r="CR47" s="356">
        <v>44874</v>
      </c>
      <c r="CS47" s="41">
        <v>62433</v>
      </c>
      <c r="CT47" s="356">
        <v>73811</v>
      </c>
      <c r="CU47" s="42">
        <v>1186826</v>
      </c>
      <c r="CV47" s="356">
        <v>1078423</v>
      </c>
      <c r="CW47" s="356">
        <v>45547</v>
      </c>
      <c r="CX47" s="215">
        <f t="shared" si="95"/>
        <v>62856</v>
      </c>
      <c r="CY47" s="419">
        <v>77373</v>
      </c>
      <c r="CZ47" s="37">
        <v>1196710</v>
      </c>
      <c r="DA47" s="37">
        <v>1031046</v>
      </c>
      <c r="DB47" s="37">
        <v>46507</v>
      </c>
      <c r="DC47" s="37">
        <v>61041</v>
      </c>
      <c r="DD47" s="371">
        <v>80813</v>
      </c>
      <c r="DE47" s="37">
        <v>1205830</v>
      </c>
      <c r="DF47" s="37">
        <v>1034256</v>
      </c>
      <c r="DG47" s="1">
        <v>47031</v>
      </c>
      <c r="DH47" s="37">
        <v>63589</v>
      </c>
      <c r="DI47" s="37">
        <v>84027</v>
      </c>
      <c r="DJ47" s="37">
        <v>1224701</v>
      </c>
      <c r="DK47" s="37">
        <v>1041122</v>
      </c>
      <c r="DL47" s="37">
        <v>48801</v>
      </c>
      <c r="DM47" s="669">
        <v>62801</v>
      </c>
      <c r="DN47" s="37">
        <v>90991</v>
      </c>
      <c r="DO47" s="507">
        <v>1232583</v>
      </c>
      <c r="DP47" s="37">
        <v>1044648</v>
      </c>
      <c r="DQ47" s="37">
        <v>50500</v>
      </c>
      <c r="DR47" s="338">
        <v>65289</v>
      </c>
      <c r="DS47" s="37">
        <v>92018</v>
      </c>
      <c r="DT47" s="507">
        <v>1243820</v>
      </c>
      <c r="DU47" s="37">
        <v>1048188</v>
      </c>
      <c r="DV47" s="37">
        <v>50875</v>
      </c>
      <c r="DW47" s="338">
        <v>67648</v>
      </c>
      <c r="DX47" s="37">
        <v>98476</v>
      </c>
      <c r="DY47" s="1">
        <v>23787</v>
      </c>
      <c r="DZ47" s="1">
        <v>0</v>
      </c>
      <c r="EA47" s="1">
        <v>8453</v>
      </c>
      <c r="EB47" s="1">
        <v>15954</v>
      </c>
      <c r="EC47" s="701">
        <v>19454</v>
      </c>
      <c r="ED47" s="542">
        <v>1259254</v>
      </c>
      <c r="EE47" s="37">
        <v>1051542</v>
      </c>
      <c r="EF47" s="28">
        <v>53583</v>
      </c>
      <c r="EG47" s="304">
        <v>72953</v>
      </c>
      <c r="EH47" s="37">
        <v>102067</v>
      </c>
      <c r="EI47" s="542">
        <v>1266440</v>
      </c>
      <c r="EJ47" s="37"/>
      <c r="EK47" s="28"/>
      <c r="EM47" s="37"/>
      <c r="EN47" s="37">
        <v>1271770</v>
      </c>
      <c r="EO47" s="37">
        <v>1055888</v>
      </c>
      <c r="EP47" s="28">
        <v>54590</v>
      </c>
      <c r="EQ47" s="304">
        <v>85335</v>
      </c>
      <c r="ER47" s="37">
        <v>106780</v>
      </c>
      <c r="ES47" s="37">
        <v>1292536</v>
      </c>
      <c r="ET47" s="37">
        <v>1047942</v>
      </c>
      <c r="EU47" s="28">
        <v>54478</v>
      </c>
      <c r="EV47" s="304">
        <v>173639</v>
      </c>
      <c r="EW47" s="37">
        <v>115641</v>
      </c>
      <c r="EX47" s="1">
        <v>30385</v>
      </c>
      <c r="EZ47" s="1">
        <v>12261</v>
      </c>
      <c r="FA47" s="1">
        <v>81345</v>
      </c>
      <c r="FB47" s="701">
        <v>49648</v>
      </c>
    </row>
    <row r="48" spans="1:158" ht="15.6">
      <c r="A48" s="38" t="s">
        <v>47</v>
      </c>
      <c r="B48" s="8"/>
      <c r="C48" s="17"/>
      <c r="D48" s="37">
        <v>323615</v>
      </c>
      <c r="E48" s="37">
        <v>163301</v>
      </c>
      <c r="F48" s="37">
        <v>155824</v>
      </c>
      <c r="G48" s="37">
        <v>2183</v>
      </c>
      <c r="H48" s="37">
        <v>2307</v>
      </c>
      <c r="I48" s="68">
        <v>318339</v>
      </c>
      <c r="J48" s="92">
        <f t="shared" si="84"/>
        <v>312269</v>
      </c>
      <c r="K48" s="37">
        <v>155206</v>
      </c>
      <c r="L48" s="37">
        <v>157063</v>
      </c>
      <c r="M48" s="92">
        <f t="shared" si="85"/>
        <v>940</v>
      </c>
      <c r="N48" s="37">
        <v>547</v>
      </c>
      <c r="O48" s="37">
        <v>393</v>
      </c>
      <c r="P48" s="92">
        <f t="shared" si="86"/>
        <v>741</v>
      </c>
      <c r="Q48" s="37">
        <v>382</v>
      </c>
      <c r="R48" s="37">
        <v>359</v>
      </c>
      <c r="S48" s="68">
        <v>364601</v>
      </c>
      <c r="T48" s="90">
        <f t="shared" si="87"/>
        <v>353961</v>
      </c>
      <c r="U48" s="37">
        <v>174934</v>
      </c>
      <c r="V48" s="37">
        <v>179027</v>
      </c>
      <c r="W48" s="90">
        <f t="shared" si="88"/>
        <v>869</v>
      </c>
      <c r="X48" s="37">
        <v>582</v>
      </c>
      <c r="Y48" s="37">
        <v>287</v>
      </c>
      <c r="Z48" s="90">
        <f t="shared" si="89"/>
        <v>1163</v>
      </c>
      <c r="AA48" s="37">
        <v>602</v>
      </c>
      <c r="AB48" s="37">
        <v>561</v>
      </c>
      <c r="AC48" s="92">
        <v>8496</v>
      </c>
      <c r="AD48" s="92">
        <v>3855</v>
      </c>
      <c r="AE48" s="92">
        <v>4641</v>
      </c>
      <c r="AF48" s="68">
        <v>396550</v>
      </c>
      <c r="AG48" s="3">
        <v>381509</v>
      </c>
      <c r="AH48" s="55">
        <f t="shared" si="90"/>
        <v>380508</v>
      </c>
      <c r="AI48" s="37">
        <v>185199</v>
      </c>
      <c r="AJ48" s="37">
        <v>195309</v>
      </c>
      <c r="AK48" s="3">
        <v>1580</v>
      </c>
      <c r="AL48" s="55">
        <f t="shared" si="91"/>
        <v>1556</v>
      </c>
      <c r="AM48" s="37">
        <v>1024</v>
      </c>
      <c r="AN48" s="37">
        <v>532</v>
      </c>
      <c r="AO48" s="3">
        <v>1876</v>
      </c>
      <c r="AP48" s="37">
        <v>909</v>
      </c>
      <c r="AQ48" s="37">
        <v>967</v>
      </c>
      <c r="AR48" s="59">
        <f t="shared" si="92"/>
        <v>12610</v>
      </c>
      <c r="AS48" s="68">
        <v>408585</v>
      </c>
      <c r="AT48" s="3">
        <v>386469</v>
      </c>
      <c r="AU48" s="115">
        <v>188606</v>
      </c>
      <c r="AV48" s="115">
        <v>197863</v>
      </c>
      <c r="AW48" s="55">
        <f t="shared" si="93"/>
        <v>384576</v>
      </c>
      <c r="AX48" s="37">
        <v>187657</v>
      </c>
      <c r="AY48" s="37">
        <v>196919</v>
      </c>
      <c r="AZ48" s="3">
        <v>1467</v>
      </c>
      <c r="BA48" s="37">
        <v>924</v>
      </c>
      <c r="BB48" s="37">
        <v>543</v>
      </c>
      <c r="BC48" s="3">
        <v>3306</v>
      </c>
      <c r="BD48" s="37">
        <v>1591</v>
      </c>
      <c r="BE48" s="37">
        <v>1715</v>
      </c>
      <c r="BF48" s="92">
        <v>20649</v>
      </c>
      <c r="BG48" s="92">
        <v>9771</v>
      </c>
      <c r="BH48" s="92">
        <v>10878</v>
      </c>
      <c r="BI48" s="68">
        <v>436232</v>
      </c>
      <c r="BJ48" s="37">
        <v>216960</v>
      </c>
      <c r="BK48" s="37">
        <v>219272</v>
      </c>
      <c r="BL48" s="37">
        <v>406315</v>
      </c>
      <c r="BM48" s="37">
        <v>201979</v>
      </c>
      <c r="BN48" s="37">
        <v>204336</v>
      </c>
      <c r="BO48" s="37">
        <v>402668</v>
      </c>
      <c r="BP48" s="37">
        <v>200108</v>
      </c>
      <c r="BQ48" s="37">
        <v>202560</v>
      </c>
      <c r="BR48" s="37">
        <v>3438</v>
      </c>
      <c r="BS48" s="37">
        <v>2145</v>
      </c>
      <c r="BT48" s="37">
        <v>1293</v>
      </c>
      <c r="BU48" s="37">
        <v>5831</v>
      </c>
      <c r="BV48" s="37">
        <v>3052</v>
      </c>
      <c r="BW48" s="37">
        <v>2779</v>
      </c>
      <c r="BX48" s="92">
        <f t="shared" si="94"/>
        <v>26479</v>
      </c>
      <c r="BY48" s="37">
        <v>12836</v>
      </c>
      <c r="BZ48" s="37">
        <v>13643</v>
      </c>
      <c r="CA48" s="125">
        <v>411298</v>
      </c>
      <c r="CB48" s="38">
        <v>382498</v>
      </c>
      <c r="CC48" s="37">
        <v>2551</v>
      </c>
      <c r="CD48" s="37">
        <v>23724</v>
      </c>
      <c r="CE48" s="37">
        <v>4488</v>
      </c>
      <c r="CF48" s="68">
        <v>413437</v>
      </c>
      <c r="CG48" s="3">
        <v>386716</v>
      </c>
      <c r="CH48" s="37">
        <v>2516</v>
      </c>
      <c r="CI48" s="37">
        <v>24205</v>
      </c>
      <c r="CJ48" s="37">
        <v>5078</v>
      </c>
      <c r="CK48" s="42">
        <v>413790</v>
      </c>
      <c r="CL48" s="40">
        <v>385086</v>
      </c>
      <c r="CM48" s="41">
        <v>2571</v>
      </c>
      <c r="CN48" s="41">
        <v>26133</v>
      </c>
      <c r="CO48" s="41">
        <v>6248</v>
      </c>
      <c r="CP48" s="42">
        <v>436232</v>
      </c>
      <c r="CQ48" s="356">
        <v>406315</v>
      </c>
      <c r="CR48" s="356">
        <v>3438</v>
      </c>
      <c r="CS48" s="41">
        <v>26479</v>
      </c>
      <c r="CT48" s="356">
        <v>5831</v>
      </c>
      <c r="CU48" s="42">
        <v>442592</v>
      </c>
      <c r="CV48" s="356">
        <v>411393</v>
      </c>
      <c r="CW48" s="356"/>
      <c r="CX48" s="215">
        <f t="shared" si="95"/>
        <v>31199</v>
      </c>
      <c r="CY48" s="419"/>
      <c r="CZ48" s="37">
        <v>450055</v>
      </c>
      <c r="DA48" s="37">
        <v>413061</v>
      </c>
      <c r="DB48" s="37">
        <v>4245</v>
      </c>
      <c r="DC48" s="37">
        <v>28390</v>
      </c>
      <c r="DD48" s="371">
        <v>6470</v>
      </c>
      <c r="DE48" s="37">
        <v>457771</v>
      </c>
      <c r="DF48" s="37">
        <v>417650</v>
      </c>
      <c r="DG48" s="1">
        <v>4479</v>
      </c>
      <c r="DH48" s="37">
        <v>31065</v>
      </c>
      <c r="DI48" s="37">
        <v>7521</v>
      </c>
      <c r="DJ48" s="37">
        <v>478850</v>
      </c>
      <c r="DK48" s="37">
        <v>430084</v>
      </c>
      <c r="DL48" s="37">
        <v>0</v>
      </c>
      <c r="DM48" s="669">
        <v>33583</v>
      </c>
      <c r="DN48" s="37">
        <v>8892</v>
      </c>
      <c r="DO48" s="507">
        <v>492017</v>
      </c>
      <c r="DP48" s="37">
        <v>436239</v>
      </c>
      <c r="DQ48" s="37">
        <v>7621</v>
      </c>
      <c r="DR48" s="338">
        <v>36723</v>
      </c>
      <c r="DS48" s="37">
        <v>12348</v>
      </c>
      <c r="DT48" s="507">
        <v>495015</v>
      </c>
      <c r="DU48" s="37">
        <v>436670</v>
      </c>
      <c r="DV48" s="37"/>
      <c r="DW48" s="338">
        <v>36849</v>
      </c>
      <c r="DX48" s="37">
        <v>12173</v>
      </c>
      <c r="DY48" s="1">
        <v>4905</v>
      </c>
      <c r="DZ48" s="1">
        <v>0</v>
      </c>
      <c r="EA48" s="1">
        <v>22675</v>
      </c>
      <c r="EB48" s="1">
        <v>9269</v>
      </c>
      <c r="EC48" s="701"/>
      <c r="ED48" s="542">
        <v>495904</v>
      </c>
      <c r="EE48" s="37">
        <v>433535</v>
      </c>
      <c r="EF48" s="28">
        <v>13448</v>
      </c>
      <c r="EG48" s="304">
        <v>27369</v>
      </c>
      <c r="EH48" s="37">
        <v>13249</v>
      </c>
      <c r="EI48" s="542">
        <v>500779</v>
      </c>
      <c r="EJ48" s="37"/>
      <c r="EK48" s="28"/>
      <c r="EM48" s="37"/>
      <c r="EN48" s="37">
        <v>504375</v>
      </c>
      <c r="EO48" s="37">
        <v>438065</v>
      </c>
      <c r="EP48" s="28">
        <v>13471</v>
      </c>
      <c r="EQ48" s="304">
        <v>38705</v>
      </c>
      <c r="ER48" s="37">
        <v>15357</v>
      </c>
      <c r="ES48" s="37">
        <v>506739</v>
      </c>
      <c r="ET48" s="37">
        <v>433457</v>
      </c>
      <c r="EU48" s="28">
        <v>11919</v>
      </c>
      <c r="EV48" s="304">
        <v>49076</v>
      </c>
      <c r="EW48" s="37">
        <v>16257</v>
      </c>
      <c r="EZ48" s="1">
        <v>20233</v>
      </c>
      <c r="FA48" s="1">
        <v>21338</v>
      </c>
      <c r="FB48" s="701">
        <v>7505</v>
      </c>
    </row>
    <row r="49" spans="1:158" ht="15.6">
      <c r="A49" s="38" t="s">
        <v>48</v>
      </c>
      <c r="B49" s="8"/>
      <c r="C49" s="17"/>
      <c r="D49" s="37">
        <v>5377547</v>
      </c>
      <c r="E49" s="37">
        <v>2398747</v>
      </c>
      <c r="F49" s="37">
        <v>2570087</v>
      </c>
      <c r="G49" s="37">
        <v>197938</v>
      </c>
      <c r="H49" s="37">
        <v>210775</v>
      </c>
      <c r="I49" s="68">
        <v>5700317</v>
      </c>
      <c r="J49" s="92">
        <f t="shared" si="84"/>
        <v>5219934</v>
      </c>
      <c r="K49" s="37">
        <v>2467295</v>
      </c>
      <c r="L49" s="37">
        <v>2752639</v>
      </c>
      <c r="M49" s="92">
        <f t="shared" si="85"/>
        <v>463963</v>
      </c>
      <c r="N49" s="37">
        <v>213747</v>
      </c>
      <c r="O49" s="37">
        <v>250216</v>
      </c>
      <c r="P49" s="92">
        <f t="shared" si="86"/>
        <v>37001</v>
      </c>
      <c r="Q49" s="37">
        <v>18749</v>
      </c>
      <c r="R49" s="37">
        <v>18252</v>
      </c>
      <c r="S49" s="68">
        <v>6291667</v>
      </c>
      <c r="T49" s="90">
        <f t="shared" si="87"/>
        <v>5647057</v>
      </c>
      <c r="U49" s="37">
        <v>2646095</v>
      </c>
      <c r="V49" s="37">
        <v>3000962</v>
      </c>
      <c r="W49" s="90">
        <f t="shared" si="88"/>
        <v>551628</v>
      </c>
      <c r="X49" s="37">
        <v>247223</v>
      </c>
      <c r="Y49" s="37">
        <v>304405</v>
      </c>
      <c r="Z49" s="90">
        <f t="shared" si="89"/>
        <v>53107</v>
      </c>
      <c r="AA49" s="37">
        <v>26618</v>
      </c>
      <c r="AB49" s="37">
        <v>26489</v>
      </c>
      <c r="AC49" s="92">
        <v>37444</v>
      </c>
      <c r="AD49" s="92">
        <v>16450</v>
      </c>
      <c r="AE49" s="92">
        <v>20994</v>
      </c>
      <c r="AF49" s="68">
        <v>6924764</v>
      </c>
      <c r="AG49" s="3">
        <v>6175347</v>
      </c>
      <c r="AH49" s="55">
        <f t="shared" si="90"/>
        <v>6139319</v>
      </c>
      <c r="AI49" s="37">
        <v>2881463</v>
      </c>
      <c r="AJ49" s="37">
        <v>3257856</v>
      </c>
      <c r="AK49" s="3">
        <v>656421</v>
      </c>
      <c r="AL49" s="55">
        <f t="shared" si="91"/>
        <v>653932</v>
      </c>
      <c r="AM49" s="37">
        <v>287470</v>
      </c>
      <c r="AN49" s="37">
        <v>366462</v>
      </c>
      <c r="AO49" s="3">
        <v>64820</v>
      </c>
      <c r="AP49" s="37">
        <v>32321</v>
      </c>
      <c r="AQ49" s="37">
        <v>32499</v>
      </c>
      <c r="AR49" s="59">
        <f t="shared" si="92"/>
        <v>66693</v>
      </c>
      <c r="AS49" s="68">
        <v>7411740</v>
      </c>
      <c r="AT49" s="3">
        <v>6444503</v>
      </c>
      <c r="AU49" s="115">
        <v>3059868</v>
      </c>
      <c r="AV49" s="115">
        <v>3384635</v>
      </c>
      <c r="AW49" s="55">
        <f t="shared" si="93"/>
        <v>6390358</v>
      </c>
      <c r="AX49" s="37">
        <v>3033056</v>
      </c>
      <c r="AY49" s="37">
        <v>3357302</v>
      </c>
      <c r="AZ49" s="3">
        <v>746177</v>
      </c>
      <c r="BA49" s="37">
        <v>335278</v>
      </c>
      <c r="BB49" s="37">
        <v>410899</v>
      </c>
      <c r="BC49" s="3">
        <v>106232</v>
      </c>
      <c r="BD49" s="37">
        <v>54319</v>
      </c>
      <c r="BE49" s="37">
        <v>51913</v>
      </c>
      <c r="BF49" s="92">
        <v>221060</v>
      </c>
      <c r="BG49" s="92">
        <v>108860</v>
      </c>
      <c r="BH49" s="92">
        <v>112200</v>
      </c>
      <c r="BI49" s="68">
        <v>7687669</v>
      </c>
      <c r="BJ49" s="37">
        <v>3670035</v>
      </c>
      <c r="BK49" s="37">
        <v>4017634</v>
      </c>
      <c r="BL49" s="37">
        <v>6589010</v>
      </c>
      <c r="BM49" s="37">
        <v>3161196</v>
      </c>
      <c r="BN49" s="37">
        <v>3427814</v>
      </c>
      <c r="BO49" s="37">
        <v>6476022</v>
      </c>
      <c r="BP49" s="37">
        <v>3103163</v>
      </c>
      <c r="BQ49" s="37">
        <v>3372859</v>
      </c>
      <c r="BR49" s="37">
        <v>837493</v>
      </c>
      <c r="BS49" s="37">
        <v>382491</v>
      </c>
      <c r="BT49" s="37">
        <v>455002</v>
      </c>
      <c r="BU49" s="37">
        <v>170917</v>
      </c>
      <c r="BV49" s="37">
        <v>88685</v>
      </c>
      <c r="BW49" s="37">
        <v>82232</v>
      </c>
      <c r="BX49" s="92">
        <f t="shared" si="94"/>
        <v>261166</v>
      </c>
      <c r="BY49" s="37">
        <v>126348</v>
      </c>
      <c r="BZ49" s="37">
        <v>134818</v>
      </c>
      <c r="CA49" s="125">
        <v>7598399</v>
      </c>
      <c r="CB49" s="38">
        <v>6471449</v>
      </c>
      <c r="CC49" s="37">
        <v>796488</v>
      </c>
      <c r="CD49" s="37">
        <v>251615</v>
      </c>
      <c r="CE49" s="37">
        <v>143785</v>
      </c>
      <c r="CF49" s="68">
        <v>7636835</v>
      </c>
      <c r="CG49" s="3">
        <v>6582144</v>
      </c>
      <c r="CH49" s="37">
        <v>804209</v>
      </c>
      <c r="CI49" s="37">
        <v>250482</v>
      </c>
      <c r="CJ49" s="37">
        <v>148500</v>
      </c>
      <c r="CK49" s="42">
        <v>7711350</v>
      </c>
      <c r="CL49" s="40">
        <v>6645259</v>
      </c>
      <c r="CM49" s="41">
        <v>813819</v>
      </c>
      <c r="CN49" s="41">
        <v>252272</v>
      </c>
      <c r="CO49" s="41">
        <v>159868</v>
      </c>
      <c r="CP49" s="42">
        <v>7687669</v>
      </c>
      <c r="CQ49" s="356">
        <v>6589010</v>
      </c>
      <c r="CR49" s="356">
        <v>837493</v>
      </c>
      <c r="CS49" s="41">
        <v>261166</v>
      </c>
      <c r="CT49" s="356">
        <v>170917</v>
      </c>
      <c r="CU49" s="42">
        <v>7718074</v>
      </c>
      <c r="CV49" s="356">
        <v>6600893</v>
      </c>
      <c r="CW49" s="356">
        <v>844656</v>
      </c>
      <c r="CX49" s="215">
        <f t="shared" si="95"/>
        <v>272525</v>
      </c>
      <c r="CY49" s="419">
        <v>176662</v>
      </c>
      <c r="CZ49" s="37">
        <v>7744886</v>
      </c>
      <c r="DA49" s="37">
        <v>6492600</v>
      </c>
      <c r="DB49" s="37">
        <v>851270</v>
      </c>
      <c r="DC49" s="37">
        <v>282156</v>
      </c>
      <c r="DD49" s="371">
        <v>183250</v>
      </c>
      <c r="DE49" s="37">
        <v>7776454</v>
      </c>
      <c r="DF49" s="37">
        <v>6505332</v>
      </c>
      <c r="DG49" s="1">
        <v>851891</v>
      </c>
      <c r="DH49" s="37">
        <v>296089</v>
      </c>
      <c r="DI49" s="37">
        <v>189557</v>
      </c>
      <c r="DJ49" s="37">
        <v>7857460</v>
      </c>
      <c r="DK49" s="37">
        <v>6531192</v>
      </c>
      <c r="DL49" s="37">
        <v>870892</v>
      </c>
      <c r="DM49" s="669">
        <v>324225</v>
      </c>
      <c r="DN49" s="37">
        <v>202231</v>
      </c>
      <c r="DO49" s="507">
        <v>7896470</v>
      </c>
      <c r="DP49" s="37">
        <v>6541286</v>
      </c>
      <c r="DQ49" s="37">
        <v>883121</v>
      </c>
      <c r="DR49" s="338">
        <v>330890</v>
      </c>
      <c r="DS49" s="37">
        <v>212227</v>
      </c>
      <c r="DT49" s="507">
        <v>7922061</v>
      </c>
      <c r="DU49" s="37">
        <v>6537930</v>
      </c>
      <c r="DV49" s="37">
        <v>900291</v>
      </c>
      <c r="DW49" s="338">
        <v>344648</v>
      </c>
      <c r="DX49" s="37">
        <v>214826</v>
      </c>
      <c r="DY49" s="1">
        <v>160629</v>
      </c>
      <c r="DZ49" s="1">
        <v>0</v>
      </c>
      <c r="EA49" s="1">
        <v>12592</v>
      </c>
      <c r="EB49" s="1">
        <v>111047</v>
      </c>
      <c r="EC49" s="701">
        <v>60380</v>
      </c>
      <c r="ED49" s="542">
        <v>7981885</v>
      </c>
      <c r="EE49" s="37">
        <v>6548988</v>
      </c>
      <c r="EF49" s="28">
        <v>911989</v>
      </c>
      <c r="EG49" s="304">
        <v>371578</v>
      </c>
      <c r="EH49" s="37">
        <v>227001</v>
      </c>
      <c r="EI49" s="542">
        <v>8027035</v>
      </c>
      <c r="EJ49" s="37"/>
      <c r="EK49" s="28"/>
      <c r="EM49" s="37"/>
      <c r="EN49" s="37">
        <v>8049805</v>
      </c>
      <c r="EO49" s="37">
        <v>6552807</v>
      </c>
      <c r="EP49" s="28">
        <v>939875</v>
      </c>
      <c r="EQ49" s="304">
        <v>399138</v>
      </c>
      <c r="ER49" s="37">
        <v>247310</v>
      </c>
      <c r="ES49" s="37">
        <v>8117973</v>
      </c>
      <c r="ET49" s="37">
        <v>6483542</v>
      </c>
      <c r="EU49" s="28">
        <v>895343</v>
      </c>
      <c r="EV49" s="304">
        <v>690956</v>
      </c>
      <c r="EW49" s="37">
        <v>265984</v>
      </c>
      <c r="EX49" s="1">
        <v>194406</v>
      </c>
      <c r="EZ49" s="1">
        <v>14821</v>
      </c>
      <c r="FA49" s="1">
        <v>369739</v>
      </c>
      <c r="FB49" s="701">
        <v>111990</v>
      </c>
    </row>
    <row r="50" spans="1:158" ht="15.6">
      <c r="A50" s="38" t="s">
        <v>49</v>
      </c>
      <c r="B50" s="8"/>
      <c r="C50" s="17"/>
      <c r="D50" s="37">
        <v>360135</v>
      </c>
      <c r="E50" s="37">
        <v>175791</v>
      </c>
      <c r="F50" s="37">
        <v>173690</v>
      </c>
      <c r="G50" s="37">
        <v>5326</v>
      </c>
      <c r="H50" s="37">
        <v>5328</v>
      </c>
      <c r="I50" s="68">
        <v>349497</v>
      </c>
      <c r="J50" s="92">
        <f t="shared" si="84"/>
        <v>337278</v>
      </c>
      <c r="K50" s="37">
        <v>164024</v>
      </c>
      <c r="L50" s="37">
        <v>173254</v>
      </c>
      <c r="M50" s="92">
        <f t="shared" si="85"/>
        <v>640</v>
      </c>
      <c r="N50" s="37">
        <v>373</v>
      </c>
      <c r="O50" s="37">
        <v>267</v>
      </c>
      <c r="P50" s="92">
        <f t="shared" si="86"/>
        <v>1059</v>
      </c>
      <c r="Q50" s="37">
        <v>564</v>
      </c>
      <c r="R50" s="37">
        <v>495</v>
      </c>
      <c r="S50" s="68">
        <v>389991</v>
      </c>
      <c r="T50" s="90">
        <f t="shared" si="87"/>
        <v>369880</v>
      </c>
      <c r="U50" s="37">
        <v>178526</v>
      </c>
      <c r="V50" s="37">
        <v>191354</v>
      </c>
      <c r="W50" s="90">
        <f t="shared" si="88"/>
        <v>793</v>
      </c>
      <c r="X50" s="37">
        <v>526</v>
      </c>
      <c r="Y50" s="37">
        <v>267</v>
      </c>
      <c r="Z50" s="90">
        <f t="shared" si="89"/>
        <v>1444</v>
      </c>
      <c r="AA50" s="37">
        <v>716</v>
      </c>
      <c r="AB50" s="37">
        <v>728</v>
      </c>
      <c r="AC50" s="92">
        <v>17761</v>
      </c>
      <c r="AD50" s="92">
        <v>8184</v>
      </c>
      <c r="AE50" s="92">
        <v>9577</v>
      </c>
      <c r="AF50" s="68">
        <v>430500</v>
      </c>
      <c r="AG50" s="3">
        <v>405575</v>
      </c>
      <c r="AH50" s="55">
        <f t="shared" si="90"/>
        <v>404560</v>
      </c>
      <c r="AI50" s="37">
        <v>194558</v>
      </c>
      <c r="AJ50" s="37">
        <v>210002</v>
      </c>
      <c r="AK50" s="3">
        <v>1425</v>
      </c>
      <c r="AL50" s="55">
        <f t="shared" si="91"/>
        <v>1420</v>
      </c>
      <c r="AM50" s="37">
        <v>984</v>
      </c>
      <c r="AN50" s="37">
        <v>436</v>
      </c>
      <c r="AO50" s="3">
        <v>2248</v>
      </c>
      <c r="AP50" s="37">
        <v>1223</v>
      </c>
      <c r="AQ50" s="37">
        <v>1025</v>
      </c>
      <c r="AR50" s="59">
        <f t="shared" si="92"/>
        <v>22272</v>
      </c>
      <c r="AS50" s="68">
        <v>474359</v>
      </c>
      <c r="AT50" s="3">
        <v>436738</v>
      </c>
      <c r="AU50" s="115">
        <v>211974</v>
      </c>
      <c r="AV50" s="115">
        <v>224764</v>
      </c>
      <c r="AW50" s="55">
        <f t="shared" si="93"/>
        <v>434428</v>
      </c>
      <c r="AX50" s="37">
        <v>210769</v>
      </c>
      <c r="AY50" s="37">
        <v>223659</v>
      </c>
      <c r="AZ50" s="3">
        <v>2280</v>
      </c>
      <c r="BA50" s="37">
        <v>1518</v>
      </c>
      <c r="BB50" s="37">
        <v>762</v>
      </c>
      <c r="BC50" s="3">
        <v>4638</v>
      </c>
      <c r="BD50" s="37">
        <v>2553</v>
      </c>
      <c r="BE50" s="37">
        <v>2085</v>
      </c>
      <c r="BF50" s="92">
        <v>35341</v>
      </c>
      <c r="BG50" s="92">
        <v>16850</v>
      </c>
      <c r="BH50" s="92">
        <v>18491</v>
      </c>
      <c r="BI50" s="68">
        <v>525495</v>
      </c>
      <c r="BJ50" s="37">
        <v>258389</v>
      </c>
      <c r="BK50" s="37">
        <v>267106</v>
      </c>
      <c r="BL50" s="37">
        <v>474113</v>
      </c>
      <c r="BM50" s="37">
        <v>233073</v>
      </c>
      <c r="BN50" s="37">
        <v>241040</v>
      </c>
      <c r="BO50" s="37">
        <v>468948</v>
      </c>
      <c r="BP50" s="37">
        <v>230491</v>
      </c>
      <c r="BQ50" s="37">
        <v>238457</v>
      </c>
      <c r="BR50" s="37">
        <v>4697</v>
      </c>
      <c r="BS50" s="37">
        <v>3081</v>
      </c>
      <c r="BT50" s="37">
        <v>1616</v>
      </c>
      <c r="BU50" s="37">
        <v>9667</v>
      </c>
      <c r="BV50" s="37">
        <v>5141</v>
      </c>
      <c r="BW50" s="37">
        <v>4526</v>
      </c>
      <c r="BX50" s="92">
        <f t="shared" si="94"/>
        <v>46685</v>
      </c>
      <c r="BY50" s="37">
        <v>22235</v>
      </c>
      <c r="BZ50" s="37">
        <v>24450</v>
      </c>
      <c r="CA50" s="125">
        <v>509779</v>
      </c>
      <c r="CB50" s="38">
        <v>460512</v>
      </c>
      <c r="CC50" s="37">
        <v>3499</v>
      </c>
      <c r="CD50" s="37">
        <v>41879</v>
      </c>
      <c r="CE50" s="37">
        <v>7923</v>
      </c>
      <c r="CF50" s="68">
        <v>516633</v>
      </c>
      <c r="CG50" s="3">
        <v>468284</v>
      </c>
      <c r="CH50" s="37">
        <v>3678</v>
      </c>
      <c r="CI50" s="37">
        <v>44671</v>
      </c>
      <c r="CJ50" s="37">
        <v>8634</v>
      </c>
      <c r="CK50" s="42">
        <v>520791</v>
      </c>
      <c r="CL50" s="40">
        <v>471071</v>
      </c>
      <c r="CM50" s="41">
        <v>3949</v>
      </c>
      <c r="CN50" s="41">
        <v>45771</v>
      </c>
      <c r="CO50" s="41">
        <v>9435</v>
      </c>
      <c r="CP50" s="42">
        <v>525495</v>
      </c>
      <c r="CQ50" s="356">
        <v>474113</v>
      </c>
      <c r="CR50" s="356">
        <v>4697</v>
      </c>
      <c r="CS50" s="41">
        <v>46685</v>
      </c>
      <c r="CT50" s="356">
        <v>9667</v>
      </c>
      <c r="CU50" s="42">
        <v>531543</v>
      </c>
      <c r="CV50" s="356">
        <v>478192</v>
      </c>
      <c r="CW50" s="356"/>
      <c r="CX50" s="215">
        <f t="shared" si="95"/>
        <v>53351</v>
      </c>
      <c r="CY50" s="419">
        <v>10146</v>
      </c>
      <c r="CZ50" s="37">
        <v>538464</v>
      </c>
      <c r="DA50" s="37">
        <v>476571</v>
      </c>
      <c r="DB50" s="37">
        <v>5700</v>
      </c>
      <c r="DC50" s="37">
        <v>50117</v>
      </c>
      <c r="DD50" s="371">
        <v>10608</v>
      </c>
      <c r="DE50" s="37">
        <v>544876</v>
      </c>
      <c r="DF50" s="37">
        <v>479646</v>
      </c>
      <c r="DG50" s="1">
        <v>6289</v>
      </c>
      <c r="DH50" s="37">
        <v>52290</v>
      </c>
      <c r="DI50" s="37">
        <v>11785</v>
      </c>
      <c r="DJ50" s="37">
        <v>555488</v>
      </c>
      <c r="DK50" s="37">
        <v>487480</v>
      </c>
      <c r="DL50" s="37">
        <v>6907</v>
      </c>
      <c r="DM50" s="669">
        <v>49980</v>
      </c>
      <c r="DN50" s="37">
        <v>12830</v>
      </c>
      <c r="DO50" s="507">
        <v>563108</v>
      </c>
      <c r="DP50" s="37">
        <v>490147</v>
      </c>
      <c r="DQ50" s="37">
        <v>7412</v>
      </c>
      <c r="DR50" s="338">
        <v>52893</v>
      </c>
      <c r="DS50" s="37">
        <v>14060</v>
      </c>
      <c r="DT50" s="507">
        <v>565894</v>
      </c>
      <c r="DU50" s="37">
        <v>492869</v>
      </c>
      <c r="DV50" s="37">
        <v>7354</v>
      </c>
      <c r="DW50" s="338">
        <v>56865</v>
      </c>
      <c r="DX50" s="37">
        <v>14002</v>
      </c>
      <c r="DY50" s="1">
        <v>7145</v>
      </c>
      <c r="DZ50" s="1">
        <v>0</v>
      </c>
      <c r="EA50" s="1">
        <v>39395</v>
      </c>
      <c r="EB50" s="1">
        <v>6833</v>
      </c>
      <c r="EC50" s="701">
        <v>3492</v>
      </c>
      <c r="ED50" s="542">
        <v>574559</v>
      </c>
      <c r="EE50" s="37">
        <v>496930</v>
      </c>
      <c r="EF50" s="28">
        <v>9548</v>
      </c>
      <c r="EG50" s="304">
        <v>46503</v>
      </c>
      <c r="EH50" s="37">
        <v>15743</v>
      </c>
      <c r="EI50" s="542">
        <v>582850</v>
      </c>
      <c r="EJ50" s="37"/>
      <c r="EK50" s="28"/>
      <c r="EM50" s="37"/>
      <c r="EN50" s="37">
        <v>588029</v>
      </c>
      <c r="EO50" s="37">
        <v>505241</v>
      </c>
      <c r="EP50" s="28">
        <v>11679</v>
      </c>
      <c r="EQ50" s="304">
        <v>58966</v>
      </c>
      <c r="ER50" s="37">
        <v>16720</v>
      </c>
      <c r="ES50" s="37">
        <v>590377</v>
      </c>
      <c r="ET50" s="37">
        <v>500781</v>
      </c>
      <c r="EU50" s="28">
        <v>9856</v>
      </c>
      <c r="EV50" s="304">
        <v>68041</v>
      </c>
      <c r="EW50" s="37">
        <v>17586</v>
      </c>
      <c r="EZ50" s="1">
        <v>36718</v>
      </c>
      <c r="FA50" s="1">
        <v>24096</v>
      </c>
      <c r="FB50" s="701">
        <v>7227</v>
      </c>
    </row>
    <row r="51" spans="1:158" ht="15.6">
      <c r="A51" s="140" t="s">
        <v>50</v>
      </c>
      <c r="B51" s="159"/>
      <c r="C51" s="264"/>
      <c r="D51" s="265">
        <v>2175370</v>
      </c>
      <c r="E51" s="265">
        <v>1047671</v>
      </c>
      <c r="F51" s="265">
        <v>1086932</v>
      </c>
      <c r="G51" s="265">
        <v>20671</v>
      </c>
      <c r="H51" s="265">
        <v>20096</v>
      </c>
      <c r="I51" s="266">
        <v>586058</v>
      </c>
      <c r="J51" s="267">
        <f t="shared" si="84"/>
        <v>580614</v>
      </c>
      <c r="K51" s="265">
        <v>286659</v>
      </c>
      <c r="L51" s="265">
        <v>293955</v>
      </c>
      <c r="M51" s="267">
        <f t="shared" si="85"/>
        <v>749</v>
      </c>
      <c r="N51" s="265">
        <v>424</v>
      </c>
      <c r="O51" s="265">
        <v>325</v>
      </c>
      <c r="P51" s="267">
        <f t="shared" si="86"/>
        <v>1970</v>
      </c>
      <c r="Q51" s="265">
        <v>969</v>
      </c>
      <c r="R51" s="265">
        <v>1001</v>
      </c>
      <c r="S51" s="266">
        <v>2705388</v>
      </c>
      <c r="T51" s="165">
        <f t="shared" si="87"/>
        <v>2578549</v>
      </c>
      <c r="U51" s="265">
        <v>1230480</v>
      </c>
      <c r="V51" s="265">
        <v>1348069</v>
      </c>
      <c r="W51" s="165">
        <f t="shared" si="88"/>
        <v>78052</v>
      </c>
      <c r="X51" s="265">
        <v>35511</v>
      </c>
      <c r="Y51" s="265">
        <v>42541</v>
      </c>
      <c r="Z51" s="165">
        <f t="shared" si="89"/>
        <v>24163</v>
      </c>
      <c r="AA51" s="265">
        <v>12508</v>
      </c>
      <c r="AB51" s="265">
        <v>11655</v>
      </c>
      <c r="AC51" s="267">
        <v>23823</v>
      </c>
      <c r="AD51" s="267">
        <v>10759</v>
      </c>
      <c r="AE51" s="267">
        <v>13064</v>
      </c>
      <c r="AF51" s="266">
        <v>3094226</v>
      </c>
      <c r="AG51" s="158">
        <v>2918275</v>
      </c>
      <c r="AH51" s="165">
        <f t="shared" si="90"/>
        <v>2898924</v>
      </c>
      <c r="AI51" s="265">
        <v>1385275</v>
      </c>
      <c r="AJ51" s="265">
        <v>1513649</v>
      </c>
      <c r="AK51" s="158">
        <v>115996</v>
      </c>
      <c r="AL51" s="165">
        <f t="shared" si="91"/>
        <v>115423</v>
      </c>
      <c r="AM51" s="265">
        <v>51378</v>
      </c>
      <c r="AN51" s="265">
        <v>64045</v>
      </c>
      <c r="AO51" s="158">
        <v>37462</v>
      </c>
      <c r="AP51" s="265">
        <v>19724</v>
      </c>
      <c r="AQ51" s="265">
        <v>17738</v>
      </c>
      <c r="AR51" s="268">
        <f t="shared" si="92"/>
        <v>42417</v>
      </c>
      <c r="AS51" s="266">
        <v>3475878</v>
      </c>
      <c r="AT51" s="158">
        <v>3192571</v>
      </c>
      <c r="AU51" s="269">
        <v>1544477</v>
      </c>
      <c r="AV51" s="269">
        <v>1648094</v>
      </c>
      <c r="AW51" s="165">
        <f t="shared" si="93"/>
        <v>3151316</v>
      </c>
      <c r="AX51" s="265">
        <v>1522410</v>
      </c>
      <c r="AY51" s="265">
        <v>1628906</v>
      </c>
      <c r="AZ51" s="158">
        <v>152052</v>
      </c>
      <c r="BA51" s="265">
        <v>69754</v>
      </c>
      <c r="BB51" s="265">
        <v>82298</v>
      </c>
      <c r="BC51" s="158">
        <v>86890</v>
      </c>
      <c r="BD51" s="265">
        <v>47833</v>
      </c>
      <c r="BE51" s="265">
        <v>39057</v>
      </c>
      <c r="BF51" s="267">
        <v>131255</v>
      </c>
      <c r="BG51" s="267">
        <v>66599</v>
      </c>
      <c r="BH51" s="267">
        <v>64656</v>
      </c>
      <c r="BI51" s="266">
        <v>3773536</v>
      </c>
      <c r="BJ51" s="265">
        <v>1843006</v>
      </c>
      <c r="BK51" s="265">
        <v>1930530</v>
      </c>
      <c r="BL51" s="265">
        <v>3415613</v>
      </c>
      <c r="BM51" s="265">
        <v>1670524</v>
      </c>
      <c r="BN51" s="265">
        <v>1745089</v>
      </c>
      <c r="BO51" s="265">
        <v>3309874</v>
      </c>
      <c r="BP51" s="265">
        <v>1614679</v>
      </c>
      <c r="BQ51" s="265">
        <v>1695195</v>
      </c>
      <c r="BR51" s="265">
        <v>189506</v>
      </c>
      <c r="BS51" s="265">
        <v>89009</v>
      </c>
      <c r="BT51" s="265">
        <v>100497</v>
      </c>
      <c r="BU51" s="265">
        <v>154427</v>
      </c>
      <c r="BV51" s="265">
        <v>82204</v>
      </c>
      <c r="BW51" s="265">
        <v>72223</v>
      </c>
      <c r="BX51" s="267">
        <f t="shared" si="94"/>
        <v>168417</v>
      </c>
      <c r="BY51" s="265">
        <v>83473</v>
      </c>
      <c r="BZ51" s="265">
        <v>84944</v>
      </c>
      <c r="CA51" s="270">
        <v>3692408</v>
      </c>
      <c r="CB51" s="38">
        <v>3278120</v>
      </c>
      <c r="CC51" s="265">
        <v>176577</v>
      </c>
      <c r="CD51" s="265">
        <v>180639</v>
      </c>
      <c r="CE51" s="265">
        <v>131232</v>
      </c>
      <c r="CF51" s="266">
        <v>3727936</v>
      </c>
      <c r="CG51" s="158">
        <v>3371349</v>
      </c>
      <c r="CH51" s="265">
        <v>178993</v>
      </c>
      <c r="CI51" s="265">
        <v>177594</v>
      </c>
      <c r="CJ51" s="265">
        <v>137057</v>
      </c>
      <c r="CK51" s="161">
        <v>3727557</v>
      </c>
      <c r="CL51" s="162">
        <v>3379870</v>
      </c>
      <c r="CM51" s="162">
        <v>180296</v>
      </c>
      <c r="CN51" s="162">
        <v>167391</v>
      </c>
      <c r="CO51" s="162">
        <v>140397</v>
      </c>
      <c r="CP51" s="161">
        <v>3773536</v>
      </c>
      <c r="CQ51" s="356">
        <v>3415613</v>
      </c>
      <c r="CR51" s="356">
        <v>189506</v>
      </c>
      <c r="CS51" s="41">
        <v>168417</v>
      </c>
      <c r="CT51" s="356">
        <v>154427</v>
      </c>
      <c r="CU51" s="161">
        <v>3803392</v>
      </c>
      <c r="CV51" s="356">
        <v>3435239</v>
      </c>
      <c r="CW51" s="356">
        <v>192901</v>
      </c>
      <c r="CX51" s="215">
        <f t="shared" si="95"/>
        <v>175252</v>
      </c>
      <c r="CY51" s="419">
        <v>160610</v>
      </c>
      <c r="CZ51" s="266">
        <v>3828580</v>
      </c>
      <c r="DA51" s="37">
        <v>3339966</v>
      </c>
      <c r="DB51" s="37">
        <v>194586</v>
      </c>
      <c r="DC51" s="37">
        <v>184150</v>
      </c>
      <c r="DD51" s="372">
        <v>165091</v>
      </c>
      <c r="DE51" s="265">
        <v>3853730</v>
      </c>
      <c r="DF51" s="37">
        <v>3350981</v>
      </c>
      <c r="DG51" s="1">
        <v>197513</v>
      </c>
      <c r="DH51" s="37">
        <v>190860</v>
      </c>
      <c r="DI51" s="37">
        <v>170948</v>
      </c>
      <c r="DJ51" s="37">
        <v>3898162</v>
      </c>
      <c r="DK51" s="37">
        <v>3367224</v>
      </c>
      <c r="DL51" s="37">
        <v>204550</v>
      </c>
      <c r="DM51" s="669">
        <v>206429</v>
      </c>
      <c r="DN51" s="37">
        <v>181768</v>
      </c>
      <c r="DO51" s="507">
        <v>3918997</v>
      </c>
      <c r="DP51" s="37">
        <v>3369492</v>
      </c>
      <c r="DQ51" s="37">
        <v>203699</v>
      </c>
      <c r="DR51" s="338">
        <v>222774</v>
      </c>
      <c r="DS51" s="37">
        <v>188555</v>
      </c>
      <c r="DT51" s="507">
        <v>3933329</v>
      </c>
      <c r="DU51" s="37">
        <v>3375616</v>
      </c>
      <c r="DV51" s="37">
        <v>208081</v>
      </c>
      <c r="DW51" s="338">
        <v>234402</v>
      </c>
      <c r="DX51" s="37">
        <v>192070</v>
      </c>
      <c r="DY51" s="1">
        <v>90165</v>
      </c>
      <c r="DZ51" s="1">
        <v>0</v>
      </c>
      <c r="EA51" s="1">
        <v>32447</v>
      </c>
      <c r="EB51" s="1">
        <v>44569</v>
      </c>
      <c r="EC51" s="701">
        <v>67221</v>
      </c>
      <c r="ED51" s="542">
        <v>3958231</v>
      </c>
      <c r="EE51" s="37">
        <v>3379845</v>
      </c>
      <c r="EF51" s="28">
        <v>212464</v>
      </c>
      <c r="EG51" s="304">
        <v>244917</v>
      </c>
      <c r="EH51" s="37">
        <v>197858</v>
      </c>
      <c r="EI51" s="542">
        <v>3992022</v>
      </c>
      <c r="EJ51" s="37"/>
      <c r="EK51" s="28"/>
      <c r="EM51" s="37"/>
      <c r="EN51" s="37">
        <v>4015285</v>
      </c>
      <c r="EO51" s="37">
        <v>3408152</v>
      </c>
      <c r="EP51" s="28">
        <v>219379</v>
      </c>
      <c r="EQ51" s="304">
        <v>254338</v>
      </c>
      <c r="ER51" s="37">
        <v>210204</v>
      </c>
      <c r="ES51" s="37">
        <v>4076339</v>
      </c>
      <c r="ET51" s="37">
        <v>3395570</v>
      </c>
      <c r="EU51" s="28">
        <v>213819</v>
      </c>
      <c r="EV51" s="304">
        <v>432639</v>
      </c>
      <c r="EW51" s="37">
        <v>226049</v>
      </c>
      <c r="EX51" s="1">
        <v>107315</v>
      </c>
      <c r="EZ51" s="1">
        <v>27777</v>
      </c>
      <c r="FA51" s="1">
        <v>216520</v>
      </c>
      <c r="FB51" s="701">
        <v>81027</v>
      </c>
    </row>
    <row r="52" spans="1:158">
      <c r="A52" s="141" t="s">
        <v>51</v>
      </c>
      <c r="B52" s="373">
        <f>SUM(B54:B62)</f>
        <v>0</v>
      </c>
      <c r="C52" s="307">
        <f t="shared" ref="C52:CF52" si="96">SUM(C54:C62)</f>
        <v>0</v>
      </c>
      <c r="D52" s="304">
        <f t="shared" si="96"/>
        <v>26412632</v>
      </c>
      <c r="E52" s="304">
        <f t="shared" si="96"/>
        <v>11756596</v>
      </c>
      <c r="F52" s="304">
        <f t="shared" si="96"/>
        <v>12968033</v>
      </c>
      <c r="G52" s="304">
        <f t="shared" si="96"/>
        <v>785871</v>
      </c>
      <c r="H52" s="304">
        <f t="shared" si="96"/>
        <v>902132</v>
      </c>
      <c r="I52" s="305">
        <f t="shared" si="96"/>
        <v>26363705</v>
      </c>
      <c r="J52" s="304">
        <f t="shared" si="96"/>
        <v>24160219</v>
      </c>
      <c r="K52" s="304">
        <f t="shared" si="96"/>
        <v>11266736</v>
      </c>
      <c r="L52" s="304">
        <f t="shared" si="96"/>
        <v>12893483</v>
      </c>
      <c r="M52" s="304">
        <f t="shared" si="96"/>
        <v>2036980</v>
      </c>
      <c r="N52" s="304">
        <f t="shared" si="96"/>
        <v>901183</v>
      </c>
      <c r="O52" s="304">
        <f t="shared" si="96"/>
        <v>1135797</v>
      </c>
      <c r="P52" s="304">
        <f t="shared" si="96"/>
        <v>471544</v>
      </c>
      <c r="Q52" s="304">
        <f t="shared" si="96"/>
        <v>219860</v>
      </c>
      <c r="R52" s="304">
        <f t="shared" si="96"/>
        <v>251684</v>
      </c>
      <c r="S52" s="305">
        <f t="shared" si="96"/>
        <v>29903010</v>
      </c>
      <c r="T52" s="201">
        <f t="shared" si="96"/>
        <v>25741998</v>
      </c>
      <c r="U52" s="304">
        <f t="shared" si="96"/>
        <v>11924242</v>
      </c>
      <c r="V52" s="304">
        <f t="shared" si="96"/>
        <v>13817756</v>
      </c>
      <c r="W52" s="201">
        <f t="shared" si="96"/>
        <v>2471472</v>
      </c>
      <c r="X52" s="304">
        <f t="shared" si="96"/>
        <v>1066681</v>
      </c>
      <c r="Y52" s="304">
        <f t="shared" si="96"/>
        <v>1404791</v>
      </c>
      <c r="Z52" s="201">
        <f t="shared" si="96"/>
        <v>1272149</v>
      </c>
      <c r="AA52" s="304">
        <f t="shared" si="96"/>
        <v>575550</v>
      </c>
      <c r="AB52" s="304">
        <f t="shared" si="96"/>
        <v>696599</v>
      </c>
      <c r="AC52" s="304">
        <f t="shared" si="96"/>
        <v>387817</v>
      </c>
      <c r="AD52" s="304">
        <f t="shared" si="96"/>
        <v>185537</v>
      </c>
      <c r="AE52" s="304">
        <f t="shared" si="96"/>
        <v>202280</v>
      </c>
      <c r="AF52" s="305">
        <f t="shared" si="96"/>
        <v>33544628</v>
      </c>
      <c r="AG52" s="201">
        <f t="shared" si="96"/>
        <v>28550913</v>
      </c>
      <c r="AH52" s="196">
        <f t="shared" si="96"/>
        <v>27585554</v>
      </c>
      <c r="AI52" s="304">
        <f t="shared" si="96"/>
        <v>12907229</v>
      </c>
      <c r="AJ52" s="304">
        <f t="shared" si="96"/>
        <v>14678325</v>
      </c>
      <c r="AK52" s="201">
        <f t="shared" si="96"/>
        <v>3272364</v>
      </c>
      <c r="AL52" s="196">
        <f t="shared" si="96"/>
        <v>3078736</v>
      </c>
      <c r="AM52" s="304">
        <f t="shared" si="96"/>
        <v>1350186</v>
      </c>
      <c r="AN52" s="304">
        <f t="shared" si="96"/>
        <v>1728550</v>
      </c>
      <c r="AO52" s="201">
        <f t="shared" si="96"/>
        <v>1992289</v>
      </c>
      <c r="AP52" s="304">
        <f t="shared" si="96"/>
        <v>936979</v>
      </c>
      <c r="AQ52" s="304">
        <f t="shared" si="96"/>
        <v>1055310</v>
      </c>
      <c r="AR52" s="306">
        <f t="shared" si="96"/>
        <v>888049</v>
      </c>
      <c r="AS52" s="305">
        <f t="shared" si="96"/>
        <v>35828187</v>
      </c>
      <c r="AT52" s="201">
        <f t="shared" si="96"/>
        <v>28806226</v>
      </c>
      <c r="AU52" s="308">
        <f t="shared" si="96"/>
        <v>13572560</v>
      </c>
      <c r="AV52" s="308">
        <f t="shared" si="96"/>
        <v>15233666</v>
      </c>
      <c r="AW52" s="196">
        <f t="shared" si="96"/>
        <v>27513811</v>
      </c>
      <c r="AX52" s="304">
        <f t="shared" si="96"/>
        <v>12953383</v>
      </c>
      <c r="AY52" s="304">
        <f t="shared" si="96"/>
        <v>14560428</v>
      </c>
      <c r="AZ52" s="201">
        <f t="shared" si="96"/>
        <v>3578267</v>
      </c>
      <c r="BA52" s="304">
        <f t="shared" si="96"/>
        <v>1572989</v>
      </c>
      <c r="BB52" s="304">
        <f t="shared" si="96"/>
        <v>2005278</v>
      </c>
      <c r="BC52" s="201">
        <f t="shared" si="96"/>
        <v>2890852</v>
      </c>
      <c r="BD52" s="304">
        <f t="shared" si="96"/>
        <v>1377633</v>
      </c>
      <c r="BE52" s="304">
        <f t="shared" si="96"/>
        <v>1513219</v>
      </c>
      <c r="BF52" s="304">
        <f t="shared" si="96"/>
        <v>3443694</v>
      </c>
      <c r="BG52" s="304">
        <f t="shared" si="96"/>
        <v>1656275</v>
      </c>
      <c r="BH52" s="304">
        <f t="shared" si="96"/>
        <v>1787419</v>
      </c>
      <c r="BI52" s="359">
        <f t="shared" si="96"/>
        <v>37331839</v>
      </c>
      <c r="BJ52" s="361">
        <f t="shared" si="96"/>
        <v>17682995</v>
      </c>
      <c r="BK52" s="361">
        <f t="shared" si="96"/>
        <v>19648844</v>
      </c>
      <c r="BL52" s="361">
        <f t="shared" si="96"/>
        <v>29136805</v>
      </c>
      <c r="BM52" s="361">
        <f t="shared" si="96"/>
        <v>13896293</v>
      </c>
      <c r="BN52" s="361">
        <f t="shared" si="96"/>
        <v>15240512</v>
      </c>
      <c r="BO52" s="361">
        <f t="shared" si="96"/>
        <v>27155485</v>
      </c>
      <c r="BP52" s="361">
        <f t="shared" si="96"/>
        <v>12934422</v>
      </c>
      <c r="BQ52" s="361">
        <f t="shared" si="96"/>
        <v>14221063</v>
      </c>
      <c r="BR52" s="361">
        <f t="shared" si="96"/>
        <v>3968161</v>
      </c>
      <c r="BS52" s="361">
        <f t="shared" si="96"/>
        <v>1763837</v>
      </c>
      <c r="BT52" s="361">
        <f t="shared" si="96"/>
        <v>2204324</v>
      </c>
      <c r="BU52" s="361">
        <f t="shared" si="96"/>
        <v>3878207</v>
      </c>
      <c r="BV52" s="361">
        <f t="shared" si="96"/>
        <v>1875668</v>
      </c>
      <c r="BW52" s="361">
        <f t="shared" si="96"/>
        <v>2002539</v>
      </c>
      <c r="BX52" s="361">
        <f t="shared" si="96"/>
        <v>4226873</v>
      </c>
      <c r="BY52" s="361">
        <f t="shared" si="96"/>
        <v>2022865</v>
      </c>
      <c r="BZ52" s="361">
        <f t="shared" si="96"/>
        <v>2204008</v>
      </c>
      <c r="CA52" s="309">
        <f t="shared" si="96"/>
        <v>36754583</v>
      </c>
      <c r="CB52" s="361">
        <f t="shared" si="96"/>
        <v>27293430</v>
      </c>
      <c r="CC52" s="304">
        <f t="shared" si="96"/>
        <v>3778223</v>
      </c>
      <c r="CD52" s="304">
        <f t="shared" si="96"/>
        <v>4135295</v>
      </c>
      <c r="CE52" s="304">
        <f t="shared" si="96"/>
        <v>3518606</v>
      </c>
      <c r="CF52" s="305">
        <f t="shared" si="96"/>
        <v>36956222</v>
      </c>
      <c r="CG52" s="201">
        <f t="shared" ref="CG52:CP52" si="97">SUM(CG54:CG62)</f>
        <v>28983056</v>
      </c>
      <c r="CH52" s="304">
        <f t="shared" si="97"/>
        <v>3831288</v>
      </c>
      <c r="CI52" s="304">
        <f t="shared" si="97"/>
        <v>4141878</v>
      </c>
      <c r="CJ52" s="304">
        <f t="shared" si="97"/>
        <v>3609675</v>
      </c>
      <c r="CK52" s="195">
        <f t="shared" si="97"/>
        <v>37309828</v>
      </c>
      <c r="CL52" s="173">
        <f t="shared" si="97"/>
        <v>29331717</v>
      </c>
      <c r="CM52" s="215">
        <f t="shared" si="97"/>
        <v>3909288</v>
      </c>
      <c r="CN52" s="215">
        <f t="shared" si="97"/>
        <v>4068823</v>
      </c>
      <c r="CO52" s="215">
        <f t="shared" si="97"/>
        <v>3670627</v>
      </c>
      <c r="CP52" s="250">
        <f t="shared" si="97"/>
        <v>37331839</v>
      </c>
      <c r="CQ52" s="362">
        <f t="shared" ref="CQ52:DO52" si="98">SUM(CQ54:CQ62)</f>
        <v>29136805</v>
      </c>
      <c r="CR52" s="362">
        <f t="shared" si="98"/>
        <v>3968161</v>
      </c>
      <c r="CS52" s="362">
        <f t="shared" si="98"/>
        <v>4226873</v>
      </c>
      <c r="CT52" s="362">
        <f t="shared" si="98"/>
        <v>3878207</v>
      </c>
      <c r="CU52" s="250">
        <f t="shared" si="98"/>
        <v>37604771</v>
      </c>
      <c r="CV52" s="362">
        <f t="shared" si="98"/>
        <v>29200519</v>
      </c>
      <c r="CW52" s="362">
        <f t="shared" si="98"/>
        <v>3996137</v>
      </c>
      <c r="CX52" s="362">
        <f t="shared" si="98"/>
        <v>4408115</v>
      </c>
      <c r="CY52" s="415">
        <f t="shared" si="98"/>
        <v>3992365</v>
      </c>
      <c r="CZ52" s="425">
        <f t="shared" si="98"/>
        <v>37884737</v>
      </c>
      <c r="DA52" s="425">
        <f t="shared" si="98"/>
        <v>27202652</v>
      </c>
      <c r="DB52" s="425">
        <f t="shared" si="98"/>
        <v>4064719</v>
      </c>
      <c r="DC52" s="425">
        <f t="shared" si="98"/>
        <v>4539731</v>
      </c>
      <c r="DD52" s="422">
        <f t="shared" si="98"/>
        <v>4127880</v>
      </c>
      <c r="DE52" s="422">
        <f t="shared" si="98"/>
        <v>38161301</v>
      </c>
      <c r="DF52" s="422">
        <f t="shared" si="98"/>
        <v>27220663</v>
      </c>
      <c r="DG52" s="422">
        <f t="shared" si="98"/>
        <v>4125519</v>
      </c>
      <c r="DH52" s="422">
        <f t="shared" si="98"/>
        <v>4698005</v>
      </c>
      <c r="DI52" s="422">
        <f t="shared" si="98"/>
        <v>4250663</v>
      </c>
      <c r="DJ52" s="422">
        <f t="shared" si="98"/>
        <v>38707438</v>
      </c>
      <c r="DK52" s="422">
        <f t="shared" si="98"/>
        <v>27169260</v>
      </c>
      <c r="DL52" s="681">
        <f t="shared" si="98"/>
        <v>4252164</v>
      </c>
      <c r="DM52" s="422">
        <f t="shared" si="98"/>
        <v>5009041</v>
      </c>
      <c r="DN52" s="422">
        <f t="shared" si="98"/>
        <v>4509276</v>
      </c>
      <c r="DO52" s="422">
        <f t="shared" si="98"/>
        <v>38952137</v>
      </c>
      <c r="DP52" s="422">
        <f>SUM(DP54:DP62)</f>
        <v>27126644</v>
      </c>
      <c r="DQ52" s="422">
        <f t="shared" ref="DQ52:EM52" si="99">SUM(DQ54:DQ62)</f>
        <v>4292700</v>
      </c>
      <c r="DR52" s="422">
        <f t="shared" si="99"/>
        <v>5137053</v>
      </c>
      <c r="DS52" s="422">
        <f t="shared" si="99"/>
        <v>4635982</v>
      </c>
      <c r="DT52" s="422">
        <f t="shared" si="99"/>
        <v>39029754</v>
      </c>
      <c r="DU52" s="422">
        <f>SUM(DU54:DU62)</f>
        <v>27021304</v>
      </c>
      <c r="DV52" s="422">
        <f t="shared" si="99"/>
        <v>4336843</v>
      </c>
      <c r="DW52" s="422">
        <f t="shared" si="99"/>
        <v>5177451</v>
      </c>
      <c r="DX52" s="425">
        <f t="shared" si="99"/>
        <v>4726621</v>
      </c>
      <c r="DY52" s="425">
        <f t="shared" si="99"/>
        <v>2532468</v>
      </c>
      <c r="DZ52" s="425">
        <v>76429</v>
      </c>
      <c r="EA52" s="425">
        <v>76429</v>
      </c>
      <c r="EB52" s="425">
        <v>76429</v>
      </c>
      <c r="EC52" s="425">
        <v>76429</v>
      </c>
      <c r="ED52" s="543">
        <f t="shared" si="99"/>
        <v>39404920</v>
      </c>
      <c r="EE52" s="422">
        <f>SUM(EE54:EE62)</f>
        <v>27026335</v>
      </c>
      <c r="EF52" s="422">
        <f>SUM(EF54:EF62)</f>
        <v>4450127</v>
      </c>
      <c r="EG52" s="422">
        <f t="shared" si="99"/>
        <v>5321508</v>
      </c>
      <c r="EH52" s="425">
        <f t="shared" si="99"/>
        <v>4897946</v>
      </c>
      <c r="EI52" s="543">
        <f t="shared" si="99"/>
        <v>39322986</v>
      </c>
      <c r="EJ52" s="422">
        <f>SUM(EJ54:EJ62)</f>
        <v>0</v>
      </c>
      <c r="EK52" s="422">
        <f>SUM(EK54:EK62)</f>
        <v>0</v>
      </c>
      <c r="EL52" s="422">
        <f t="shared" si="99"/>
        <v>0</v>
      </c>
      <c r="EM52" s="425">
        <f t="shared" si="99"/>
        <v>0</v>
      </c>
      <c r="EN52" s="543">
        <f t="shared" ref="EN52" si="100">SUM(EN54:EN62)</f>
        <v>39394407</v>
      </c>
      <c r="EO52" s="422">
        <f>SUM(EO54:EO62)</f>
        <v>26793721</v>
      </c>
      <c r="EP52" s="422">
        <f>SUM(EP54:EP62)</f>
        <v>4531148</v>
      </c>
      <c r="EQ52" s="422">
        <f t="shared" ref="EQ52:ES52" si="101">SUM(EQ54:EQ62)</f>
        <v>5483746</v>
      </c>
      <c r="ER52" s="425">
        <f t="shared" si="101"/>
        <v>5018519</v>
      </c>
      <c r="ES52" s="543">
        <f t="shared" si="101"/>
        <v>40352162</v>
      </c>
      <c r="ET52" s="422">
        <f>SUM(ET54:ET62)</f>
        <v>26614702</v>
      </c>
      <c r="EU52" s="422">
        <f>SUM(EU54:EU62)</f>
        <v>4257119</v>
      </c>
      <c r="EV52" s="422">
        <f t="shared" ref="EV52:FB52" si="102">SUM(EV54:EV62)</f>
        <v>8841625</v>
      </c>
      <c r="EW52" s="425">
        <f t="shared" si="102"/>
        <v>5336826</v>
      </c>
      <c r="EX52" s="425">
        <f t="shared" si="102"/>
        <v>2766987</v>
      </c>
      <c r="EY52" s="425">
        <f t="shared" ref="EY52" si="103">SUM(EY54:EY62)</f>
        <v>0</v>
      </c>
      <c r="EZ52" s="425">
        <f t="shared" si="102"/>
        <v>135556</v>
      </c>
      <c r="FA52" s="425">
        <f t="shared" si="102"/>
        <v>3249470</v>
      </c>
      <c r="FB52" s="425">
        <f t="shared" si="102"/>
        <v>2689612</v>
      </c>
    </row>
    <row r="53" spans="1:158" ht="15.6">
      <c r="A53" s="141" t="s">
        <v>150</v>
      </c>
      <c r="B53" s="8"/>
      <c r="C53" s="17"/>
      <c r="J53" s="92"/>
      <c r="M53" s="92"/>
      <c r="P53" s="92"/>
      <c r="S53" s="68"/>
      <c r="T53" s="90"/>
      <c r="W53" s="90"/>
      <c r="Z53" s="90"/>
      <c r="AC53" s="92"/>
      <c r="AD53" s="92"/>
      <c r="AE53" s="92"/>
      <c r="AG53" s="3"/>
      <c r="AH53" s="55"/>
      <c r="AK53" s="3"/>
      <c r="AL53" s="55"/>
      <c r="AO53" s="3"/>
      <c r="AR53" s="59"/>
      <c r="AT53" s="3"/>
      <c r="AU53" s="115"/>
      <c r="AV53" s="115"/>
      <c r="AW53" s="55"/>
      <c r="AZ53" s="3"/>
      <c r="BC53" s="3"/>
      <c r="BF53" s="92"/>
      <c r="BG53" s="92"/>
      <c r="BH53" s="92"/>
      <c r="BI53" s="68"/>
      <c r="BL53" s="92"/>
      <c r="BX53" s="92"/>
      <c r="CA53" s="125"/>
      <c r="CB53" s="38"/>
      <c r="CF53" s="68"/>
      <c r="CG53" s="3"/>
      <c r="CK53" s="42"/>
      <c r="CL53" s="40"/>
      <c r="CM53" s="41"/>
      <c r="CN53" s="41"/>
      <c r="CO53" s="41"/>
      <c r="CP53" s="42"/>
      <c r="CQ53" s="356"/>
      <c r="CR53" s="356"/>
      <c r="CS53" s="41"/>
      <c r="CT53" s="356"/>
      <c r="CU53" s="42"/>
      <c r="CV53" s="356"/>
      <c r="CW53" s="356"/>
      <c r="CX53" s="356"/>
      <c r="CY53" s="419"/>
      <c r="CZ53" s="37"/>
      <c r="DA53" s="37"/>
      <c r="DB53" s="37"/>
      <c r="DC53" s="37"/>
      <c r="DD53" s="371"/>
      <c r="DH53" s="37">
        <v>0</v>
      </c>
      <c r="DM53" s="670"/>
      <c r="DO53" s="507">
        <v>0</v>
      </c>
      <c r="DP53" s="506"/>
      <c r="DQ53" s="37"/>
      <c r="DR53" s="338">
        <v>0</v>
      </c>
      <c r="DS53" s="37"/>
      <c r="DT53" s="507"/>
      <c r="DU53" s="506"/>
      <c r="DV53" s="37"/>
      <c r="DX53" s="37"/>
      <c r="EC53" s="701"/>
      <c r="ED53" s="542"/>
      <c r="EE53" s="506"/>
      <c r="EF53" s="28"/>
      <c r="EH53" s="37"/>
      <c r="EI53" s="542"/>
      <c r="EJ53" s="506"/>
      <c r="EK53" s="28"/>
      <c r="EM53" s="37"/>
      <c r="EN53" s="542"/>
      <c r="EO53" s="506"/>
      <c r="EP53" s="28"/>
      <c r="EQ53" s="304"/>
      <c r="ER53" s="37"/>
      <c r="ES53" s="542"/>
      <c r="ET53" s="506"/>
      <c r="EU53" s="28"/>
      <c r="EV53" s="304"/>
      <c r="EW53" s="37"/>
      <c r="FB53" s="701"/>
    </row>
    <row r="54" spans="1:158" ht="15.6">
      <c r="A54" s="38" t="s">
        <v>52</v>
      </c>
      <c r="B54" s="8"/>
      <c r="C54" s="17"/>
      <c r="D54" s="37">
        <v>1481788</v>
      </c>
      <c r="E54" s="37">
        <v>685062</v>
      </c>
      <c r="F54" s="37">
        <v>742278</v>
      </c>
      <c r="G54" s="37">
        <v>26370</v>
      </c>
      <c r="H54" s="37">
        <v>28078</v>
      </c>
      <c r="I54" s="68">
        <v>363914</v>
      </c>
      <c r="J54" s="92">
        <f t="shared" ref="J54:J63" si="104">+K54+L54</f>
        <v>359407</v>
      </c>
      <c r="K54" s="37">
        <v>175424</v>
      </c>
      <c r="L54" s="37">
        <v>183983</v>
      </c>
      <c r="M54" s="92">
        <f t="shared" ref="M54:M63" si="105">+N54+O54</f>
        <v>3509</v>
      </c>
      <c r="N54" s="37">
        <v>1870</v>
      </c>
      <c r="O54" s="37">
        <v>1639</v>
      </c>
      <c r="P54" s="92">
        <f t="shared" ref="P54:P63" si="106">+Q54+R54</f>
        <v>2647</v>
      </c>
      <c r="Q54" s="37">
        <v>1338</v>
      </c>
      <c r="R54" s="37">
        <v>1309</v>
      </c>
      <c r="S54" s="68">
        <v>1900164</v>
      </c>
      <c r="T54" s="90">
        <f t="shared" ref="T54:T63" si="107">+U54+V54</f>
        <v>1728898</v>
      </c>
      <c r="U54" s="37">
        <v>808551</v>
      </c>
      <c r="V54" s="37">
        <v>920347</v>
      </c>
      <c r="W54" s="90">
        <f t="shared" ref="W54:W63" si="108">+X54+Y54</f>
        <v>103180</v>
      </c>
      <c r="X54" s="37">
        <v>45959</v>
      </c>
      <c r="Y54" s="37">
        <v>57221</v>
      </c>
      <c r="Z54" s="90">
        <f t="shared" ref="Z54:Z63" si="109">+AA54+AB54</f>
        <v>52819</v>
      </c>
      <c r="AA54" s="37">
        <v>24214</v>
      </c>
      <c r="AB54" s="37">
        <v>28605</v>
      </c>
      <c r="AC54" s="92">
        <v>13933</v>
      </c>
      <c r="AD54" s="92">
        <v>6586</v>
      </c>
      <c r="AE54" s="92">
        <v>7347</v>
      </c>
      <c r="AF54" s="68">
        <v>2198963</v>
      </c>
      <c r="AG54" s="3">
        <v>1970621</v>
      </c>
      <c r="AH54" s="55">
        <f t="shared" ref="AH54:AH63" si="110">+AI54+AJ54</f>
        <v>1917625</v>
      </c>
      <c r="AI54" s="37">
        <v>906006</v>
      </c>
      <c r="AJ54" s="37">
        <v>1011619</v>
      </c>
      <c r="AK54" s="3">
        <v>152611</v>
      </c>
      <c r="AL54" s="55">
        <f t="shared" ref="AL54:AL63" si="111">+AM54+AN54</f>
        <v>148011</v>
      </c>
      <c r="AM54" s="37">
        <v>66536</v>
      </c>
      <c r="AN54" s="37">
        <v>81475</v>
      </c>
      <c r="AO54" s="3">
        <v>99987</v>
      </c>
      <c r="AP54" s="37">
        <v>47305</v>
      </c>
      <c r="AQ54" s="37">
        <v>52682</v>
      </c>
      <c r="AR54" s="59">
        <f t="shared" ref="AR54:AR63" si="112">+AF54-AH54-AL54-AO54</f>
        <v>33340</v>
      </c>
      <c r="AS54" s="68">
        <v>2295617</v>
      </c>
      <c r="AT54" s="3">
        <v>1949130</v>
      </c>
      <c r="AU54" s="115">
        <v>918577</v>
      </c>
      <c r="AV54" s="115">
        <v>1030553</v>
      </c>
      <c r="AW54" s="55">
        <f t="shared" ref="AW54:AW63" si="113">+AX54+AY54</f>
        <v>1872347</v>
      </c>
      <c r="AX54" s="37">
        <v>882129</v>
      </c>
      <c r="AY54" s="37">
        <v>990218</v>
      </c>
      <c r="AZ54" s="3">
        <v>175527</v>
      </c>
      <c r="BA54" s="37">
        <v>78248</v>
      </c>
      <c r="BB54" s="37">
        <v>97279</v>
      </c>
      <c r="BC54" s="3">
        <v>162962</v>
      </c>
      <c r="BD54" s="37">
        <v>77821</v>
      </c>
      <c r="BE54" s="37">
        <v>85141</v>
      </c>
      <c r="BF54" s="92">
        <v>170960</v>
      </c>
      <c r="BG54" s="92">
        <v>82828</v>
      </c>
      <c r="BH54" s="92">
        <v>88132</v>
      </c>
      <c r="BI54" s="68">
        <v>2416034</v>
      </c>
      <c r="BJ54" s="37">
        <v>1145190</v>
      </c>
      <c r="BK54" s="37">
        <v>1270844</v>
      </c>
      <c r="BL54" s="37">
        <v>1977571</v>
      </c>
      <c r="BM54" s="37">
        <v>939579</v>
      </c>
      <c r="BN54" s="37">
        <v>1037992</v>
      </c>
      <c r="BO54" s="37">
        <v>1841393</v>
      </c>
      <c r="BP54" s="37">
        <v>874429</v>
      </c>
      <c r="BQ54" s="37">
        <v>966964</v>
      </c>
      <c r="BR54" s="37">
        <v>212312</v>
      </c>
      <c r="BS54" s="37">
        <v>96465</v>
      </c>
      <c r="BT54" s="37">
        <v>115847</v>
      </c>
      <c r="BU54" s="37">
        <v>250283</v>
      </c>
      <c r="BV54" s="37">
        <v>121462</v>
      </c>
      <c r="BW54" s="37">
        <v>128821</v>
      </c>
      <c r="BX54" s="92">
        <f t="shared" ref="BX54:BX63" si="114">+BY54+BZ54</f>
        <v>226151</v>
      </c>
      <c r="BY54" s="37">
        <v>109146</v>
      </c>
      <c r="BZ54" s="37">
        <v>117005</v>
      </c>
      <c r="CA54" s="125">
        <v>2349541</v>
      </c>
      <c r="CB54" s="38">
        <v>1838912</v>
      </c>
      <c r="CC54" s="37">
        <v>193345</v>
      </c>
      <c r="CD54" s="37">
        <v>206421</v>
      </c>
      <c r="CE54" s="37">
        <v>215830</v>
      </c>
      <c r="CF54" s="68">
        <v>2352649</v>
      </c>
      <c r="CG54" s="3">
        <v>1945562</v>
      </c>
      <c r="CH54" s="37">
        <v>195496</v>
      </c>
      <c r="CI54" s="37">
        <v>211591</v>
      </c>
      <c r="CJ54" s="37">
        <v>222944</v>
      </c>
      <c r="CK54" s="42">
        <v>2354216</v>
      </c>
      <c r="CL54" s="40">
        <v>1942113</v>
      </c>
      <c r="CM54" s="41">
        <v>200395</v>
      </c>
      <c r="CN54" s="41">
        <v>211708</v>
      </c>
      <c r="CO54" s="41">
        <v>227369</v>
      </c>
      <c r="CP54" s="42">
        <v>2416034</v>
      </c>
      <c r="CQ54" s="356">
        <v>1977571</v>
      </c>
      <c r="CR54" s="356">
        <v>212312</v>
      </c>
      <c r="CS54" s="41">
        <v>226151</v>
      </c>
      <c r="CT54" s="356">
        <v>250283</v>
      </c>
      <c r="CU54" s="42">
        <v>2431432</v>
      </c>
      <c r="CV54" s="356">
        <v>1979605</v>
      </c>
      <c r="CW54" s="356">
        <v>217328</v>
      </c>
      <c r="CX54" s="215">
        <f t="shared" ref="CX54:CX63" si="115">CU54-CV54-CW54</f>
        <v>234499</v>
      </c>
      <c r="CY54" s="40">
        <v>260375</v>
      </c>
      <c r="CZ54" s="68">
        <v>2446413</v>
      </c>
      <c r="DA54" s="37">
        <v>1838360</v>
      </c>
      <c r="DB54" s="37">
        <v>221131</v>
      </c>
      <c r="DC54" s="37">
        <v>235936</v>
      </c>
      <c r="DD54" s="371">
        <v>270364</v>
      </c>
      <c r="DE54" s="37">
        <v>2456170</v>
      </c>
      <c r="DF54" s="37">
        <v>1831338</v>
      </c>
      <c r="DG54" s="1">
        <v>225319</v>
      </c>
      <c r="DH54" s="37">
        <v>243420</v>
      </c>
      <c r="DI54" s="37">
        <v>280417</v>
      </c>
      <c r="DJ54" s="37">
        <v>2471818</v>
      </c>
      <c r="DK54" s="37">
        <v>1807653</v>
      </c>
      <c r="DL54" s="37">
        <v>231444</v>
      </c>
      <c r="DM54" s="669">
        <v>263341</v>
      </c>
      <c r="DN54" s="37">
        <v>300783</v>
      </c>
      <c r="DO54" s="507">
        <v>2474718</v>
      </c>
      <c r="DP54" s="37">
        <v>1793942</v>
      </c>
      <c r="DQ54" s="37">
        <v>240257</v>
      </c>
      <c r="DR54" s="338">
        <v>261628</v>
      </c>
      <c r="DS54" s="37">
        <v>310831</v>
      </c>
      <c r="DT54" s="507">
        <v>2467737</v>
      </c>
      <c r="DU54" s="37">
        <v>1778311</v>
      </c>
      <c r="DV54" s="37">
        <v>241134</v>
      </c>
      <c r="DW54" s="338">
        <v>259213</v>
      </c>
      <c r="DX54" s="37">
        <v>316522</v>
      </c>
      <c r="DY54" s="1">
        <v>106420</v>
      </c>
      <c r="DZ54" s="1">
        <v>0</v>
      </c>
      <c r="EA54" s="1">
        <v>6068</v>
      </c>
      <c r="EB54" s="1">
        <v>43553</v>
      </c>
      <c r="EC54" s="701">
        <v>103172</v>
      </c>
      <c r="ED54" s="542">
        <v>2493854</v>
      </c>
      <c r="EE54" s="37">
        <v>1772594</v>
      </c>
      <c r="EF54" s="28">
        <v>245862</v>
      </c>
      <c r="EG54" s="304">
        <v>281921</v>
      </c>
      <c r="EH54" s="37">
        <v>330633</v>
      </c>
      <c r="EI54" s="542">
        <v>2493396</v>
      </c>
      <c r="EJ54" s="37"/>
      <c r="EK54" s="28"/>
      <c r="EM54" s="37"/>
      <c r="EN54" s="37">
        <v>2496420</v>
      </c>
      <c r="EO54" s="37">
        <v>1748083</v>
      </c>
      <c r="EP54" s="28">
        <v>257234</v>
      </c>
      <c r="EQ54" s="304">
        <v>298874</v>
      </c>
      <c r="ER54" s="37">
        <v>347589</v>
      </c>
      <c r="ES54" s="37">
        <v>2534376</v>
      </c>
      <c r="ET54" s="37">
        <v>1708094</v>
      </c>
      <c r="EU54" s="28">
        <v>252690</v>
      </c>
      <c r="EV54" s="304">
        <v>521310</v>
      </c>
      <c r="EW54" s="37">
        <v>371561</v>
      </c>
      <c r="EX54" s="1">
        <v>117298</v>
      </c>
      <c r="EZ54" s="1">
        <v>8670</v>
      </c>
      <c r="FA54" s="1">
        <v>227454</v>
      </c>
      <c r="FB54" s="701">
        <v>167888</v>
      </c>
    </row>
    <row r="55" spans="1:158" ht="15.6">
      <c r="A55" s="38" t="s">
        <v>53</v>
      </c>
      <c r="B55" s="8"/>
      <c r="C55" s="17"/>
      <c r="D55" s="37">
        <v>534318</v>
      </c>
      <c r="E55" s="37">
        <v>256569</v>
      </c>
      <c r="F55" s="37">
        <v>275189</v>
      </c>
      <c r="G55" s="37">
        <v>1385</v>
      </c>
      <c r="H55" s="37">
        <v>1175</v>
      </c>
      <c r="I55" s="68">
        <v>537823</v>
      </c>
      <c r="J55" s="92">
        <f t="shared" si="104"/>
        <v>535465</v>
      </c>
      <c r="K55" s="37">
        <v>252031</v>
      </c>
      <c r="L55" s="37">
        <v>283434</v>
      </c>
      <c r="M55" s="92">
        <f t="shared" si="105"/>
        <v>1100</v>
      </c>
      <c r="N55" s="37">
        <v>613</v>
      </c>
      <c r="O55" s="37">
        <v>487</v>
      </c>
      <c r="P55" s="92">
        <f t="shared" si="106"/>
        <v>1515</v>
      </c>
      <c r="Q55" s="37">
        <v>754</v>
      </c>
      <c r="R55" s="37">
        <v>761</v>
      </c>
      <c r="S55" s="68">
        <v>661840</v>
      </c>
      <c r="T55" s="90">
        <f t="shared" si="107"/>
        <v>654438</v>
      </c>
      <c r="U55" s="37">
        <v>307328</v>
      </c>
      <c r="V55" s="37">
        <v>347110</v>
      </c>
      <c r="W55" s="90">
        <f t="shared" si="108"/>
        <v>1502</v>
      </c>
      <c r="X55" s="37">
        <v>936</v>
      </c>
      <c r="Y55" s="37">
        <v>566</v>
      </c>
      <c r="Z55" s="90">
        <f t="shared" si="109"/>
        <v>2144</v>
      </c>
      <c r="AA55" s="37">
        <v>978</v>
      </c>
      <c r="AB55" s="37">
        <v>1166</v>
      </c>
      <c r="AC55" s="92">
        <v>3611</v>
      </c>
      <c r="AD55" s="92">
        <v>1584</v>
      </c>
      <c r="AE55" s="92">
        <v>2027</v>
      </c>
      <c r="AF55" s="68">
        <v>795613</v>
      </c>
      <c r="AG55" s="3">
        <v>785535</v>
      </c>
      <c r="AH55" s="55">
        <f t="shared" si="110"/>
        <v>783021</v>
      </c>
      <c r="AI55" s="37">
        <v>370457</v>
      </c>
      <c r="AJ55" s="37">
        <v>412564</v>
      </c>
      <c r="AK55" s="3">
        <v>2524</v>
      </c>
      <c r="AL55" s="55">
        <f t="shared" si="111"/>
        <v>2424</v>
      </c>
      <c r="AM55" s="37">
        <v>1602</v>
      </c>
      <c r="AN55" s="37">
        <v>822</v>
      </c>
      <c r="AO55" s="3">
        <v>3374</v>
      </c>
      <c r="AP55" s="37">
        <v>1663</v>
      </c>
      <c r="AQ55" s="37">
        <v>1711</v>
      </c>
      <c r="AR55" s="59">
        <f t="shared" si="112"/>
        <v>6794</v>
      </c>
      <c r="AS55" s="68">
        <v>869893</v>
      </c>
      <c r="AT55" s="3">
        <v>849811</v>
      </c>
      <c r="AU55" s="115">
        <v>403727</v>
      </c>
      <c r="AV55" s="115">
        <v>446084</v>
      </c>
      <c r="AW55" s="55">
        <f t="shared" si="113"/>
        <v>846759</v>
      </c>
      <c r="AX55" s="37">
        <v>402242</v>
      </c>
      <c r="AY55" s="37">
        <v>444517</v>
      </c>
      <c r="AZ55" s="3">
        <v>2882</v>
      </c>
      <c r="BA55" s="37">
        <v>1686</v>
      </c>
      <c r="BB55" s="37">
        <v>1196</v>
      </c>
      <c r="BC55" s="3">
        <v>4504</v>
      </c>
      <c r="BD55" s="37">
        <v>2287</v>
      </c>
      <c r="BE55" s="37">
        <v>2217</v>
      </c>
      <c r="BF55" s="92">
        <v>17200</v>
      </c>
      <c r="BG55" s="92">
        <v>7813</v>
      </c>
      <c r="BH55" s="92">
        <v>9387</v>
      </c>
      <c r="BI55" s="68">
        <v>934836</v>
      </c>
      <c r="BJ55" s="37">
        <v>447915</v>
      </c>
      <c r="BK55" s="37">
        <v>486921</v>
      </c>
      <c r="BL55" s="37">
        <v>904336</v>
      </c>
      <c r="BM55" s="37">
        <v>433087</v>
      </c>
      <c r="BN55" s="37">
        <v>471249</v>
      </c>
      <c r="BO55" s="37">
        <v>898964</v>
      </c>
      <c r="BP55" s="37">
        <v>430489</v>
      </c>
      <c r="BQ55" s="37">
        <v>468475</v>
      </c>
      <c r="BR55" s="37">
        <v>6164</v>
      </c>
      <c r="BS55" s="37">
        <v>3756</v>
      </c>
      <c r="BT55" s="37">
        <v>2408</v>
      </c>
      <c r="BU55" s="37">
        <v>8023</v>
      </c>
      <c r="BV55" s="37">
        <v>4118</v>
      </c>
      <c r="BW55" s="37">
        <v>3905</v>
      </c>
      <c r="BX55" s="92">
        <f t="shared" si="114"/>
        <v>24336</v>
      </c>
      <c r="BY55" s="37">
        <v>11072</v>
      </c>
      <c r="BZ55" s="37">
        <v>13264</v>
      </c>
      <c r="CA55" s="125">
        <v>917697</v>
      </c>
      <c r="CB55" s="38">
        <v>883971</v>
      </c>
      <c r="CC55" s="37">
        <v>5624</v>
      </c>
      <c r="CD55" s="37">
        <v>23292</v>
      </c>
      <c r="CE55" s="37">
        <v>7545</v>
      </c>
      <c r="CF55" s="68">
        <v>922980</v>
      </c>
      <c r="CG55" s="3">
        <v>892722</v>
      </c>
      <c r="CH55" s="37">
        <v>5829</v>
      </c>
      <c r="CI55" s="37">
        <v>24429</v>
      </c>
      <c r="CJ55" s="37">
        <v>7648</v>
      </c>
      <c r="CK55" s="42">
        <v>923997</v>
      </c>
      <c r="CL55" s="40">
        <v>892626</v>
      </c>
      <c r="CM55" s="41">
        <v>6327</v>
      </c>
      <c r="CN55" s="41">
        <v>25044</v>
      </c>
      <c r="CO55" s="41">
        <v>8288</v>
      </c>
      <c r="CP55" s="42">
        <v>934836</v>
      </c>
      <c r="CQ55" s="356">
        <v>904336</v>
      </c>
      <c r="CR55" s="356">
        <v>6164</v>
      </c>
      <c r="CS55" s="41">
        <v>24336</v>
      </c>
      <c r="CT55" s="356">
        <v>8023</v>
      </c>
      <c r="CU55" s="42">
        <v>938148</v>
      </c>
      <c r="CV55" s="356">
        <v>907275</v>
      </c>
      <c r="CW55" s="356"/>
      <c r="CX55" s="215">
        <f t="shared" si="115"/>
        <v>30873</v>
      </c>
      <c r="CY55" s="419"/>
      <c r="CZ55" s="423">
        <v>942582</v>
      </c>
      <c r="DA55" s="37">
        <v>904142</v>
      </c>
      <c r="DB55" s="37">
        <v>6517</v>
      </c>
      <c r="DC55" s="423">
        <v>25271</v>
      </c>
      <c r="DD55" s="424">
        <v>8602</v>
      </c>
      <c r="DE55" s="37">
        <v>947986</v>
      </c>
      <c r="DF55" s="37">
        <v>908114</v>
      </c>
      <c r="DG55" s="1">
        <v>6753</v>
      </c>
      <c r="DH55" s="37">
        <v>26086</v>
      </c>
      <c r="DI55" s="37">
        <v>9221</v>
      </c>
      <c r="DJ55" s="37">
        <v>959407</v>
      </c>
      <c r="DK55" s="37">
        <v>913042</v>
      </c>
      <c r="DL55" s="37">
        <v>7552</v>
      </c>
      <c r="DM55" s="669">
        <v>27688</v>
      </c>
      <c r="DN55" s="37">
        <v>11660</v>
      </c>
      <c r="DO55" s="507">
        <v>961240</v>
      </c>
      <c r="DP55" s="37">
        <v>915528</v>
      </c>
      <c r="DQ55" s="37">
        <v>7393</v>
      </c>
      <c r="DR55" s="338">
        <v>29939</v>
      </c>
      <c r="DS55" s="37">
        <v>9377</v>
      </c>
      <c r="DT55" s="507">
        <v>966569</v>
      </c>
      <c r="DU55" s="37">
        <v>919544</v>
      </c>
      <c r="DV55" s="37">
        <v>8256</v>
      </c>
      <c r="DW55" s="338">
        <v>29659</v>
      </c>
      <c r="DX55" s="37">
        <v>11366</v>
      </c>
      <c r="DY55" s="1">
        <v>12254</v>
      </c>
      <c r="DZ55" s="1">
        <v>0</v>
      </c>
      <c r="EA55" s="1">
        <v>5069</v>
      </c>
      <c r="EB55" s="1">
        <v>12336</v>
      </c>
      <c r="EC55" s="701"/>
      <c r="ED55" s="542">
        <v>971740</v>
      </c>
      <c r="EE55" s="37">
        <v>924847</v>
      </c>
      <c r="EF55" s="28">
        <v>8870</v>
      </c>
      <c r="EG55" s="304">
        <v>28490</v>
      </c>
      <c r="EH55" s="37">
        <v>10628</v>
      </c>
      <c r="EI55" s="542">
        <v>983382</v>
      </c>
      <c r="EJ55" s="37"/>
      <c r="EK55" s="28"/>
      <c r="EM55" s="37"/>
      <c r="EN55" s="37">
        <v>991152</v>
      </c>
      <c r="EO55" s="37">
        <v>935086</v>
      </c>
      <c r="EP55" s="28">
        <v>11899</v>
      </c>
      <c r="EQ55" s="304">
        <v>31886</v>
      </c>
      <c r="ER55" s="37">
        <v>13580</v>
      </c>
      <c r="ES55" s="37">
        <v>1015078</v>
      </c>
      <c r="ET55" s="37">
        <v>930777</v>
      </c>
      <c r="EU55" s="28">
        <v>10000</v>
      </c>
      <c r="EV55" s="304">
        <v>66863</v>
      </c>
      <c r="EW55" s="37">
        <v>15636</v>
      </c>
      <c r="EX55" s="1">
        <v>12448</v>
      </c>
      <c r="FA55" s="1">
        <v>46258</v>
      </c>
      <c r="FB55" s="701">
        <v>8157</v>
      </c>
    </row>
    <row r="56" spans="1:158" ht="15.6">
      <c r="A56" s="38" t="s">
        <v>54</v>
      </c>
      <c r="B56" s="8"/>
      <c r="C56" s="17"/>
      <c r="D56" s="37">
        <v>3010617</v>
      </c>
      <c r="E56" s="37">
        <v>1374809</v>
      </c>
      <c r="F56" s="37">
        <v>1570932</v>
      </c>
      <c r="G56" s="37">
        <v>31714</v>
      </c>
      <c r="H56" s="37">
        <v>33162</v>
      </c>
      <c r="I56" s="68">
        <v>3142463</v>
      </c>
      <c r="J56" s="92">
        <f t="shared" si="104"/>
        <v>3047638</v>
      </c>
      <c r="K56" s="37">
        <v>1403034</v>
      </c>
      <c r="L56" s="37">
        <v>1644604</v>
      </c>
      <c r="M56" s="92">
        <f t="shared" si="105"/>
        <v>77680</v>
      </c>
      <c r="N56" s="37">
        <v>34863</v>
      </c>
      <c r="O56" s="37">
        <v>42817</v>
      </c>
      <c r="P56" s="92">
        <f t="shared" si="106"/>
        <v>26479</v>
      </c>
      <c r="Q56" s="37">
        <v>13162</v>
      </c>
      <c r="R56" s="37">
        <v>13317</v>
      </c>
      <c r="S56" s="68">
        <v>3463256</v>
      </c>
      <c r="T56" s="90">
        <f t="shared" si="107"/>
        <v>3256063</v>
      </c>
      <c r="U56" s="37">
        <v>1490165</v>
      </c>
      <c r="V56" s="37">
        <v>1765898</v>
      </c>
      <c r="W56" s="90">
        <f t="shared" si="108"/>
        <v>105770</v>
      </c>
      <c r="X56" s="37">
        <v>47738</v>
      </c>
      <c r="Y56" s="37">
        <v>58032</v>
      </c>
      <c r="Z56" s="90">
        <f t="shared" si="109"/>
        <v>59240</v>
      </c>
      <c r="AA56" s="37">
        <v>27250</v>
      </c>
      <c r="AB56" s="37">
        <v>31990</v>
      </c>
      <c r="AC56" s="92">
        <v>33606</v>
      </c>
      <c r="AD56" s="92">
        <v>15893</v>
      </c>
      <c r="AE56" s="92">
        <v>17713</v>
      </c>
      <c r="AF56" s="68">
        <v>3962223</v>
      </c>
      <c r="AG56" s="3">
        <v>3642335</v>
      </c>
      <c r="AH56" s="55">
        <f t="shared" si="110"/>
        <v>3582343</v>
      </c>
      <c r="AI56" s="37">
        <v>1665793</v>
      </c>
      <c r="AJ56" s="37">
        <v>1916550</v>
      </c>
      <c r="AK56" s="3">
        <v>165326</v>
      </c>
      <c r="AL56" s="55">
        <f t="shared" si="111"/>
        <v>154743</v>
      </c>
      <c r="AM56" s="37">
        <v>72343</v>
      </c>
      <c r="AN56" s="37">
        <v>82400</v>
      </c>
      <c r="AO56" s="3">
        <v>128976</v>
      </c>
      <c r="AP56" s="37">
        <v>61346</v>
      </c>
      <c r="AQ56" s="37">
        <v>67630</v>
      </c>
      <c r="AR56" s="59">
        <f t="shared" si="112"/>
        <v>96161</v>
      </c>
      <c r="AS56" s="68">
        <v>4273275</v>
      </c>
      <c r="AT56" s="3">
        <v>3731483</v>
      </c>
      <c r="AU56" s="115">
        <v>1747587</v>
      </c>
      <c r="AV56" s="115">
        <v>1983896</v>
      </c>
      <c r="AW56" s="55">
        <f t="shared" si="113"/>
        <v>3642659</v>
      </c>
      <c r="AX56" s="37">
        <v>1704986</v>
      </c>
      <c r="AY56" s="37">
        <v>1937673</v>
      </c>
      <c r="AZ56" s="3">
        <v>193880</v>
      </c>
      <c r="BA56" s="37">
        <v>89038</v>
      </c>
      <c r="BB56" s="37">
        <v>104842</v>
      </c>
      <c r="BC56" s="3">
        <v>211195</v>
      </c>
      <c r="BD56" s="37">
        <v>99562</v>
      </c>
      <c r="BE56" s="37">
        <v>111633</v>
      </c>
      <c r="BF56" s="92">
        <v>347912</v>
      </c>
      <c r="BG56" s="92">
        <v>166895</v>
      </c>
      <c r="BH56" s="92">
        <v>181017</v>
      </c>
      <c r="BI56" s="68">
        <v>4418255</v>
      </c>
      <c r="BJ56" s="37">
        <v>2086879</v>
      </c>
      <c r="BK56" s="37">
        <v>2331376</v>
      </c>
      <c r="BL56" s="37">
        <v>3719419</v>
      </c>
      <c r="BM56" s="37">
        <v>1757319</v>
      </c>
      <c r="BN56" s="37">
        <v>1962100</v>
      </c>
      <c r="BO56" s="37">
        <v>3565125</v>
      </c>
      <c r="BP56" s="37">
        <v>1684618</v>
      </c>
      <c r="BQ56" s="37">
        <v>1880507</v>
      </c>
      <c r="BR56" s="37">
        <v>257490</v>
      </c>
      <c r="BS56" s="37">
        <v>118921</v>
      </c>
      <c r="BT56" s="37">
        <v>138569</v>
      </c>
      <c r="BU56" s="37">
        <v>317753</v>
      </c>
      <c r="BV56" s="37">
        <v>150998</v>
      </c>
      <c r="BW56" s="37">
        <v>166755</v>
      </c>
      <c r="BX56" s="92">
        <f t="shared" si="114"/>
        <v>441346</v>
      </c>
      <c r="BY56" s="37">
        <v>210639</v>
      </c>
      <c r="BZ56" s="37">
        <v>230707</v>
      </c>
      <c r="CA56" s="125">
        <v>4355378</v>
      </c>
      <c r="CB56" s="38">
        <v>3595816</v>
      </c>
      <c r="CC56" s="37">
        <v>225920</v>
      </c>
      <c r="CD56" s="37">
        <v>406805</v>
      </c>
      <c r="CE56" s="37">
        <v>275814</v>
      </c>
      <c r="CF56" s="68">
        <v>4373025</v>
      </c>
      <c r="CG56" s="3">
        <v>3725760</v>
      </c>
      <c r="CH56" s="37">
        <v>231909</v>
      </c>
      <c r="CI56" s="37">
        <v>415356</v>
      </c>
      <c r="CJ56" s="37">
        <v>287276</v>
      </c>
      <c r="CK56" s="42">
        <v>4447683</v>
      </c>
      <c r="CL56" s="40">
        <v>3784712</v>
      </c>
      <c r="CM56" s="41">
        <v>241307</v>
      </c>
      <c r="CN56" s="41">
        <v>421664</v>
      </c>
      <c r="CO56" s="41">
        <v>299501</v>
      </c>
      <c r="CP56" s="42">
        <v>4418255</v>
      </c>
      <c r="CQ56" s="356">
        <v>3719419</v>
      </c>
      <c r="CR56" s="356">
        <v>257490</v>
      </c>
      <c r="CS56" s="41">
        <v>441346</v>
      </c>
      <c r="CT56" s="356">
        <v>317753</v>
      </c>
      <c r="CU56" s="42">
        <v>4460708</v>
      </c>
      <c r="CV56" s="356">
        <v>3737359</v>
      </c>
      <c r="CW56" s="356">
        <v>262745</v>
      </c>
      <c r="CX56" s="215">
        <f t="shared" si="115"/>
        <v>460604</v>
      </c>
      <c r="CY56" s="419">
        <v>331060</v>
      </c>
      <c r="CZ56" s="37">
        <v>4509799</v>
      </c>
      <c r="DA56" s="37">
        <v>3594628</v>
      </c>
      <c r="DB56" s="37">
        <v>271080</v>
      </c>
      <c r="DC56" s="37">
        <v>478116</v>
      </c>
      <c r="DD56" s="371">
        <v>345563</v>
      </c>
      <c r="DE56" s="37">
        <v>4556615</v>
      </c>
      <c r="DF56" s="37">
        <v>3604939</v>
      </c>
      <c r="DG56" s="1">
        <v>280392</v>
      </c>
      <c r="DH56" s="37">
        <v>497307</v>
      </c>
      <c r="DI56" s="37">
        <v>362602</v>
      </c>
      <c r="DJ56" s="37">
        <v>4654351</v>
      </c>
      <c r="DK56" s="37">
        <v>3621777</v>
      </c>
      <c r="DL56" s="37">
        <v>295691</v>
      </c>
      <c r="DM56" s="669">
        <v>531710</v>
      </c>
      <c r="DN56" s="37">
        <v>395884</v>
      </c>
      <c r="DO56" s="507">
        <v>4706644</v>
      </c>
      <c r="DP56" s="37">
        <v>3621936</v>
      </c>
      <c r="DQ56" s="37">
        <v>308859</v>
      </c>
      <c r="DR56" s="338">
        <v>549192</v>
      </c>
      <c r="DS56" s="37">
        <v>415601</v>
      </c>
      <c r="DT56" s="507">
        <v>4727515</v>
      </c>
      <c r="DU56" s="37">
        <v>3608559</v>
      </c>
      <c r="DV56" s="37">
        <v>316115</v>
      </c>
      <c r="DW56" s="338">
        <v>566914</v>
      </c>
      <c r="DX56" s="37">
        <v>430798</v>
      </c>
      <c r="DY56" s="1">
        <v>294451</v>
      </c>
      <c r="DZ56" s="1">
        <v>0</v>
      </c>
      <c r="EA56" s="1">
        <v>8700</v>
      </c>
      <c r="EB56" s="1">
        <v>93924</v>
      </c>
      <c r="EC56" s="701">
        <v>169839</v>
      </c>
      <c r="ED56" s="542">
        <v>4788573</v>
      </c>
      <c r="EE56" s="37">
        <v>3616179</v>
      </c>
      <c r="EF56" s="28">
        <v>337720</v>
      </c>
      <c r="EG56" s="304">
        <v>565820</v>
      </c>
      <c r="EH56" s="37">
        <v>454608</v>
      </c>
      <c r="EI56" s="542">
        <v>4832728</v>
      </c>
      <c r="EJ56" s="37"/>
      <c r="EK56" s="28"/>
      <c r="EM56" s="37"/>
      <c r="EN56" s="37">
        <v>4850576</v>
      </c>
      <c r="EO56" s="37">
        <v>3601315</v>
      </c>
      <c r="EP56" s="28">
        <v>350938</v>
      </c>
      <c r="EQ56" s="304">
        <v>632431</v>
      </c>
      <c r="ER56" s="37">
        <v>486528</v>
      </c>
      <c r="ES56" s="37">
        <v>4934755</v>
      </c>
      <c r="ET56" s="37">
        <v>3531057</v>
      </c>
      <c r="EU56" s="28">
        <v>307459</v>
      </c>
      <c r="EV56" s="304">
        <v>1032398</v>
      </c>
      <c r="EW56" s="37">
        <v>520576</v>
      </c>
      <c r="EX56" s="1">
        <v>344221</v>
      </c>
      <c r="EZ56" s="1">
        <v>10858</v>
      </c>
      <c r="FA56" s="1">
        <v>428565</v>
      </c>
      <c r="FB56" s="701">
        <v>248754</v>
      </c>
    </row>
    <row r="57" spans="1:158" ht="15.6">
      <c r="A57" s="38" t="s">
        <v>55</v>
      </c>
      <c r="B57" s="3"/>
      <c r="C57" s="17"/>
      <c r="D57" s="37">
        <v>345230</v>
      </c>
      <c r="E57" s="37">
        <v>163947</v>
      </c>
      <c r="F57" s="37">
        <v>180074</v>
      </c>
      <c r="G57" s="37">
        <v>674</v>
      </c>
      <c r="H57" s="37">
        <v>535</v>
      </c>
      <c r="I57" s="68">
        <v>397681</v>
      </c>
      <c r="J57" s="92">
        <f t="shared" si="104"/>
        <v>396037</v>
      </c>
      <c r="K57" s="37">
        <v>187330</v>
      </c>
      <c r="L57" s="37">
        <v>208707</v>
      </c>
      <c r="M57" s="92">
        <f t="shared" si="105"/>
        <v>1005</v>
      </c>
      <c r="N57" s="37">
        <v>561</v>
      </c>
      <c r="O57" s="37">
        <v>444</v>
      </c>
      <c r="P57" s="92">
        <f t="shared" si="106"/>
        <v>1081</v>
      </c>
      <c r="Q57" s="37">
        <v>624</v>
      </c>
      <c r="R57" s="37">
        <v>457</v>
      </c>
      <c r="S57" s="68">
        <v>541953</v>
      </c>
      <c r="T57" s="90">
        <f t="shared" si="107"/>
        <v>535022</v>
      </c>
      <c r="U57" s="37">
        <v>253311</v>
      </c>
      <c r="V57" s="37">
        <v>281711</v>
      </c>
      <c r="W57" s="90">
        <f t="shared" si="108"/>
        <v>1825</v>
      </c>
      <c r="X57" s="37">
        <v>1050</v>
      </c>
      <c r="Y57" s="37">
        <v>775</v>
      </c>
      <c r="Z57" s="90">
        <f t="shared" si="109"/>
        <v>2433</v>
      </c>
      <c r="AA57" s="37">
        <v>1266</v>
      </c>
      <c r="AB57" s="37">
        <v>1167</v>
      </c>
      <c r="AC57" s="92">
        <v>2515</v>
      </c>
      <c r="AD57" s="92">
        <v>1077</v>
      </c>
      <c r="AE57" s="92">
        <v>1438</v>
      </c>
      <c r="AF57" s="68">
        <v>713894</v>
      </c>
      <c r="AG57" s="3">
        <v>702321</v>
      </c>
      <c r="AH57" s="55">
        <f t="shared" si="110"/>
        <v>698363</v>
      </c>
      <c r="AI57" s="37">
        <v>335429</v>
      </c>
      <c r="AJ57" s="37">
        <v>362934</v>
      </c>
      <c r="AK57" s="3">
        <v>3581</v>
      </c>
      <c r="AL57" s="55">
        <f t="shared" si="111"/>
        <v>3339</v>
      </c>
      <c r="AM57" s="37">
        <v>1882</v>
      </c>
      <c r="AN57" s="37">
        <v>1457</v>
      </c>
      <c r="AO57" s="3">
        <v>5695</v>
      </c>
      <c r="AP57" s="37">
        <v>2875</v>
      </c>
      <c r="AQ57" s="37">
        <v>2820</v>
      </c>
      <c r="AR57" s="53">
        <f t="shared" si="112"/>
        <v>6497</v>
      </c>
      <c r="AS57" s="68">
        <v>823987</v>
      </c>
      <c r="AT57" s="3">
        <v>796816</v>
      </c>
      <c r="AU57" s="115">
        <v>383984</v>
      </c>
      <c r="AV57" s="115">
        <v>412832</v>
      </c>
      <c r="AW57" s="55">
        <f t="shared" si="113"/>
        <v>790941</v>
      </c>
      <c r="AX57" s="37">
        <v>381075</v>
      </c>
      <c r="AY57" s="37">
        <v>409866</v>
      </c>
      <c r="AZ57" s="3">
        <v>5127</v>
      </c>
      <c r="BA57" s="37">
        <v>2921</v>
      </c>
      <c r="BB57" s="37">
        <v>2206</v>
      </c>
      <c r="BC57" s="3">
        <v>9910</v>
      </c>
      <c r="BD57" s="37">
        <v>4937</v>
      </c>
      <c r="BE57" s="37">
        <v>4973</v>
      </c>
      <c r="BF57" s="92">
        <v>22044</v>
      </c>
      <c r="BG57" s="92">
        <v>10865</v>
      </c>
      <c r="BH57" s="92">
        <v>11179</v>
      </c>
      <c r="BI57" s="68">
        <v>901717</v>
      </c>
      <c r="BJ57" s="37">
        <v>437613</v>
      </c>
      <c r="BK57" s="37">
        <v>464104</v>
      </c>
      <c r="BL57" s="37">
        <v>861756</v>
      </c>
      <c r="BM57" s="37">
        <v>417534</v>
      </c>
      <c r="BN57" s="37">
        <v>444222</v>
      </c>
      <c r="BO57" s="37">
        <v>849238</v>
      </c>
      <c r="BP57" s="37">
        <v>411186</v>
      </c>
      <c r="BQ57" s="37">
        <v>438052</v>
      </c>
      <c r="BR57" s="37">
        <v>7709</v>
      </c>
      <c r="BS57" s="37">
        <v>4469</v>
      </c>
      <c r="BT57" s="37">
        <v>3240</v>
      </c>
      <c r="BU57" s="37">
        <v>17898</v>
      </c>
      <c r="BV57" s="37">
        <v>8918</v>
      </c>
      <c r="BW57" s="37">
        <v>8980</v>
      </c>
      <c r="BX57" s="92">
        <f t="shared" si="114"/>
        <v>32252</v>
      </c>
      <c r="BY57" s="37">
        <v>15610</v>
      </c>
      <c r="BZ57" s="37">
        <v>16642</v>
      </c>
      <c r="CA57" s="125">
        <v>889007</v>
      </c>
      <c r="CB57" s="38">
        <v>841972</v>
      </c>
      <c r="CC57" s="37">
        <v>6607</v>
      </c>
      <c r="CD57" s="37">
        <v>29186</v>
      </c>
      <c r="CE57" s="37">
        <v>16548</v>
      </c>
      <c r="CF57" s="68">
        <v>895988</v>
      </c>
      <c r="CG57" s="3">
        <v>859179</v>
      </c>
      <c r="CH57" s="37">
        <v>6626</v>
      </c>
      <c r="CI57" s="37">
        <v>30183</v>
      </c>
      <c r="CJ57" s="37">
        <v>17311</v>
      </c>
      <c r="CK57" s="42">
        <v>897543</v>
      </c>
      <c r="CL57" s="40">
        <v>859993</v>
      </c>
      <c r="CM57" s="41">
        <v>7494</v>
      </c>
      <c r="CN57" s="41">
        <v>30056</v>
      </c>
      <c r="CO57" s="41">
        <v>17948</v>
      </c>
      <c r="CP57" s="42">
        <v>901717</v>
      </c>
      <c r="CQ57" s="356">
        <v>861756</v>
      </c>
      <c r="CR57" s="356">
        <v>7709</v>
      </c>
      <c r="CS57" s="41">
        <v>32252</v>
      </c>
      <c r="CT57" s="356">
        <v>17898</v>
      </c>
      <c r="CU57" s="42">
        <v>907555</v>
      </c>
      <c r="CV57" s="356">
        <v>866067</v>
      </c>
      <c r="CW57" s="356"/>
      <c r="CX57" s="215">
        <f t="shared" si="115"/>
        <v>41488</v>
      </c>
      <c r="CY57" s="419">
        <v>18400</v>
      </c>
      <c r="CZ57" s="37">
        <v>913752</v>
      </c>
      <c r="DA57" s="37">
        <v>856487</v>
      </c>
      <c r="DB57" s="37">
        <v>8856</v>
      </c>
      <c r="DC57" s="37">
        <v>34059</v>
      </c>
      <c r="DD57" s="371">
        <v>19389</v>
      </c>
      <c r="DE57" s="37">
        <v>919616</v>
      </c>
      <c r="DF57" s="37">
        <v>859770</v>
      </c>
      <c r="DG57" s="1">
        <v>9355</v>
      </c>
      <c r="DH57" s="37">
        <v>35656</v>
      </c>
      <c r="DI57" s="37">
        <v>20728</v>
      </c>
      <c r="DJ57" s="37">
        <v>931304</v>
      </c>
      <c r="DK57" s="37">
        <v>866692</v>
      </c>
      <c r="DL57" s="37">
        <v>10318</v>
      </c>
      <c r="DM57" s="669">
        <v>32692</v>
      </c>
      <c r="DN57" s="37">
        <v>22410</v>
      </c>
      <c r="DO57" s="507">
        <v>937214</v>
      </c>
      <c r="DP57" s="37">
        <v>870278</v>
      </c>
      <c r="DQ57" s="37">
        <v>11872</v>
      </c>
      <c r="DR57" s="338">
        <v>31738</v>
      </c>
      <c r="DS57" s="37">
        <v>23341</v>
      </c>
      <c r="DT57" s="507">
        <v>947586</v>
      </c>
      <c r="DU57" s="37">
        <v>876857</v>
      </c>
      <c r="DV57" s="37">
        <v>10823</v>
      </c>
      <c r="DW57" s="338">
        <v>39166</v>
      </c>
      <c r="DX57" s="37">
        <v>25368</v>
      </c>
      <c r="DY57" s="1">
        <v>21475</v>
      </c>
      <c r="DZ57" s="1">
        <v>0</v>
      </c>
      <c r="EA57" s="1">
        <v>0</v>
      </c>
      <c r="EB57" s="1">
        <v>12732</v>
      </c>
      <c r="EC57" s="701">
        <v>4959</v>
      </c>
      <c r="ED57" s="542">
        <v>958005</v>
      </c>
      <c r="EE57" s="37">
        <v>882708</v>
      </c>
      <c r="EF57" s="28">
        <v>13572</v>
      </c>
      <c r="EG57" s="304">
        <v>37065</v>
      </c>
      <c r="EH57" s="37">
        <v>26931</v>
      </c>
      <c r="EI57" s="542">
        <v>970748</v>
      </c>
      <c r="EJ57" s="37"/>
      <c r="EK57" s="28"/>
      <c r="EM57" s="37"/>
      <c r="EN57" s="37">
        <v>979750</v>
      </c>
      <c r="EO57" s="37">
        <v>897818</v>
      </c>
      <c r="EP57" s="28">
        <v>13726</v>
      </c>
      <c r="EQ57" s="304">
        <v>44736</v>
      </c>
      <c r="ER57" s="37">
        <v>29638</v>
      </c>
      <c r="ES57" s="37">
        <v>1008318</v>
      </c>
      <c r="ET57" s="37">
        <v>903432</v>
      </c>
      <c r="EU57" s="28">
        <v>12546</v>
      </c>
      <c r="EV57" s="304">
        <v>86728</v>
      </c>
      <c r="EW57" s="37">
        <v>33003</v>
      </c>
      <c r="EX57" s="1">
        <v>26000</v>
      </c>
      <c r="FA57" s="1">
        <v>47402</v>
      </c>
      <c r="FB57" s="701">
        <v>13326</v>
      </c>
    </row>
    <row r="58" spans="1:158" ht="15.6">
      <c r="A58" s="38" t="s">
        <v>56</v>
      </c>
      <c r="B58" s="3"/>
      <c r="C58" s="17"/>
      <c r="D58" s="37">
        <v>3599856</v>
      </c>
      <c r="E58" s="37">
        <v>1594217</v>
      </c>
      <c r="F58" s="37">
        <v>1732878</v>
      </c>
      <c r="G58" s="37">
        <v>128549</v>
      </c>
      <c r="H58" s="37">
        <v>144212</v>
      </c>
      <c r="I58" s="68">
        <v>4056606</v>
      </c>
      <c r="J58" s="92">
        <f t="shared" si="104"/>
        <v>3676734</v>
      </c>
      <c r="K58" s="37">
        <v>1729099</v>
      </c>
      <c r="L58" s="37">
        <v>1947635</v>
      </c>
      <c r="M58" s="92">
        <f t="shared" si="105"/>
        <v>359390</v>
      </c>
      <c r="N58" s="37">
        <v>161957</v>
      </c>
      <c r="O58" s="37">
        <v>197433</v>
      </c>
      <c r="P58" s="92">
        <f t="shared" si="106"/>
        <v>50911</v>
      </c>
      <c r="Q58" s="37">
        <v>25524</v>
      </c>
      <c r="R58" s="37">
        <v>25387</v>
      </c>
      <c r="S58" s="68">
        <v>4504247</v>
      </c>
      <c r="T58" s="90">
        <f t="shared" si="107"/>
        <v>3731717</v>
      </c>
      <c r="U58" s="37">
        <v>1737707</v>
      </c>
      <c r="V58" s="37">
        <v>1994010</v>
      </c>
      <c r="W58" s="90">
        <f t="shared" si="108"/>
        <v>460259</v>
      </c>
      <c r="X58" s="37">
        <v>201148</v>
      </c>
      <c r="Y58" s="37">
        <v>259111</v>
      </c>
      <c r="Z58" s="90">
        <f t="shared" si="109"/>
        <v>241006</v>
      </c>
      <c r="AA58" s="37">
        <v>111781</v>
      </c>
      <c r="AB58" s="37">
        <v>129225</v>
      </c>
      <c r="AC58" s="92">
        <v>67987</v>
      </c>
      <c r="AD58" s="92">
        <v>31673</v>
      </c>
      <c r="AE58" s="92">
        <v>36314</v>
      </c>
      <c r="AF58" s="68">
        <v>5166233</v>
      </c>
      <c r="AG58" s="3">
        <v>4245109</v>
      </c>
      <c r="AH58" s="55">
        <f t="shared" si="110"/>
        <v>4004957</v>
      </c>
      <c r="AI58" s="37">
        <v>1881669</v>
      </c>
      <c r="AJ58" s="37">
        <v>2123288</v>
      </c>
      <c r="AK58" s="3">
        <v>601708</v>
      </c>
      <c r="AL58" s="55">
        <f t="shared" si="111"/>
        <v>578235</v>
      </c>
      <c r="AM58" s="37">
        <v>257870</v>
      </c>
      <c r="AN58" s="37">
        <v>320365</v>
      </c>
      <c r="AO58" s="3">
        <v>408561</v>
      </c>
      <c r="AP58" s="37">
        <v>199243</v>
      </c>
      <c r="AQ58" s="37">
        <v>209318</v>
      </c>
      <c r="AR58" s="53">
        <f t="shared" si="112"/>
        <v>174480</v>
      </c>
      <c r="AS58" s="68">
        <v>5657799</v>
      </c>
      <c r="AT58" s="3">
        <v>4280235</v>
      </c>
      <c r="AU58" s="115">
        <v>2018347</v>
      </c>
      <c r="AV58" s="115">
        <v>2261888</v>
      </c>
      <c r="AW58" s="55">
        <f t="shared" si="113"/>
        <v>3949630</v>
      </c>
      <c r="AX58" s="37">
        <v>1857700</v>
      </c>
      <c r="AY58" s="37">
        <v>2091930</v>
      </c>
      <c r="AZ58" s="3">
        <v>677910</v>
      </c>
      <c r="BA58" s="37">
        <v>302940</v>
      </c>
      <c r="BB58" s="37">
        <v>374970</v>
      </c>
      <c r="BC58" s="3">
        <v>638900</v>
      </c>
      <c r="BD58" s="37">
        <v>312539</v>
      </c>
      <c r="BE58" s="37">
        <v>326361</v>
      </c>
      <c r="BF58" s="92">
        <v>699654</v>
      </c>
      <c r="BG58" s="92">
        <v>341499</v>
      </c>
      <c r="BH58" s="92">
        <v>358155</v>
      </c>
      <c r="BI58" s="68">
        <v>5925769</v>
      </c>
      <c r="BJ58" s="37">
        <v>2808768</v>
      </c>
      <c r="BK58" s="37">
        <v>3117001</v>
      </c>
      <c r="BL58" s="37">
        <v>4298036</v>
      </c>
      <c r="BM58" s="37">
        <v>2047316</v>
      </c>
      <c r="BN58" s="37">
        <v>2250720</v>
      </c>
      <c r="BO58" s="37">
        <v>3770490</v>
      </c>
      <c r="BP58" s="37">
        <v>1789527</v>
      </c>
      <c r="BQ58" s="37">
        <v>1980963</v>
      </c>
      <c r="BR58" s="37">
        <v>739700</v>
      </c>
      <c r="BS58" s="37">
        <v>329935</v>
      </c>
      <c r="BT58" s="37">
        <v>409765</v>
      </c>
      <c r="BU58" s="37">
        <v>887369</v>
      </c>
      <c r="BV58" s="37">
        <v>437977</v>
      </c>
      <c r="BW58" s="37">
        <v>449392</v>
      </c>
      <c r="BX58" s="92">
        <f t="shared" si="114"/>
        <v>888033</v>
      </c>
      <c r="BY58" s="37">
        <v>431517</v>
      </c>
      <c r="BZ58" s="37">
        <v>456516</v>
      </c>
      <c r="CA58" s="125">
        <v>5835145</v>
      </c>
      <c r="CB58" s="38">
        <v>3829047</v>
      </c>
      <c r="CC58" s="37">
        <v>719845</v>
      </c>
      <c r="CD58" s="37">
        <v>889459</v>
      </c>
      <c r="CE58" s="37">
        <v>805857</v>
      </c>
      <c r="CF58" s="68">
        <v>5836774</v>
      </c>
      <c r="CG58" s="3">
        <v>4238903</v>
      </c>
      <c r="CH58" s="37">
        <v>723910</v>
      </c>
      <c r="CI58" s="37">
        <v>873961</v>
      </c>
      <c r="CJ58" s="37">
        <v>822594</v>
      </c>
      <c r="CK58" s="42">
        <v>5868846</v>
      </c>
      <c r="CL58" s="40">
        <v>4280469</v>
      </c>
      <c r="CM58" s="41">
        <v>736320</v>
      </c>
      <c r="CN58" s="41">
        <v>852057</v>
      </c>
      <c r="CO58" s="41">
        <v>833152</v>
      </c>
      <c r="CP58" s="42">
        <v>5925769</v>
      </c>
      <c r="CQ58" s="356">
        <v>4298036</v>
      </c>
      <c r="CR58" s="356">
        <v>739700</v>
      </c>
      <c r="CS58" s="41">
        <v>888033</v>
      </c>
      <c r="CT58" s="356">
        <v>887369</v>
      </c>
      <c r="CU58" s="42">
        <v>5967686</v>
      </c>
      <c r="CV58" s="356">
        <v>4303802</v>
      </c>
      <c r="CW58" s="356">
        <v>744715</v>
      </c>
      <c r="CX58" s="215">
        <f t="shared" si="115"/>
        <v>919169</v>
      </c>
      <c r="CY58" s="419">
        <v>916955</v>
      </c>
      <c r="CZ58" s="37">
        <v>6013231</v>
      </c>
      <c r="DA58" s="37">
        <v>3745069</v>
      </c>
      <c r="DB58" s="37">
        <v>754780</v>
      </c>
      <c r="DC58" s="37">
        <v>945828</v>
      </c>
      <c r="DD58" s="371">
        <v>946662</v>
      </c>
      <c r="DE58" s="37">
        <v>6047398</v>
      </c>
      <c r="DF58" s="37">
        <v>3727372</v>
      </c>
      <c r="DG58" s="1">
        <v>763196</v>
      </c>
      <c r="DH58" s="37">
        <v>973634</v>
      </c>
      <c r="DI58" s="37">
        <v>974504</v>
      </c>
      <c r="DJ58" s="37">
        <v>6127931</v>
      </c>
      <c r="DK58" s="37">
        <v>3692914</v>
      </c>
      <c r="DL58" s="37">
        <v>779757</v>
      </c>
      <c r="DM58" s="669">
        <v>1048033</v>
      </c>
      <c r="DN58" s="37">
        <v>1035152</v>
      </c>
      <c r="DO58" s="507">
        <v>6166384</v>
      </c>
      <c r="DP58" s="37">
        <v>3677456</v>
      </c>
      <c r="DQ58" s="37">
        <v>785776</v>
      </c>
      <c r="DR58" s="338">
        <v>1063538</v>
      </c>
      <c r="DS58" s="37">
        <v>1061429</v>
      </c>
      <c r="DT58" s="507">
        <v>6171172</v>
      </c>
      <c r="DU58" s="37">
        <v>3649289</v>
      </c>
      <c r="DV58" s="37">
        <v>786869</v>
      </c>
      <c r="DW58" s="338">
        <v>1036895</v>
      </c>
      <c r="DX58" s="37">
        <v>1079365</v>
      </c>
      <c r="DY58" s="1">
        <v>599087</v>
      </c>
      <c r="DZ58" s="1">
        <v>0</v>
      </c>
      <c r="EA58" s="1">
        <v>13294</v>
      </c>
      <c r="EB58" s="1">
        <v>100429</v>
      </c>
      <c r="EC58" s="701">
        <v>324085</v>
      </c>
      <c r="ED58" s="542">
        <v>6234538</v>
      </c>
      <c r="EE58" s="37">
        <v>3639609</v>
      </c>
      <c r="EF58" s="28">
        <v>802713</v>
      </c>
      <c r="EG58" s="304">
        <v>1069104</v>
      </c>
      <c r="EH58" s="37">
        <v>1117438</v>
      </c>
      <c r="EI58" s="542">
        <v>6189243</v>
      </c>
      <c r="EJ58" s="37"/>
      <c r="EK58" s="28"/>
      <c r="EM58" s="37"/>
      <c r="EN58" s="37">
        <v>6191229</v>
      </c>
      <c r="EO58" s="37">
        <v>3577879</v>
      </c>
      <c r="EP58" s="28">
        <v>813816</v>
      </c>
      <c r="EQ58" s="304">
        <v>1080903</v>
      </c>
      <c r="ER58" s="37">
        <v>1134354</v>
      </c>
      <c r="ES58" s="37">
        <v>6474427</v>
      </c>
      <c r="ET58" s="37">
        <v>3596048</v>
      </c>
      <c r="EU58" s="28">
        <v>809241</v>
      </c>
      <c r="EV58" s="304">
        <v>1931198</v>
      </c>
      <c r="EW58" s="37">
        <v>1227842</v>
      </c>
      <c r="EX58" s="1">
        <v>661426</v>
      </c>
      <c r="EZ58" s="1">
        <v>24604</v>
      </c>
      <c r="FA58" s="1">
        <v>665490</v>
      </c>
      <c r="FB58" s="701">
        <v>579678</v>
      </c>
    </row>
    <row r="59" spans="1:158" ht="15.6">
      <c r="A59" s="38" t="s">
        <v>57</v>
      </c>
      <c r="B59" s="3"/>
      <c r="C59" s="17"/>
      <c r="D59" s="37">
        <v>10124045</v>
      </c>
      <c r="E59" s="37">
        <v>4418558</v>
      </c>
      <c r="F59" s="37">
        <v>4881136</v>
      </c>
      <c r="G59" s="37">
        <v>376495</v>
      </c>
      <c r="H59" s="37">
        <v>447856</v>
      </c>
      <c r="I59" s="68">
        <v>10418555</v>
      </c>
      <c r="J59" s="92">
        <f t="shared" si="104"/>
        <v>9237969</v>
      </c>
      <c r="K59" s="37">
        <v>4295956</v>
      </c>
      <c r="L59" s="37">
        <v>4942013</v>
      </c>
      <c r="M59" s="92">
        <f t="shared" si="105"/>
        <v>1076959</v>
      </c>
      <c r="N59" s="37">
        <v>469062</v>
      </c>
      <c r="O59" s="37">
        <v>607897</v>
      </c>
      <c r="P59" s="92">
        <f t="shared" si="106"/>
        <v>370090</v>
      </c>
      <c r="Q59" s="37">
        <v>168554</v>
      </c>
      <c r="R59" s="37">
        <v>201536</v>
      </c>
      <c r="S59" s="68">
        <v>10721012</v>
      </c>
      <c r="T59" s="90">
        <f t="shared" si="107"/>
        <v>8427574</v>
      </c>
      <c r="U59" s="37">
        <v>3891366</v>
      </c>
      <c r="V59" s="37">
        <v>4536208</v>
      </c>
      <c r="W59" s="90">
        <f t="shared" si="108"/>
        <v>1229222</v>
      </c>
      <c r="X59" s="37">
        <v>521643</v>
      </c>
      <c r="Y59" s="37">
        <v>707579</v>
      </c>
      <c r="Z59" s="90">
        <f t="shared" si="109"/>
        <v>836373</v>
      </c>
      <c r="AA59" s="37">
        <v>372027</v>
      </c>
      <c r="AB59" s="37">
        <v>464346</v>
      </c>
      <c r="AC59" s="92">
        <v>216223</v>
      </c>
      <c r="AD59" s="92">
        <v>105597</v>
      </c>
      <c r="AE59" s="92">
        <v>110626</v>
      </c>
      <c r="AF59" s="68">
        <v>11818569</v>
      </c>
      <c r="AG59" s="3">
        <v>9141878</v>
      </c>
      <c r="AH59" s="55">
        <f t="shared" si="110"/>
        <v>8595826</v>
      </c>
      <c r="AI59" s="37">
        <v>4017931</v>
      </c>
      <c r="AJ59" s="37">
        <v>4577895</v>
      </c>
      <c r="AK59" s="3">
        <v>1683534</v>
      </c>
      <c r="AL59" s="55">
        <f t="shared" si="111"/>
        <v>1536617</v>
      </c>
      <c r="AM59" s="37">
        <v>661756</v>
      </c>
      <c r="AN59" s="37">
        <v>874861</v>
      </c>
      <c r="AO59" s="3">
        <v>1216655</v>
      </c>
      <c r="AP59" s="37">
        <v>560683</v>
      </c>
      <c r="AQ59" s="37">
        <v>655972</v>
      </c>
      <c r="AR59" s="53">
        <f t="shared" si="112"/>
        <v>469471</v>
      </c>
      <c r="AS59" s="68">
        <v>12542536</v>
      </c>
      <c r="AT59" s="3">
        <v>8937643</v>
      </c>
      <c r="AU59" s="115">
        <v>4211002</v>
      </c>
      <c r="AV59" s="115">
        <v>4726641</v>
      </c>
      <c r="AW59" s="55">
        <f t="shared" si="113"/>
        <v>8252226</v>
      </c>
      <c r="AX59" s="37">
        <v>3886593</v>
      </c>
      <c r="AY59" s="37">
        <v>4365633</v>
      </c>
      <c r="AZ59" s="3">
        <v>1784786</v>
      </c>
      <c r="BA59" s="37">
        <v>768667</v>
      </c>
      <c r="BB59" s="37">
        <v>1016119</v>
      </c>
      <c r="BC59" s="3">
        <v>1627113</v>
      </c>
      <c r="BD59" s="37">
        <v>763996</v>
      </c>
      <c r="BE59" s="37">
        <v>863117</v>
      </c>
      <c r="BF59" s="92">
        <v>1820107</v>
      </c>
      <c r="BG59" s="92">
        <v>869386</v>
      </c>
      <c r="BH59" s="92">
        <v>950721</v>
      </c>
      <c r="BI59" s="68">
        <v>12993461</v>
      </c>
      <c r="BJ59" s="37">
        <v>6122250</v>
      </c>
      <c r="BK59" s="37">
        <v>6871211</v>
      </c>
      <c r="BL59" s="37">
        <v>8988658</v>
      </c>
      <c r="BM59" s="37">
        <v>4295350</v>
      </c>
      <c r="BN59" s="37">
        <v>4693308</v>
      </c>
      <c r="BO59" s="37">
        <v>8068205</v>
      </c>
      <c r="BP59" s="37">
        <v>3851665</v>
      </c>
      <c r="BQ59" s="37">
        <v>4216540</v>
      </c>
      <c r="BR59" s="37">
        <v>1897917</v>
      </c>
      <c r="BS59" s="37">
        <v>825193</v>
      </c>
      <c r="BT59" s="37">
        <v>1072724</v>
      </c>
      <c r="BU59" s="37">
        <v>1981336</v>
      </c>
      <c r="BV59" s="37">
        <v>945315</v>
      </c>
      <c r="BW59" s="37">
        <v>1036021</v>
      </c>
      <c r="BX59" s="92">
        <f t="shared" si="114"/>
        <v>2106886</v>
      </c>
      <c r="BY59" s="37">
        <v>1001707</v>
      </c>
      <c r="BZ59" s="37">
        <v>1105179</v>
      </c>
      <c r="CA59" s="125">
        <v>12866461</v>
      </c>
      <c r="CB59" s="38">
        <v>8167266</v>
      </c>
      <c r="CC59" s="37">
        <v>1833015</v>
      </c>
      <c r="CD59" s="37">
        <v>2122243</v>
      </c>
      <c r="CE59" s="37">
        <v>1859467</v>
      </c>
      <c r="CF59" s="68">
        <v>12998952</v>
      </c>
      <c r="CG59" s="3">
        <v>9011265</v>
      </c>
      <c r="CH59" s="37">
        <v>1866360</v>
      </c>
      <c r="CI59" s="37">
        <v>2121327</v>
      </c>
      <c r="CJ59" s="37">
        <v>1897879</v>
      </c>
      <c r="CK59" s="42">
        <v>13119163</v>
      </c>
      <c r="CL59" s="40">
        <v>9162106</v>
      </c>
      <c r="CM59" s="41">
        <v>1899710</v>
      </c>
      <c r="CN59" s="41">
        <v>2057347</v>
      </c>
      <c r="CO59" s="41">
        <v>1905296</v>
      </c>
      <c r="CP59" s="42">
        <v>12993461</v>
      </c>
      <c r="CQ59" s="356">
        <v>8988658</v>
      </c>
      <c r="CR59" s="356">
        <v>1897917</v>
      </c>
      <c r="CS59" s="41">
        <v>2106886</v>
      </c>
      <c r="CT59" s="356">
        <v>1981336</v>
      </c>
      <c r="CU59" s="42">
        <v>13095501</v>
      </c>
      <c r="CV59" s="356">
        <v>8989777</v>
      </c>
      <c r="CW59" s="356">
        <v>1913105</v>
      </c>
      <c r="CX59" s="215">
        <f t="shared" si="115"/>
        <v>2192619</v>
      </c>
      <c r="CY59" s="419">
        <v>2033519</v>
      </c>
      <c r="CZ59" s="37">
        <v>13205241</v>
      </c>
      <c r="DA59" s="37">
        <v>8077133</v>
      </c>
      <c r="DB59" s="37">
        <v>1927835</v>
      </c>
      <c r="DC59" s="37">
        <v>2278731</v>
      </c>
      <c r="DD59" s="371">
        <v>2081458</v>
      </c>
      <c r="DE59" s="37">
        <v>13319715</v>
      </c>
      <c r="DF59" s="37">
        <v>8088223</v>
      </c>
      <c r="DG59" s="1">
        <v>1953447</v>
      </c>
      <c r="DH59" s="37">
        <v>2340009</v>
      </c>
      <c r="DI59" s="37">
        <v>2125509</v>
      </c>
      <c r="DJ59" s="37">
        <v>13539612</v>
      </c>
      <c r="DK59" s="37">
        <v>8064876</v>
      </c>
      <c r="DL59" s="37">
        <v>2011027</v>
      </c>
      <c r="DM59" s="669">
        <v>2505681</v>
      </c>
      <c r="DN59" s="37">
        <v>2225471</v>
      </c>
      <c r="DO59" s="507">
        <v>13641473</v>
      </c>
      <c r="DP59" s="37">
        <v>8044662</v>
      </c>
      <c r="DQ59" s="37">
        <v>2016296</v>
      </c>
      <c r="DR59" s="338">
        <v>2574587</v>
      </c>
      <c r="DS59" s="37">
        <v>2276885</v>
      </c>
      <c r="DT59" s="507">
        <v>13653592</v>
      </c>
      <c r="DU59" s="37">
        <v>8003987</v>
      </c>
      <c r="DV59" s="37">
        <v>2045692</v>
      </c>
      <c r="DW59" s="338">
        <v>2598641</v>
      </c>
      <c r="DX59" s="37">
        <v>2299307</v>
      </c>
      <c r="DY59" s="1">
        <v>1188298</v>
      </c>
      <c r="DZ59" s="1">
        <v>6144</v>
      </c>
      <c r="EA59" s="1">
        <v>47709</v>
      </c>
      <c r="EB59" s="1">
        <v>278812</v>
      </c>
      <c r="EC59" s="701">
        <v>1077678</v>
      </c>
      <c r="ED59" s="542">
        <v>13821132</v>
      </c>
      <c r="EE59" s="37">
        <v>8022627</v>
      </c>
      <c r="EF59" s="28">
        <v>2098464</v>
      </c>
      <c r="EG59" s="304">
        <v>2688581</v>
      </c>
      <c r="EH59" s="37">
        <v>2365690</v>
      </c>
      <c r="EI59" s="542">
        <v>13672343</v>
      </c>
      <c r="EJ59" s="37"/>
      <c r="EK59" s="28"/>
      <c r="EM59" s="37"/>
      <c r="EN59" s="37">
        <v>13664734</v>
      </c>
      <c r="EO59" s="37">
        <v>7894691</v>
      </c>
      <c r="EP59" s="28">
        <v>2097135</v>
      </c>
      <c r="EQ59" s="304">
        <v>2651809</v>
      </c>
      <c r="ER59" s="37">
        <v>2359532</v>
      </c>
      <c r="ES59" s="37">
        <v>13987094</v>
      </c>
      <c r="ET59" s="37">
        <v>7854476</v>
      </c>
      <c r="EU59" s="28">
        <v>1935136</v>
      </c>
      <c r="EV59" s="304">
        <v>3934875</v>
      </c>
      <c r="EW59" s="37">
        <v>2461571</v>
      </c>
      <c r="EX59" s="1">
        <v>1247977</v>
      </c>
      <c r="EZ59" s="1">
        <v>76321</v>
      </c>
      <c r="FA59" s="1">
        <v>1291600</v>
      </c>
      <c r="FB59" s="701">
        <v>1318977</v>
      </c>
    </row>
    <row r="60" spans="1:158" ht="15.6">
      <c r="A60" s="38" t="s">
        <v>58</v>
      </c>
      <c r="B60" s="3"/>
      <c r="C60" s="17"/>
      <c r="D60" s="37">
        <v>6605713</v>
      </c>
      <c r="E60" s="37">
        <v>2932677</v>
      </c>
      <c r="F60" s="37">
        <v>3215041</v>
      </c>
      <c r="G60" s="37">
        <v>215620</v>
      </c>
      <c r="H60" s="37">
        <v>242375</v>
      </c>
      <c r="I60" s="68">
        <v>6689938</v>
      </c>
      <c r="J60" s="92">
        <f t="shared" si="104"/>
        <v>6165323</v>
      </c>
      <c r="K60" s="37">
        <v>2877021</v>
      </c>
      <c r="L60" s="37">
        <v>3288302</v>
      </c>
      <c r="M60" s="92">
        <f t="shared" si="105"/>
        <v>505902</v>
      </c>
      <c r="N60" s="37">
        <v>226900</v>
      </c>
      <c r="O60" s="37">
        <v>279002</v>
      </c>
      <c r="P60" s="92">
        <f t="shared" si="106"/>
        <v>14809</v>
      </c>
      <c r="Q60" s="37">
        <v>7865</v>
      </c>
      <c r="R60" s="37">
        <v>6944</v>
      </c>
      <c r="S60" s="68">
        <v>7240244</v>
      </c>
      <c r="T60" s="90">
        <f t="shared" si="107"/>
        <v>6569880</v>
      </c>
      <c r="U60" s="37">
        <v>3046937</v>
      </c>
      <c r="V60" s="37">
        <v>3522943</v>
      </c>
      <c r="W60" s="90">
        <f t="shared" si="108"/>
        <v>556745</v>
      </c>
      <c r="X60" s="37">
        <v>242051</v>
      </c>
      <c r="Y60" s="37">
        <v>314694</v>
      </c>
      <c r="Z60" s="90">
        <f t="shared" si="109"/>
        <v>67281</v>
      </c>
      <c r="AA60" s="37">
        <v>32809</v>
      </c>
      <c r="AB60" s="37">
        <v>34472</v>
      </c>
      <c r="AC60" s="92">
        <v>44003</v>
      </c>
      <c r="AD60" s="92">
        <v>20501</v>
      </c>
      <c r="AE60" s="92">
        <v>23502</v>
      </c>
      <c r="AF60" s="68">
        <v>7872932</v>
      </c>
      <c r="AG60" s="3">
        <v>7093821</v>
      </c>
      <c r="AH60" s="55">
        <f t="shared" si="110"/>
        <v>7046175</v>
      </c>
      <c r="AI60" s="37">
        <v>3281952</v>
      </c>
      <c r="AJ60" s="37">
        <v>3764223</v>
      </c>
      <c r="AK60" s="3">
        <v>642101</v>
      </c>
      <c r="AL60" s="55">
        <f t="shared" si="111"/>
        <v>636329</v>
      </c>
      <c r="AM60" s="37">
        <v>278883</v>
      </c>
      <c r="AN60" s="37">
        <v>357446</v>
      </c>
      <c r="AO60" s="3">
        <v>105723</v>
      </c>
      <c r="AP60" s="37">
        <v>52386</v>
      </c>
      <c r="AQ60" s="37">
        <v>53337</v>
      </c>
      <c r="AR60" s="53">
        <f t="shared" si="112"/>
        <v>84705</v>
      </c>
      <c r="AS60" s="68">
        <v>8266284</v>
      </c>
      <c r="AT60" s="3">
        <v>7251898</v>
      </c>
      <c r="AU60" s="115">
        <v>3415089</v>
      </c>
      <c r="AV60" s="115">
        <v>3836809</v>
      </c>
      <c r="AW60" s="55">
        <f t="shared" si="113"/>
        <v>7167883</v>
      </c>
      <c r="AX60" s="37">
        <v>3372764</v>
      </c>
      <c r="AY60" s="37">
        <v>3795119</v>
      </c>
      <c r="AZ60" s="3">
        <v>712522</v>
      </c>
      <c r="BA60" s="37">
        <v>317065</v>
      </c>
      <c r="BB60" s="37">
        <v>395457</v>
      </c>
      <c r="BC60" s="3">
        <v>190906</v>
      </c>
      <c r="BD60" s="37">
        <v>95472</v>
      </c>
      <c r="BE60" s="37">
        <v>95434</v>
      </c>
      <c r="BF60" s="92">
        <v>301864</v>
      </c>
      <c r="BG60" s="92">
        <v>147352</v>
      </c>
      <c r="BH60" s="92">
        <v>154512</v>
      </c>
      <c r="BI60" s="68">
        <v>8604107</v>
      </c>
      <c r="BJ60" s="37">
        <v>4094268</v>
      </c>
      <c r="BK60" s="37">
        <v>4509839</v>
      </c>
      <c r="BL60" s="37">
        <v>7365132</v>
      </c>
      <c r="BM60" s="37">
        <v>3521133</v>
      </c>
      <c r="BN60" s="37">
        <v>3843999</v>
      </c>
      <c r="BO60" s="37">
        <v>7171347</v>
      </c>
      <c r="BP60" s="37">
        <v>3422518</v>
      </c>
      <c r="BQ60" s="37">
        <v>3748829</v>
      </c>
      <c r="BR60" s="37">
        <v>809294</v>
      </c>
      <c r="BS60" s="37">
        <v>366659</v>
      </c>
      <c r="BT60" s="37">
        <v>442635</v>
      </c>
      <c r="BU60" s="37">
        <v>345692</v>
      </c>
      <c r="BV60" s="37">
        <v>173492</v>
      </c>
      <c r="BW60" s="37">
        <v>172200</v>
      </c>
      <c r="BX60" s="92">
        <f t="shared" si="114"/>
        <v>429681</v>
      </c>
      <c r="BY60" s="37">
        <v>206476</v>
      </c>
      <c r="BZ60" s="37">
        <v>223205</v>
      </c>
      <c r="CA60" s="125">
        <v>8404685</v>
      </c>
      <c r="CB60" s="38">
        <v>7134421</v>
      </c>
      <c r="CC60" s="37">
        <v>760573</v>
      </c>
      <c r="CD60" s="37">
        <v>382227</v>
      </c>
      <c r="CE60" s="37">
        <v>272999</v>
      </c>
      <c r="CF60" s="68">
        <v>8439935</v>
      </c>
      <c r="CG60" s="3">
        <v>7283363</v>
      </c>
      <c r="CH60" s="37">
        <v>766713</v>
      </c>
      <c r="CI60" s="37">
        <v>389859</v>
      </c>
      <c r="CJ60" s="37">
        <v>287877</v>
      </c>
      <c r="CK60" s="42">
        <v>8560797</v>
      </c>
      <c r="CL60" s="40">
        <v>7382791</v>
      </c>
      <c r="CM60" s="41">
        <v>782228</v>
      </c>
      <c r="CN60" s="41">
        <v>395778</v>
      </c>
      <c r="CO60" s="41">
        <v>309817</v>
      </c>
      <c r="CP60" s="42">
        <v>8604107</v>
      </c>
      <c r="CQ60" s="356">
        <v>7365132</v>
      </c>
      <c r="CR60" s="356">
        <v>809294</v>
      </c>
      <c r="CS60" s="41">
        <v>429681</v>
      </c>
      <c r="CT60" s="356">
        <v>345692</v>
      </c>
      <c r="CU60" s="42">
        <v>8662492</v>
      </c>
      <c r="CV60" s="356">
        <v>7393266</v>
      </c>
      <c r="CW60" s="356">
        <v>823639</v>
      </c>
      <c r="CX60" s="215">
        <f t="shared" si="115"/>
        <v>445587</v>
      </c>
      <c r="CY60" s="419">
        <v>364850</v>
      </c>
      <c r="CZ60" s="37">
        <v>8708982</v>
      </c>
      <c r="DA60" s="37">
        <v>7196304</v>
      </c>
      <c r="DB60" s="37">
        <v>834775</v>
      </c>
      <c r="DC60" s="37">
        <v>461484</v>
      </c>
      <c r="DD60" s="371">
        <v>382140</v>
      </c>
      <c r="DE60" s="37">
        <v>8764132</v>
      </c>
      <c r="DF60" s="37">
        <v>7210730</v>
      </c>
      <c r="DG60" s="1">
        <v>845396</v>
      </c>
      <c r="DH60" s="37">
        <v>485450</v>
      </c>
      <c r="DI60" s="37">
        <v>401015</v>
      </c>
      <c r="DJ60" s="37">
        <v>8858865</v>
      </c>
      <c r="DK60" s="37">
        <v>7212756</v>
      </c>
      <c r="DL60" s="37">
        <v>872803</v>
      </c>
      <c r="DM60" s="669">
        <v>519530</v>
      </c>
      <c r="DN60" s="37">
        <v>434183</v>
      </c>
      <c r="DO60" s="507">
        <v>8895727</v>
      </c>
      <c r="DP60" s="37">
        <v>7213275</v>
      </c>
      <c r="DQ60" s="37">
        <v>878088</v>
      </c>
      <c r="DR60" s="338">
        <v>541411</v>
      </c>
      <c r="DS60" s="37">
        <v>451762</v>
      </c>
      <c r="DT60" s="507">
        <v>8921975</v>
      </c>
      <c r="DU60" s="37">
        <v>7197043</v>
      </c>
      <c r="DV60" s="37">
        <v>886334</v>
      </c>
      <c r="DW60" s="338">
        <v>564059</v>
      </c>
      <c r="DX60" s="37">
        <v>472845</v>
      </c>
      <c r="DY60" s="1">
        <v>281606</v>
      </c>
      <c r="DZ60" s="1">
        <v>0</v>
      </c>
      <c r="EA60" s="1">
        <v>15118</v>
      </c>
      <c r="EB60" s="1">
        <v>123968</v>
      </c>
      <c r="EC60" s="701">
        <v>143367</v>
      </c>
      <c r="ED60" s="542">
        <v>8960842</v>
      </c>
      <c r="EE60" s="37">
        <v>7181183</v>
      </c>
      <c r="EF60" s="28">
        <v>904357</v>
      </c>
      <c r="EG60" s="304">
        <v>571017</v>
      </c>
      <c r="EH60" s="37">
        <v>497044</v>
      </c>
      <c r="EI60" s="542">
        <v>8994627</v>
      </c>
      <c r="EJ60" s="37"/>
      <c r="EK60" s="28"/>
      <c r="EM60" s="37"/>
      <c r="EN60" s="37">
        <v>9028036</v>
      </c>
      <c r="EO60" s="37">
        <v>7155025</v>
      </c>
      <c r="EP60" s="28">
        <v>931454</v>
      </c>
      <c r="EQ60" s="304">
        <v>654641</v>
      </c>
      <c r="ER60" s="37">
        <v>544225</v>
      </c>
      <c r="ES60" s="37">
        <v>9161945</v>
      </c>
      <c r="ET60" s="37">
        <v>7089488</v>
      </c>
      <c r="EU60" s="28">
        <v>891751</v>
      </c>
      <c r="EV60" s="304">
        <v>1089251</v>
      </c>
      <c r="EW60" s="37">
        <v>591292</v>
      </c>
      <c r="EX60" s="1">
        <v>326953</v>
      </c>
      <c r="EZ60" s="1">
        <v>15103</v>
      </c>
      <c r="FA60" s="1">
        <v>453240</v>
      </c>
      <c r="FB60" s="701">
        <v>293955</v>
      </c>
    </row>
    <row r="61" spans="1:158" ht="15.6">
      <c r="A61" s="38" t="s">
        <v>59</v>
      </c>
      <c r="B61" s="3"/>
      <c r="C61" s="17"/>
      <c r="D61" s="37">
        <v>498159</v>
      </c>
      <c r="E61" s="37">
        <v>229413</v>
      </c>
      <c r="F61" s="37">
        <v>259386</v>
      </c>
      <c r="G61" s="37">
        <v>4822</v>
      </c>
      <c r="H61" s="37">
        <v>4538</v>
      </c>
      <c r="I61" s="68">
        <v>524082</v>
      </c>
      <c r="J61" s="92">
        <f t="shared" si="104"/>
        <v>509738</v>
      </c>
      <c r="K61" s="37">
        <v>236938</v>
      </c>
      <c r="L61" s="37">
        <v>272800</v>
      </c>
      <c r="M61" s="92">
        <f t="shared" si="105"/>
        <v>11088</v>
      </c>
      <c r="N61" s="37">
        <v>5179</v>
      </c>
      <c r="O61" s="37">
        <v>5909</v>
      </c>
      <c r="P61" s="92">
        <f t="shared" si="106"/>
        <v>2784</v>
      </c>
      <c r="Q61" s="37">
        <v>1438</v>
      </c>
      <c r="R61" s="37">
        <v>1346</v>
      </c>
      <c r="S61" s="68">
        <v>575243</v>
      </c>
      <c r="T61" s="90">
        <f t="shared" si="107"/>
        <v>546826</v>
      </c>
      <c r="U61" s="37">
        <v>250843</v>
      </c>
      <c r="V61" s="37">
        <v>295983</v>
      </c>
      <c r="W61" s="90">
        <f t="shared" si="108"/>
        <v>12487</v>
      </c>
      <c r="X61" s="37">
        <v>5858</v>
      </c>
      <c r="Y61" s="37">
        <v>6629</v>
      </c>
      <c r="Z61" s="90">
        <f t="shared" si="109"/>
        <v>9228</v>
      </c>
      <c r="AA61" s="37">
        <v>4438</v>
      </c>
      <c r="AB61" s="37">
        <v>4790</v>
      </c>
      <c r="AC61" s="92">
        <v>4625</v>
      </c>
      <c r="AD61" s="92">
        <v>2095</v>
      </c>
      <c r="AE61" s="92">
        <v>2530</v>
      </c>
      <c r="AF61" s="68">
        <v>658956</v>
      </c>
      <c r="AG61" s="3">
        <v>615822</v>
      </c>
      <c r="AH61" s="55">
        <f t="shared" si="110"/>
        <v>605366</v>
      </c>
      <c r="AI61" s="37">
        <v>280303</v>
      </c>
      <c r="AJ61" s="37">
        <v>325063</v>
      </c>
      <c r="AK61" s="3">
        <v>20042</v>
      </c>
      <c r="AL61" s="55">
        <f t="shared" si="111"/>
        <v>18131</v>
      </c>
      <c r="AM61" s="37">
        <v>8756</v>
      </c>
      <c r="AN61" s="37">
        <v>9375</v>
      </c>
      <c r="AO61" s="3">
        <v>21432</v>
      </c>
      <c r="AP61" s="37">
        <v>10519</v>
      </c>
      <c r="AQ61" s="37">
        <v>10913</v>
      </c>
      <c r="AR61" s="53">
        <f t="shared" si="112"/>
        <v>14027</v>
      </c>
      <c r="AS61" s="68">
        <v>694573</v>
      </c>
      <c r="AT61" s="3">
        <v>615023</v>
      </c>
      <c r="AU61" s="115">
        <v>285683</v>
      </c>
      <c r="AV61" s="115">
        <v>329340</v>
      </c>
      <c r="AW61" s="55">
        <f t="shared" si="113"/>
        <v>599057</v>
      </c>
      <c r="AX61" s="37">
        <v>278238</v>
      </c>
      <c r="AY61" s="37">
        <v>320819</v>
      </c>
      <c r="AZ61" s="3">
        <v>24358</v>
      </c>
      <c r="BA61" s="37">
        <v>11660</v>
      </c>
      <c r="BB61" s="37">
        <v>12698</v>
      </c>
      <c r="BC61" s="3">
        <v>42790</v>
      </c>
      <c r="BD61" s="37">
        <v>19796</v>
      </c>
      <c r="BE61" s="37">
        <v>22994</v>
      </c>
      <c r="BF61" s="92">
        <v>55192</v>
      </c>
      <c r="BG61" s="92">
        <v>25618</v>
      </c>
      <c r="BH61" s="92">
        <v>29574</v>
      </c>
      <c r="BI61" s="68">
        <v>708650</v>
      </c>
      <c r="BJ61" s="37">
        <v>333191</v>
      </c>
      <c r="BK61" s="37">
        <v>375459</v>
      </c>
      <c r="BL61" s="37">
        <v>607044</v>
      </c>
      <c r="BM61" s="37">
        <v>284970</v>
      </c>
      <c r="BN61" s="37">
        <v>322074</v>
      </c>
      <c r="BO61" s="37">
        <v>579512</v>
      </c>
      <c r="BP61" s="37">
        <v>271839</v>
      </c>
      <c r="BQ61" s="37">
        <v>307673</v>
      </c>
      <c r="BR61" s="37">
        <v>34761</v>
      </c>
      <c r="BS61" s="37">
        <v>16828</v>
      </c>
      <c r="BT61" s="37">
        <v>17933</v>
      </c>
      <c r="BU61" s="37">
        <v>65014</v>
      </c>
      <c r="BV61" s="37">
        <v>30813</v>
      </c>
      <c r="BW61" s="37">
        <v>34201</v>
      </c>
      <c r="BX61" s="92">
        <f t="shared" si="114"/>
        <v>66845</v>
      </c>
      <c r="BY61" s="37">
        <v>31393</v>
      </c>
      <c r="BZ61" s="37">
        <v>35452</v>
      </c>
      <c r="CA61" s="125">
        <v>711837</v>
      </c>
      <c r="CB61" s="38">
        <v>592286</v>
      </c>
      <c r="CC61" s="37">
        <v>31553</v>
      </c>
      <c r="CD61" s="37">
        <v>66502</v>
      </c>
      <c r="CE61" s="37">
        <v>60235</v>
      </c>
      <c r="CF61" s="68">
        <v>708457</v>
      </c>
      <c r="CG61" s="3">
        <v>611585</v>
      </c>
      <c r="CH61" s="37">
        <v>32115</v>
      </c>
      <c r="CI61" s="37">
        <v>64757</v>
      </c>
      <c r="CJ61" s="37">
        <v>61673</v>
      </c>
      <c r="CK61" s="42">
        <v>714086</v>
      </c>
      <c r="CL61" s="40">
        <v>616236</v>
      </c>
      <c r="CM61" s="41">
        <v>33234</v>
      </c>
      <c r="CN61" s="41">
        <v>64616</v>
      </c>
      <c r="CO61" s="41">
        <v>64382</v>
      </c>
      <c r="CP61" s="42">
        <v>708650</v>
      </c>
      <c r="CQ61" s="356">
        <v>607044</v>
      </c>
      <c r="CR61" s="356">
        <v>34761</v>
      </c>
      <c r="CS61" s="41">
        <v>66845</v>
      </c>
      <c r="CT61" s="356">
        <v>65014</v>
      </c>
      <c r="CU61" s="42">
        <v>709399</v>
      </c>
      <c r="CV61" s="356">
        <v>606344</v>
      </c>
      <c r="CW61" s="356">
        <v>34605</v>
      </c>
      <c r="CX61" s="215">
        <f t="shared" si="115"/>
        <v>68450</v>
      </c>
      <c r="CY61" s="419">
        <v>67206</v>
      </c>
      <c r="CZ61" s="37">
        <v>710902</v>
      </c>
      <c r="DA61" s="37">
        <v>575532</v>
      </c>
      <c r="DB61" s="37">
        <v>36846</v>
      </c>
      <c r="DC61" s="37">
        <v>68220</v>
      </c>
      <c r="DD61" s="371">
        <v>69032</v>
      </c>
      <c r="DE61" s="37">
        <v>714525</v>
      </c>
      <c r="DF61" s="37">
        <v>574641</v>
      </c>
      <c r="DG61" s="1">
        <v>38449</v>
      </c>
      <c r="DH61" s="37">
        <v>69621</v>
      </c>
      <c r="DI61" s="37">
        <v>71427</v>
      </c>
      <c r="DJ61" s="37">
        <v>725871</v>
      </c>
      <c r="DK61" s="37">
        <v>574891</v>
      </c>
      <c r="DL61" s="37">
        <v>40405</v>
      </c>
      <c r="DM61" s="669">
        <v>67710</v>
      </c>
      <c r="DN61" s="37">
        <v>78192</v>
      </c>
      <c r="DO61" s="507">
        <v>730083</v>
      </c>
      <c r="DP61" s="37">
        <v>573543</v>
      </c>
      <c r="DQ61" s="37">
        <v>40153</v>
      </c>
      <c r="DR61" s="338">
        <v>74060</v>
      </c>
      <c r="DS61" s="37">
        <v>81214</v>
      </c>
      <c r="DT61" s="507">
        <v>734045</v>
      </c>
      <c r="DU61" s="37">
        <v>572510</v>
      </c>
      <c r="DV61" s="37">
        <v>41620</v>
      </c>
      <c r="DW61" s="338">
        <v>70604</v>
      </c>
      <c r="DX61" s="37">
        <v>84781</v>
      </c>
      <c r="DY61" s="1">
        <v>22693</v>
      </c>
      <c r="DZ61" s="1">
        <v>0</v>
      </c>
      <c r="EA61" s="1">
        <v>0</v>
      </c>
      <c r="EB61" s="1">
        <v>13890</v>
      </c>
      <c r="EC61" s="701">
        <v>34021</v>
      </c>
      <c r="ED61" s="542">
        <v>736969</v>
      </c>
      <c r="EE61" s="37">
        <v>570790</v>
      </c>
      <c r="EF61" s="28">
        <v>38569</v>
      </c>
      <c r="EG61" s="304">
        <v>66869</v>
      </c>
      <c r="EH61" s="37">
        <v>89333</v>
      </c>
      <c r="EI61" s="542">
        <v>740695</v>
      </c>
      <c r="EJ61" s="37"/>
      <c r="EK61" s="28"/>
      <c r="EM61" s="37"/>
      <c r="EN61" s="37">
        <v>746952</v>
      </c>
      <c r="EO61" s="37">
        <v>565077</v>
      </c>
      <c r="EP61" s="28">
        <v>49190</v>
      </c>
      <c r="EQ61" s="304">
        <v>80864</v>
      </c>
      <c r="ER61" s="37">
        <v>97435</v>
      </c>
      <c r="ES61" s="37">
        <v>773464</v>
      </c>
      <c r="ET61" s="37">
        <v>573826</v>
      </c>
      <c r="EU61" s="28">
        <v>34576</v>
      </c>
      <c r="EV61" s="304">
        <v>153481</v>
      </c>
      <c r="EW61" s="37">
        <v>106772</v>
      </c>
      <c r="EX61" s="1">
        <v>23320</v>
      </c>
      <c r="FA61" s="1">
        <v>71284</v>
      </c>
      <c r="FB61" s="701">
        <v>58877</v>
      </c>
    </row>
    <row r="62" spans="1:158" ht="15.6">
      <c r="A62" s="140" t="s">
        <v>60</v>
      </c>
      <c r="B62" s="158"/>
      <c r="C62" s="17"/>
      <c r="D62" s="265">
        <v>212906</v>
      </c>
      <c r="E62" s="265">
        <v>101344</v>
      </c>
      <c r="F62" s="265">
        <v>111119</v>
      </c>
      <c r="G62" s="265">
        <v>242</v>
      </c>
      <c r="H62" s="265">
        <v>201</v>
      </c>
      <c r="I62" s="266">
        <v>232643</v>
      </c>
      <c r="J62" s="267">
        <f t="shared" si="104"/>
        <v>231908</v>
      </c>
      <c r="K62" s="265">
        <v>109903</v>
      </c>
      <c r="L62" s="265">
        <v>122005</v>
      </c>
      <c r="M62" s="267">
        <f t="shared" si="105"/>
        <v>347</v>
      </c>
      <c r="N62" s="265">
        <v>178</v>
      </c>
      <c r="O62" s="265">
        <v>169</v>
      </c>
      <c r="P62" s="267">
        <f t="shared" si="106"/>
        <v>1228</v>
      </c>
      <c r="Q62" s="265">
        <v>601</v>
      </c>
      <c r="R62" s="265">
        <v>627</v>
      </c>
      <c r="S62" s="68">
        <v>295051</v>
      </c>
      <c r="T62" s="165">
        <f t="shared" si="107"/>
        <v>291580</v>
      </c>
      <c r="U62" s="265">
        <v>138034</v>
      </c>
      <c r="V62" s="265">
        <v>153546</v>
      </c>
      <c r="W62" s="165">
        <f t="shared" si="108"/>
        <v>482</v>
      </c>
      <c r="X62" s="265">
        <v>298</v>
      </c>
      <c r="Y62" s="265">
        <v>184</v>
      </c>
      <c r="Z62" s="165">
        <f t="shared" si="109"/>
        <v>1625</v>
      </c>
      <c r="AA62" s="265">
        <v>787</v>
      </c>
      <c r="AB62" s="265">
        <v>838</v>
      </c>
      <c r="AC62" s="267">
        <v>1314</v>
      </c>
      <c r="AD62" s="267">
        <v>531</v>
      </c>
      <c r="AE62" s="267">
        <v>783</v>
      </c>
      <c r="AF62" s="266">
        <v>357245</v>
      </c>
      <c r="AG62" s="158">
        <v>353471</v>
      </c>
      <c r="AH62" s="165">
        <f t="shared" si="110"/>
        <v>351878</v>
      </c>
      <c r="AI62" s="265">
        <v>167689</v>
      </c>
      <c r="AJ62" s="265">
        <v>184189</v>
      </c>
      <c r="AK62" s="158">
        <v>937</v>
      </c>
      <c r="AL62" s="165">
        <f t="shared" si="111"/>
        <v>907</v>
      </c>
      <c r="AM62" s="265">
        <v>558</v>
      </c>
      <c r="AN62" s="265">
        <v>349</v>
      </c>
      <c r="AO62" s="158">
        <v>1886</v>
      </c>
      <c r="AP62" s="265">
        <v>959</v>
      </c>
      <c r="AQ62" s="265">
        <v>927</v>
      </c>
      <c r="AR62" s="274">
        <f t="shared" si="112"/>
        <v>2574</v>
      </c>
      <c r="AS62" s="266">
        <v>404223</v>
      </c>
      <c r="AT62" s="158">
        <v>394187</v>
      </c>
      <c r="AU62" s="269">
        <v>188564</v>
      </c>
      <c r="AV62" s="269">
        <v>205623</v>
      </c>
      <c r="AW62" s="165">
        <f t="shared" si="113"/>
        <v>392309</v>
      </c>
      <c r="AX62" s="265">
        <v>187656</v>
      </c>
      <c r="AY62" s="265">
        <v>204653</v>
      </c>
      <c r="AZ62" s="158">
        <v>1275</v>
      </c>
      <c r="BA62" s="265">
        <v>764</v>
      </c>
      <c r="BB62" s="265">
        <v>511</v>
      </c>
      <c r="BC62" s="158">
        <v>2572</v>
      </c>
      <c r="BD62" s="265">
        <v>1223</v>
      </c>
      <c r="BE62" s="265">
        <v>1349</v>
      </c>
      <c r="BF62" s="267">
        <v>8761</v>
      </c>
      <c r="BG62" s="267">
        <v>4019</v>
      </c>
      <c r="BH62" s="267">
        <v>4742</v>
      </c>
      <c r="BI62" s="266">
        <v>429010</v>
      </c>
      <c r="BJ62" s="265">
        <v>206921</v>
      </c>
      <c r="BK62" s="265">
        <v>222089</v>
      </c>
      <c r="BL62" s="265">
        <v>414853</v>
      </c>
      <c r="BM62" s="265">
        <v>200005</v>
      </c>
      <c r="BN62" s="265">
        <v>214848</v>
      </c>
      <c r="BO62" s="265">
        <v>411211</v>
      </c>
      <c r="BP62" s="265">
        <v>198151</v>
      </c>
      <c r="BQ62" s="265">
        <v>213060</v>
      </c>
      <c r="BR62" s="265">
        <v>2814</v>
      </c>
      <c r="BS62" s="265">
        <v>1611</v>
      </c>
      <c r="BT62" s="265">
        <v>1203</v>
      </c>
      <c r="BU62" s="265">
        <v>4839</v>
      </c>
      <c r="BV62" s="265">
        <v>2575</v>
      </c>
      <c r="BW62" s="265">
        <v>2264</v>
      </c>
      <c r="BX62" s="267">
        <f t="shared" si="114"/>
        <v>11343</v>
      </c>
      <c r="BY62" s="265">
        <v>5305</v>
      </c>
      <c r="BZ62" s="265">
        <v>6038</v>
      </c>
      <c r="CA62" s="270">
        <v>424832</v>
      </c>
      <c r="CB62" s="38">
        <v>409739</v>
      </c>
      <c r="CC62" s="265">
        <v>1741</v>
      </c>
      <c r="CD62" s="265">
        <v>9160</v>
      </c>
      <c r="CE62" s="265">
        <v>4311</v>
      </c>
      <c r="CF62" s="266">
        <v>427462</v>
      </c>
      <c r="CG62" s="158">
        <v>414717</v>
      </c>
      <c r="CH62" s="265">
        <v>2330</v>
      </c>
      <c r="CI62" s="265">
        <v>10415</v>
      </c>
      <c r="CJ62" s="265">
        <v>4473</v>
      </c>
      <c r="CK62" s="161">
        <v>423497</v>
      </c>
      <c r="CL62" s="162">
        <v>410671</v>
      </c>
      <c r="CM62" s="162">
        <v>2273</v>
      </c>
      <c r="CN62" s="162">
        <v>10553</v>
      </c>
      <c r="CO62" s="162">
        <v>4874</v>
      </c>
      <c r="CP62" s="161">
        <v>429010</v>
      </c>
      <c r="CQ62" s="356">
        <v>414853</v>
      </c>
      <c r="CR62" s="356">
        <v>2814</v>
      </c>
      <c r="CS62" s="41">
        <v>11343</v>
      </c>
      <c r="CT62" s="356">
        <v>4839</v>
      </c>
      <c r="CU62" s="161">
        <v>431850</v>
      </c>
      <c r="CV62" s="356">
        <v>417024</v>
      </c>
      <c r="CW62" s="356"/>
      <c r="CX62" s="215">
        <f t="shared" si="115"/>
        <v>14826</v>
      </c>
      <c r="CY62" s="419"/>
      <c r="CZ62" s="266">
        <v>433835</v>
      </c>
      <c r="DA62" s="265">
        <v>414997</v>
      </c>
      <c r="DB62" s="265">
        <v>2899</v>
      </c>
      <c r="DC62" s="265">
        <v>12086</v>
      </c>
      <c r="DD62" s="372">
        <v>4670</v>
      </c>
      <c r="DE62" s="37">
        <v>435144</v>
      </c>
      <c r="DF62" s="37">
        <v>415536</v>
      </c>
      <c r="DG62" s="1">
        <v>3212</v>
      </c>
      <c r="DH62" s="37">
        <v>26822</v>
      </c>
      <c r="DI62" s="37">
        <v>5240</v>
      </c>
      <c r="DJ62" s="37">
        <v>438279</v>
      </c>
      <c r="DK62" s="37">
        <v>414659</v>
      </c>
      <c r="DL62" s="37">
        <v>3167</v>
      </c>
      <c r="DM62" s="669">
        <v>12656</v>
      </c>
      <c r="DN62" s="37">
        <v>5541</v>
      </c>
      <c r="DO62" s="507">
        <v>438654</v>
      </c>
      <c r="DP62" s="37">
        <v>416024</v>
      </c>
      <c r="DQ62" s="37">
        <v>4006</v>
      </c>
      <c r="DR62" s="338">
        <v>10960</v>
      </c>
      <c r="DS62" s="37">
        <v>5542</v>
      </c>
      <c r="DT62" s="507">
        <v>439563</v>
      </c>
      <c r="DU62" s="37">
        <v>415204</v>
      </c>
      <c r="DV62" s="37"/>
      <c r="DW62" s="338">
        <v>12300</v>
      </c>
      <c r="DX62" s="37">
        <v>6269</v>
      </c>
      <c r="DY62" s="1">
        <v>6184</v>
      </c>
      <c r="DZ62" s="1">
        <v>0</v>
      </c>
      <c r="EA62" s="1">
        <v>0</v>
      </c>
      <c r="EB62" s="1">
        <v>6116</v>
      </c>
      <c r="EC62" s="701"/>
      <c r="ED62" s="542">
        <v>439267</v>
      </c>
      <c r="EE62" s="37">
        <v>415798</v>
      </c>
      <c r="EF62" s="28">
        <v>0</v>
      </c>
      <c r="EG62" s="304">
        <v>12641</v>
      </c>
      <c r="EH62" s="37">
        <v>5641</v>
      </c>
      <c r="EI62" s="542">
        <v>445824</v>
      </c>
      <c r="EJ62" s="37"/>
      <c r="EK62" s="28"/>
      <c r="EM62" s="37"/>
      <c r="EN62" s="37">
        <v>445558</v>
      </c>
      <c r="EO62" s="37">
        <v>418747</v>
      </c>
      <c r="EP62" s="28">
        <v>5756</v>
      </c>
      <c r="EQ62" s="304">
        <v>7602</v>
      </c>
      <c r="ER62" s="37">
        <v>5638</v>
      </c>
      <c r="ES62" s="37">
        <v>462705</v>
      </c>
      <c r="ET62" s="37">
        <v>427504</v>
      </c>
      <c r="EU62" s="28">
        <v>3720</v>
      </c>
      <c r="EV62" s="304">
        <v>25521</v>
      </c>
      <c r="EW62" s="37">
        <v>8573</v>
      </c>
      <c r="EX62" s="1">
        <v>7344</v>
      </c>
      <c r="FA62" s="1">
        <v>18177</v>
      </c>
      <c r="FB62" s="701"/>
    </row>
    <row r="63" spans="1:158" ht="15.6">
      <c r="A63" s="88" t="s">
        <v>61</v>
      </c>
      <c r="B63" s="150"/>
      <c r="C63" s="150"/>
      <c r="D63" s="275">
        <v>460797</v>
      </c>
      <c r="E63" s="275">
        <v>105258</v>
      </c>
      <c r="F63" s="275">
        <v>133448</v>
      </c>
      <c r="G63" s="275">
        <v>104300</v>
      </c>
      <c r="H63" s="275">
        <v>117791</v>
      </c>
      <c r="I63" s="133">
        <v>423051</v>
      </c>
      <c r="J63" s="276">
        <f t="shared" si="104"/>
        <v>149346</v>
      </c>
      <c r="K63" s="275">
        <v>65368</v>
      </c>
      <c r="L63" s="275">
        <v>83978</v>
      </c>
      <c r="M63" s="276">
        <f t="shared" si="105"/>
        <v>268602</v>
      </c>
      <c r="N63" s="275">
        <v>123244</v>
      </c>
      <c r="O63" s="275">
        <v>145358</v>
      </c>
      <c r="P63" s="276">
        <f t="shared" si="106"/>
        <v>8412</v>
      </c>
      <c r="Q63" s="275">
        <v>3512</v>
      </c>
      <c r="R63" s="275">
        <v>4900</v>
      </c>
      <c r="S63" s="275">
        <v>398653</v>
      </c>
      <c r="T63" s="154">
        <f t="shared" si="107"/>
        <v>124112</v>
      </c>
      <c r="U63" s="275">
        <v>57252</v>
      </c>
      <c r="V63" s="275">
        <v>66860</v>
      </c>
      <c r="W63" s="154">
        <f t="shared" si="108"/>
        <v>257501</v>
      </c>
      <c r="X63" s="275">
        <v>113454</v>
      </c>
      <c r="Y63" s="275">
        <v>144047</v>
      </c>
      <c r="Z63" s="154">
        <f t="shared" si="109"/>
        <v>10991</v>
      </c>
      <c r="AA63" s="275">
        <v>4783</v>
      </c>
      <c r="AB63" s="275">
        <v>6208</v>
      </c>
      <c r="AC63" s="276">
        <v>5127</v>
      </c>
      <c r="AD63" s="276">
        <v>2329</v>
      </c>
      <c r="AE63" s="276">
        <v>2798</v>
      </c>
      <c r="AF63" s="133">
        <v>409131</v>
      </c>
      <c r="AG63" s="150">
        <v>131977</v>
      </c>
      <c r="AH63" s="154">
        <f t="shared" si="110"/>
        <v>123477</v>
      </c>
      <c r="AI63" s="275">
        <v>60664</v>
      </c>
      <c r="AJ63" s="275">
        <v>62813</v>
      </c>
      <c r="AK63" s="150">
        <v>259928</v>
      </c>
      <c r="AL63" s="154">
        <f t="shared" si="111"/>
        <v>257976</v>
      </c>
      <c r="AM63" s="275">
        <v>112098</v>
      </c>
      <c r="AN63" s="275">
        <v>145878</v>
      </c>
      <c r="AO63" s="150">
        <v>18836</v>
      </c>
      <c r="AP63" s="275">
        <v>9166</v>
      </c>
      <c r="AQ63" s="275">
        <v>9670</v>
      </c>
      <c r="AR63" s="277">
        <f t="shared" si="112"/>
        <v>8842</v>
      </c>
      <c r="AS63" s="133">
        <v>384535</v>
      </c>
      <c r="AT63" s="150">
        <v>128854</v>
      </c>
      <c r="AU63" s="35">
        <v>65234</v>
      </c>
      <c r="AV63" s="35">
        <v>63620</v>
      </c>
      <c r="AW63" s="154">
        <f t="shared" si="113"/>
        <v>118159</v>
      </c>
      <c r="AX63" s="275">
        <v>59765</v>
      </c>
      <c r="AY63" s="275">
        <v>58394</v>
      </c>
      <c r="AZ63" s="150">
        <v>223292</v>
      </c>
      <c r="BA63" s="275">
        <v>96844</v>
      </c>
      <c r="BB63" s="275">
        <v>126448</v>
      </c>
      <c r="BC63" s="150">
        <v>26423</v>
      </c>
      <c r="BD63" s="275">
        <v>13724</v>
      </c>
      <c r="BE63" s="275">
        <v>12699</v>
      </c>
      <c r="BF63" s="276">
        <v>32389</v>
      </c>
      <c r="BG63" s="276">
        <v>15942</v>
      </c>
      <c r="BH63" s="276">
        <v>16447</v>
      </c>
      <c r="BI63" s="133">
        <v>405733</v>
      </c>
      <c r="BJ63" s="275">
        <v>190231</v>
      </c>
      <c r="BK63" s="275">
        <v>215502</v>
      </c>
      <c r="BL63" s="275">
        <v>169059</v>
      </c>
      <c r="BM63" s="275">
        <v>86023</v>
      </c>
      <c r="BN63" s="275">
        <v>83036</v>
      </c>
      <c r="BO63" s="275">
        <v>148066</v>
      </c>
      <c r="BP63" s="275">
        <v>75203</v>
      </c>
      <c r="BQ63" s="275">
        <v>72863</v>
      </c>
      <c r="BR63" s="275">
        <v>203485</v>
      </c>
      <c r="BS63" s="275">
        <v>88769</v>
      </c>
      <c r="BT63" s="275">
        <v>114716</v>
      </c>
      <c r="BU63" s="275">
        <v>33409</v>
      </c>
      <c r="BV63" s="275">
        <v>17321</v>
      </c>
      <c r="BW63" s="275">
        <v>16088</v>
      </c>
      <c r="BX63" s="276">
        <f t="shared" si="114"/>
        <v>33189</v>
      </c>
      <c r="BY63" s="275">
        <v>15439</v>
      </c>
      <c r="BZ63" s="275">
        <v>17750</v>
      </c>
      <c r="CA63" s="278">
        <v>397937</v>
      </c>
      <c r="CB63" s="275">
        <v>134653</v>
      </c>
      <c r="CC63" s="275">
        <v>213410</v>
      </c>
      <c r="CD63" s="275">
        <v>37344</v>
      </c>
      <c r="CE63" s="275">
        <v>31295</v>
      </c>
      <c r="CF63" s="133">
        <v>401222</v>
      </c>
      <c r="CG63" s="150">
        <v>153410</v>
      </c>
      <c r="CH63" s="275">
        <v>211544</v>
      </c>
      <c r="CI63" s="275">
        <v>36268</v>
      </c>
      <c r="CJ63" s="275">
        <v>31651</v>
      </c>
      <c r="CK63" s="279">
        <v>407887</v>
      </c>
      <c r="CL63" s="151">
        <v>163066</v>
      </c>
      <c r="CM63" s="151">
        <v>212759</v>
      </c>
      <c r="CN63" s="151">
        <v>32062</v>
      </c>
      <c r="CO63" s="151">
        <v>31601</v>
      </c>
      <c r="CP63" s="279">
        <v>405733</v>
      </c>
      <c r="CQ63" s="151">
        <v>169059</v>
      </c>
      <c r="CR63" s="151">
        <v>203485</v>
      </c>
      <c r="CS63" s="151">
        <v>33189</v>
      </c>
      <c r="CT63" s="151">
        <v>33409</v>
      </c>
      <c r="CU63" s="279">
        <v>416691</v>
      </c>
      <c r="CV63" s="151">
        <v>176738</v>
      </c>
      <c r="CW63" s="151">
        <v>204941</v>
      </c>
      <c r="CX63" s="209">
        <f t="shared" si="115"/>
        <v>35012</v>
      </c>
      <c r="CY63" s="421">
        <v>35406</v>
      </c>
      <c r="CZ63" s="266">
        <v>428597</v>
      </c>
      <c r="DA63" s="275">
        <v>161998</v>
      </c>
      <c r="DB63" s="275">
        <v>207133</v>
      </c>
      <c r="DC63" s="275">
        <v>38946</v>
      </c>
      <c r="DD63" s="372">
        <v>37471</v>
      </c>
      <c r="DE63" s="133">
        <v>442952</v>
      </c>
      <c r="DF63" s="275">
        <v>170875</v>
      </c>
      <c r="DG63" s="88">
        <v>208666</v>
      </c>
      <c r="DH63" s="275">
        <v>26178</v>
      </c>
      <c r="DI63" s="275">
        <v>40033</v>
      </c>
      <c r="DJ63" s="275">
        <v>463211</v>
      </c>
      <c r="DK63" s="275">
        <v>180393</v>
      </c>
      <c r="DL63" s="275">
        <v>216029</v>
      </c>
      <c r="DM63" s="671">
        <v>44687</v>
      </c>
      <c r="DN63" s="275">
        <v>43966</v>
      </c>
      <c r="DO63" s="509">
        <v>472884</v>
      </c>
      <c r="DP63" s="275">
        <v>184676</v>
      </c>
      <c r="DQ63" s="275">
        <v>214913</v>
      </c>
      <c r="DR63" s="511">
        <v>53671</v>
      </c>
      <c r="DS63" s="275">
        <v>45602</v>
      </c>
      <c r="DT63" s="509">
        <v>480158</v>
      </c>
      <c r="DU63" s="275">
        <v>189306</v>
      </c>
      <c r="DV63" s="275">
        <v>217411</v>
      </c>
      <c r="DW63" s="511">
        <v>51476</v>
      </c>
      <c r="DX63" s="275">
        <v>47175</v>
      </c>
      <c r="DY63" s="1">
        <v>19965</v>
      </c>
      <c r="DZ63" s="1">
        <v>0</v>
      </c>
      <c r="EA63" s="1">
        <v>0</v>
      </c>
      <c r="EB63" s="1">
        <v>9884</v>
      </c>
      <c r="EC63" s="701">
        <v>21627</v>
      </c>
      <c r="ED63" s="545">
        <v>494614</v>
      </c>
      <c r="EE63" s="275">
        <v>197526</v>
      </c>
      <c r="EF63" s="275">
        <v>217915</v>
      </c>
      <c r="EG63" s="615">
        <v>57025</v>
      </c>
      <c r="EH63" s="275">
        <v>48455</v>
      </c>
      <c r="EI63" s="545">
        <v>500176</v>
      </c>
      <c r="EJ63" s="275"/>
      <c r="EK63" s="275"/>
      <c r="EL63" s="511"/>
      <c r="EM63" s="275"/>
      <c r="EN63" s="37">
        <v>505145</v>
      </c>
      <c r="EO63" s="37">
        <v>204162</v>
      </c>
      <c r="EP63" s="275">
        <v>220748</v>
      </c>
      <c r="EQ63" s="615">
        <v>39660</v>
      </c>
      <c r="ER63" s="275">
        <v>50141</v>
      </c>
      <c r="ES63" s="37">
        <v>478774</v>
      </c>
      <c r="ET63" s="37">
        <v>189035</v>
      </c>
      <c r="EU63" s="275">
        <v>198991</v>
      </c>
      <c r="EV63" s="615">
        <v>82845</v>
      </c>
      <c r="EW63" s="275">
        <v>48402</v>
      </c>
      <c r="EX63" s="1">
        <v>22517</v>
      </c>
      <c r="FA63" s="1">
        <v>40956</v>
      </c>
      <c r="FB63" s="701">
        <v>19372</v>
      </c>
    </row>
    <row r="64" spans="1:158">
      <c r="B64" s="3"/>
      <c r="C64" s="3"/>
      <c r="J64" s="92"/>
      <c r="M64" s="92"/>
      <c r="P64" s="92"/>
      <c r="S64" s="37"/>
      <c r="T64" s="90"/>
      <c r="W64" s="90"/>
      <c r="Z64" s="90"/>
      <c r="AC64" s="92"/>
      <c r="AD64" s="92"/>
      <c r="AE64" s="92"/>
      <c r="AG64" s="3"/>
      <c r="AH64" s="55"/>
      <c r="AK64" s="3"/>
      <c r="AL64" s="55"/>
      <c r="AO64" s="3"/>
      <c r="AR64" s="53"/>
      <c r="AT64" s="3"/>
      <c r="AU64" s="115"/>
      <c r="AV64" s="115"/>
      <c r="AW64" s="55"/>
      <c r="AZ64" s="3"/>
      <c r="BC64" s="3"/>
      <c r="BF64" s="92"/>
      <c r="BG64" s="92"/>
      <c r="BH64" s="92"/>
      <c r="BL64" s="92"/>
      <c r="BM64" s="92"/>
      <c r="BN64" s="92"/>
      <c r="BO64" s="92"/>
      <c r="BP64" s="92"/>
      <c r="BQ64" s="92"/>
      <c r="BR64" s="92"/>
      <c r="BS64" s="92"/>
      <c r="BT64" s="92"/>
      <c r="BU64" s="92"/>
      <c r="BV64" s="92"/>
      <c r="BW64" s="92"/>
      <c r="BX64" s="92"/>
      <c r="BY64" s="92"/>
      <c r="BZ64" s="92"/>
      <c r="CB64" s="3"/>
      <c r="CG64" s="3"/>
      <c r="CL64" s="41"/>
      <c r="CM64" s="41"/>
      <c r="CN64" s="41"/>
      <c r="CO64" s="41"/>
    </row>
    <row r="65" spans="2:149" ht="373.5" customHeight="1">
      <c r="B65" s="43" t="s">
        <v>151</v>
      </c>
      <c r="C65" s="43"/>
      <c r="D65" s="43"/>
      <c r="E65" s="52" t="s">
        <v>152</v>
      </c>
      <c r="F65" s="43" t="s">
        <v>153</v>
      </c>
      <c r="G65" s="43"/>
      <c r="H65" s="43"/>
      <c r="I65" s="43" t="s">
        <v>154</v>
      </c>
      <c r="J65" s="43"/>
      <c r="K65" s="44" t="s">
        <v>155</v>
      </c>
      <c r="L65" s="43" t="s">
        <v>153</v>
      </c>
      <c r="M65" s="43"/>
      <c r="N65" s="45"/>
      <c r="O65" s="45"/>
      <c r="P65" s="43"/>
      <c r="Q65" s="45"/>
      <c r="R65" s="45"/>
      <c r="S65" s="43" t="s">
        <v>156</v>
      </c>
      <c r="T65" s="51" t="s">
        <v>152</v>
      </c>
      <c r="U65" s="43" t="s">
        <v>153</v>
      </c>
      <c r="W65" s="43"/>
      <c r="Z65" s="43"/>
      <c r="AF65" s="43" t="s">
        <v>157</v>
      </c>
      <c r="AG65" s="52" t="s">
        <v>152</v>
      </c>
      <c r="AH65" s="43" t="s">
        <v>153</v>
      </c>
      <c r="AK65" s="43"/>
      <c r="AL65" s="52"/>
      <c r="AO65" s="43"/>
      <c r="AR65" s="60"/>
      <c r="AS65" s="43" t="s">
        <v>158</v>
      </c>
      <c r="AT65" s="52" t="s">
        <v>152</v>
      </c>
      <c r="AW65" s="43" t="s">
        <v>153</v>
      </c>
      <c r="AZ65" s="43"/>
      <c r="BC65" s="43"/>
      <c r="BF65" s="43"/>
      <c r="BG65" s="52"/>
      <c r="BH65" s="43"/>
      <c r="BI65" s="43" t="s">
        <v>159</v>
      </c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117" t="s">
        <v>160</v>
      </c>
      <c r="CB65" s="43"/>
      <c r="CF65" s="117" t="s">
        <v>161</v>
      </c>
      <c r="CG65" s="43"/>
      <c r="CK65" s="117" t="s">
        <v>162</v>
      </c>
      <c r="CP65" s="43" t="s">
        <v>159</v>
      </c>
      <c r="CQ65" s="117" t="s">
        <v>163</v>
      </c>
      <c r="CR65" s="117" t="s">
        <v>164</v>
      </c>
      <c r="CU65" s="117" t="s">
        <v>163</v>
      </c>
      <c r="CV65" s="117"/>
      <c r="CW65" s="117"/>
      <c r="CZ65" s="427" t="s">
        <v>165</v>
      </c>
      <c r="DE65" s="117" t="s">
        <v>166</v>
      </c>
      <c r="DO65" s="43" t="s">
        <v>167</v>
      </c>
      <c r="DT65" s="43" t="s">
        <v>168</v>
      </c>
      <c r="DY65" s="1">
        <v>185203</v>
      </c>
      <c r="ED65" s="43" t="s">
        <v>169</v>
      </c>
      <c r="EI65" s="43" t="s">
        <v>170</v>
      </c>
      <c r="EN65" s="614" t="s">
        <v>170</v>
      </c>
      <c r="ES65" s="614" t="s">
        <v>171</v>
      </c>
    </row>
    <row r="66" spans="2:149">
      <c r="C66" s="41"/>
      <c r="S66" s="15"/>
      <c r="T66" s="15"/>
      <c r="W66" s="15"/>
      <c r="Z66" s="15"/>
      <c r="AG66" s="15"/>
      <c r="AH66" s="15"/>
      <c r="AK66" s="15"/>
      <c r="AL66" s="15"/>
      <c r="AO66" s="15"/>
      <c r="AR66" s="63"/>
      <c r="AT66" s="15"/>
      <c r="AW66" s="46"/>
      <c r="AZ66" s="15"/>
      <c r="BC66" s="15"/>
      <c r="CB66" s="15"/>
      <c r="CG66" s="15"/>
      <c r="DY66" s="1">
        <v>23167</v>
      </c>
    </row>
    <row r="67" spans="2:149">
      <c r="C67" s="41"/>
      <c r="S67" s="15"/>
      <c r="T67" s="15"/>
      <c r="W67" s="15"/>
      <c r="Z67" s="15"/>
      <c r="AG67" s="15"/>
      <c r="AH67" s="15"/>
      <c r="AK67" s="15"/>
      <c r="AL67" s="15"/>
      <c r="AO67" s="15"/>
      <c r="AR67" s="63"/>
      <c r="AT67" s="15"/>
      <c r="AW67" s="46"/>
      <c r="AZ67" s="15"/>
      <c r="BC67" s="15"/>
      <c r="CB67" s="15"/>
      <c r="CG67" s="15"/>
      <c r="DY67" s="1">
        <v>119827</v>
      </c>
    </row>
    <row r="68" spans="2:149">
      <c r="B68" s="40"/>
      <c r="C68" s="41"/>
      <c r="D68" s="1"/>
      <c r="S68" s="15"/>
      <c r="T68" s="15"/>
      <c r="W68" s="15"/>
      <c r="Z68" s="15"/>
      <c r="AG68" s="15"/>
      <c r="AH68" s="15"/>
      <c r="AK68" s="15"/>
      <c r="AL68" s="15"/>
      <c r="AO68" s="15"/>
      <c r="AR68" s="63"/>
      <c r="AT68" s="15"/>
      <c r="AW68" s="46"/>
      <c r="AZ68" s="15"/>
      <c r="BC68" s="15"/>
      <c r="CB68" s="15"/>
      <c r="CG68" s="15"/>
      <c r="DY68" s="1">
        <v>46290</v>
      </c>
    </row>
    <row r="69" spans="2:149">
      <c r="B69" s="40"/>
      <c r="C69" s="41"/>
      <c r="D69" s="1"/>
      <c r="S69" s="15"/>
      <c r="T69" s="15"/>
      <c r="W69" s="15"/>
      <c r="Z69" s="15"/>
      <c r="AG69" s="15"/>
      <c r="AH69" s="15"/>
      <c r="AK69" s="15"/>
      <c r="AL69" s="15"/>
      <c r="AO69" s="15"/>
      <c r="AR69" s="63"/>
      <c r="AT69" s="15"/>
      <c r="AW69" s="46"/>
      <c r="AZ69" s="15"/>
      <c r="BC69" s="15"/>
      <c r="CB69" s="15"/>
      <c r="CG69" s="15"/>
      <c r="DY69" s="1">
        <v>426803</v>
      </c>
    </row>
    <row r="70" spans="2:149">
      <c r="B70" s="40"/>
      <c r="C70" s="41"/>
      <c r="D70" s="1"/>
      <c r="S70" s="15"/>
      <c r="T70" s="15"/>
      <c r="W70" s="15"/>
      <c r="Z70" s="15"/>
      <c r="AG70" s="16"/>
      <c r="AH70" s="16"/>
      <c r="AK70" s="16"/>
      <c r="AL70" s="16"/>
      <c r="AO70" s="16"/>
      <c r="AR70" s="64"/>
      <c r="AT70" s="15"/>
      <c r="AW70" s="48"/>
      <c r="AZ70" s="15"/>
      <c r="BC70" s="15"/>
      <c r="CB70" s="15"/>
      <c r="CG70" s="15"/>
    </row>
    <row r="71" spans="2:149">
      <c r="B71" s="40"/>
      <c r="C71" s="41"/>
      <c r="D71" s="1"/>
      <c r="S71" s="15"/>
      <c r="T71" s="15"/>
      <c r="W71" s="15"/>
      <c r="Z71" s="15"/>
      <c r="AG71" s="16"/>
      <c r="AH71" s="16"/>
      <c r="AK71" s="16"/>
      <c r="AL71" s="16"/>
      <c r="AO71" s="16"/>
      <c r="AR71" s="64"/>
      <c r="AT71" s="15"/>
      <c r="AW71" s="48"/>
      <c r="AZ71" s="15"/>
      <c r="BC71" s="15"/>
      <c r="CB71" s="15"/>
      <c r="CG71" s="15"/>
    </row>
    <row r="72" spans="2:149">
      <c r="B72" s="40"/>
      <c r="C72" s="41"/>
      <c r="S72" s="15"/>
      <c r="T72" s="15"/>
      <c r="W72" s="15"/>
      <c r="Z72" s="15"/>
      <c r="AG72" s="15"/>
      <c r="AH72" s="15"/>
      <c r="AK72" s="15"/>
      <c r="AL72" s="15"/>
      <c r="AO72" s="15"/>
      <c r="AR72" s="61"/>
      <c r="AT72" s="15"/>
      <c r="AW72" s="15"/>
      <c r="AZ72" s="15"/>
      <c r="BC72" s="15"/>
      <c r="CB72" s="15"/>
      <c r="CG72" s="15"/>
    </row>
    <row r="73" spans="2:149">
      <c r="B73" s="40"/>
      <c r="C73" s="41"/>
      <c r="S73" s="15"/>
      <c r="T73" s="15"/>
      <c r="W73" s="15"/>
      <c r="Z73" s="15"/>
      <c r="AG73" s="15"/>
      <c r="AH73" s="15"/>
      <c r="AK73" s="15"/>
      <c r="AL73" s="15"/>
      <c r="AO73" s="15"/>
      <c r="AR73" s="61"/>
      <c r="AT73" s="15"/>
      <c r="AW73" s="15"/>
      <c r="AZ73" s="15"/>
      <c r="BC73" s="15"/>
      <c r="CB73" s="15"/>
      <c r="CG73" s="15"/>
      <c r="DY73" s="1">
        <v>478425</v>
      </c>
    </row>
    <row r="74" spans="2:149">
      <c r="B74" s="40"/>
      <c r="C74" s="41"/>
      <c r="S74" s="15"/>
      <c r="T74" s="15"/>
      <c r="W74" s="15"/>
      <c r="Z74" s="15"/>
      <c r="AG74" s="15"/>
      <c r="AH74" s="15"/>
      <c r="AK74" s="15"/>
      <c r="AL74" s="15"/>
      <c r="AO74" s="15"/>
      <c r="AR74" s="61"/>
      <c r="AT74" s="15"/>
      <c r="AW74" s="15"/>
      <c r="AZ74" s="15"/>
      <c r="BC74" s="15"/>
      <c r="CB74" s="15"/>
      <c r="CG74" s="15"/>
      <c r="DY74" s="1">
        <v>83957</v>
      </c>
    </row>
    <row r="75" spans="2:149">
      <c r="B75" s="40"/>
      <c r="C75" s="41"/>
      <c r="S75" s="15"/>
      <c r="T75" s="15"/>
      <c r="W75" s="15"/>
      <c r="Z75" s="15"/>
      <c r="AG75" s="15"/>
      <c r="AH75" s="15"/>
      <c r="AK75" s="15"/>
      <c r="AL75" s="15"/>
      <c r="AO75" s="15"/>
      <c r="AR75" s="61"/>
      <c r="AT75" s="15"/>
      <c r="AW75" s="15"/>
      <c r="AZ75" s="15"/>
      <c r="BC75" s="15"/>
      <c r="CB75" s="15"/>
      <c r="CG75" s="15"/>
      <c r="DY75" s="1">
        <v>44570</v>
      </c>
    </row>
    <row r="76" spans="2:149">
      <c r="B76" s="40"/>
      <c r="C76" s="41"/>
      <c r="S76" s="15"/>
      <c r="T76" s="15"/>
      <c r="W76" s="15"/>
      <c r="Z76" s="15"/>
      <c r="AG76" s="15"/>
      <c r="AH76" s="15"/>
      <c r="AK76" s="15"/>
      <c r="AL76" s="15"/>
      <c r="AO76" s="15"/>
      <c r="AR76" s="61"/>
      <c r="AT76" s="15"/>
      <c r="AW76" s="15"/>
      <c r="AZ76" s="15"/>
      <c r="BC76" s="15"/>
      <c r="CB76" s="15"/>
      <c r="CG76" s="15"/>
      <c r="DY76" s="1">
        <v>50988</v>
      </c>
    </row>
    <row r="77" spans="2:149">
      <c r="B77" s="40"/>
      <c r="C77" s="41"/>
      <c r="S77" s="15"/>
      <c r="T77" s="15"/>
      <c r="W77" s="15"/>
      <c r="Z77" s="15"/>
      <c r="AG77" s="15"/>
      <c r="AH77" s="15"/>
      <c r="AK77" s="15"/>
      <c r="AL77" s="15"/>
      <c r="AO77" s="15"/>
      <c r="AR77" s="61"/>
      <c r="AT77" s="15"/>
      <c r="AW77" s="15"/>
      <c r="AZ77" s="15"/>
      <c r="BC77" s="15"/>
      <c r="CB77" s="15"/>
      <c r="CG77" s="15"/>
      <c r="DY77" s="1">
        <v>189523</v>
      </c>
    </row>
    <row r="78" spans="2:149">
      <c r="B78" s="40"/>
      <c r="C78" s="41"/>
      <c r="S78" s="81"/>
      <c r="T78" s="40"/>
      <c r="W78" s="41"/>
      <c r="Z78" s="41"/>
      <c r="AG78" s="15"/>
      <c r="AH78" s="15"/>
      <c r="AK78" s="15"/>
      <c r="AL78" s="15"/>
      <c r="AO78" s="15"/>
      <c r="AR78" s="61"/>
      <c r="AT78" s="15"/>
      <c r="AW78" s="15"/>
      <c r="AZ78" s="15"/>
      <c r="BC78" s="15"/>
      <c r="CB78" s="15"/>
      <c r="CG78" s="15"/>
      <c r="DY78" s="1">
        <v>154563</v>
      </c>
    </row>
    <row r="79" spans="2:149">
      <c r="B79" s="40"/>
      <c r="C79" s="41"/>
      <c r="S79" s="81"/>
      <c r="T79" s="40"/>
      <c r="W79" s="41"/>
      <c r="Z79" s="41"/>
      <c r="AG79" s="15"/>
      <c r="AH79" s="15"/>
      <c r="AK79" s="15"/>
      <c r="AL79" s="15"/>
      <c r="AO79" s="15"/>
      <c r="AR79" s="61"/>
      <c r="AT79" s="15"/>
      <c r="AW79" s="15"/>
      <c r="AZ79" s="15"/>
      <c r="BC79" s="15"/>
      <c r="CB79" s="15"/>
      <c r="CG79" s="15"/>
      <c r="DY79" s="1">
        <v>77588</v>
      </c>
    </row>
    <row r="80" spans="2:149">
      <c r="AO80" s="15"/>
      <c r="BC80" s="15"/>
      <c r="CB80" s="15"/>
      <c r="CG80" s="15"/>
      <c r="DY80" s="1">
        <v>23787</v>
      </c>
    </row>
    <row r="81" spans="33:129">
      <c r="AG81" s="15"/>
      <c r="AH81" s="15"/>
      <c r="AK81" s="15"/>
      <c r="AL81" s="15"/>
      <c r="AO81" s="15"/>
      <c r="AR81" s="61"/>
      <c r="AT81" s="15"/>
      <c r="AW81" s="15"/>
      <c r="AZ81" s="15"/>
      <c r="BC81" s="15"/>
      <c r="CB81" s="15"/>
      <c r="CG81" s="15"/>
      <c r="DY81" s="1">
        <v>4905</v>
      </c>
    </row>
    <row r="82" spans="33:129">
      <c r="AG82" s="15"/>
      <c r="AH82" s="15"/>
      <c r="AK82" s="15"/>
      <c r="AL82" s="15"/>
      <c r="AO82" s="15"/>
      <c r="AR82" s="61"/>
      <c r="AT82" s="15"/>
      <c r="AW82" s="15"/>
      <c r="AZ82" s="15"/>
      <c r="BC82" s="15"/>
      <c r="CB82" s="15"/>
      <c r="CG82" s="15"/>
      <c r="DY82" s="1">
        <v>160629</v>
      </c>
    </row>
    <row r="83" spans="33:129">
      <c r="DY83" s="1">
        <v>7145</v>
      </c>
    </row>
    <row r="84" spans="33:129">
      <c r="DY84" s="1">
        <v>90165</v>
      </c>
    </row>
    <row r="87" spans="33:129">
      <c r="DY87" s="1">
        <v>106420</v>
      </c>
    </row>
    <row r="88" spans="33:129">
      <c r="DY88" s="1">
        <v>12254</v>
      </c>
    </row>
    <row r="89" spans="33:129">
      <c r="DY89" s="1">
        <v>294451</v>
      </c>
    </row>
    <row r="90" spans="33:129">
      <c r="DY90" s="1">
        <v>21475</v>
      </c>
    </row>
    <row r="91" spans="33:129">
      <c r="DY91" s="1">
        <v>599087</v>
      </c>
    </row>
    <row r="92" spans="33:129">
      <c r="DY92" s="1">
        <v>1188298</v>
      </c>
    </row>
    <row r="93" spans="33:129">
      <c r="DY93" s="1">
        <v>281606</v>
      </c>
    </row>
    <row r="94" spans="33:129">
      <c r="DY94" s="1">
        <v>22693</v>
      </c>
    </row>
    <row r="95" spans="33:129">
      <c r="DY95" s="1">
        <v>6184</v>
      </c>
    </row>
    <row r="96" spans="33:129">
      <c r="DY96" s="1">
        <v>19965</v>
      </c>
    </row>
  </sheetData>
  <phoneticPr fontId="8" type="noConversion"/>
  <conditionalFormatting sqref="EC7:EC22 EC24:EC37 EC39:EC51 EC53:EC63">
    <cfRule type="containsText" dxfId="6" priority="1" operator="containsText" text="margin">
      <formula>NOT(ISERROR(SEARCH("margin",EC7)))</formula>
    </cfRule>
    <cfRule type="containsText" dxfId="5" priority="2" operator="containsText" text="anno">
      <formula>NOT(ISERROR(SEARCH("anno",EC7)))</formula>
    </cfRule>
  </conditionalFormatting>
  <conditionalFormatting sqref="FB7:FB22 FB24:FB37 FB39:FB51 FB53:FB63">
    <cfRule type="containsText" dxfId="4" priority="3" operator="containsText" text="margin">
      <formula>NOT(ISERROR(SEARCH("margin",FB7)))</formula>
    </cfRule>
    <cfRule type="containsText" dxfId="3" priority="4" operator="containsText" text="anno">
      <formula>NOT(ISERROR(SEARCH("anno",FB7)))</formula>
    </cfRule>
  </conditionalFormatting>
  <pageMargins left="0.75" right="0.75" top="1" bottom="1" header="0.5" footer="0.5"/>
  <pageSetup orientation="portrait" r:id="rId1"/>
  <headerFooter alignWithMargins="0"/>
  <ignoredErrors>
    <ignoredError sqref="DH23" formulaRange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83554-7A7F-4C49-A7C2-591FEFCFAB67}">
  <sheetPr codeName="Sheet8">
    <tabColor indexed="18"/>
  </sheetPr>
  <dimension ref="A1:C1"/>
  <sheetViews>
    <sheetView workbookViewId="0">
      <selection activeCell="C1" sqref="C1"/>
    </sheetView>
  </sheetViews>
  <sheetFormatPr defaultRowHeight="15.6"/>
  <sheetData>
    <row r="1" spans="1:3">
      <c r="A1" t="str">
        <f>IFERROR((B1/C1)*100," -")</f>
        <v xml:space="preserve"> -</v>
      </c>
      <c r="B1">
        <v>3</v>
      </c>
      <c r="C1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18"/>
  </sheetPr>
  <dimension ref="A1:ADZ90"/>
  <sheetViews>
    <sheetView topLeftCell="IQ1" zoomScale="82" zoomScaleNormal="82" workbookViewId="0">
      <selection activeCell="IX5" sqref="IX5"/>
    </sheetView>
  </sheetViews>
  <sheetFormatPr defaultColWidth="8.88671875" defaultRowHeight="12.6"/>
  <cols>
    <col min="1" max="1" width="15.88671875" style="1" customWidth="1"/>
    <col min="2" max="6" width="9.5546875" style="1" customWidth="1"/>
    <col min="7" max="11" width="9.21875" style="1" customWidth="1"/>
    <col min="12" max="16" width="9.109375" style="1" customWidth="1"/>
    <col min="17" max="17" width="10.88671875" style="1" customWidth="1"/>
    <col min="18" max="21" width="8.44140625" style="1" customWidth="1"/>
    <col min="22" max="51" width="9.109375" style="1" customWidth="1"/>
    <col min="52" max="56" width="8.88671875" style="1" customWidth="1"/>
    <col min="57" max="57" width="9.5546875" style="1" bestFit="1" customWidth="1"/>
    <col min="58" max="66" width="9.109375" style="1" customWidth="1"/>
    <col min="67" max="67" width="9.5546875" style="50" bestFit="1" customWidth="1"/>
    <col min="68" max="71" width="9.109375" style="1" customWidth="1"/>
    <col min="72" max="72" width="9.5546875" style="50" bestFit="1" customWidth="1"/>
    <col min="73" max="76" width="9.109375" style="1" customWidth="1"/>
    <col min="77" max="80" width="8.88671875" style="1" customWidth="1"/>
    <col min="81" max="87" width="9.109375" style="1" customWidth="1"/>
    <col min="88" max="90" width="8.44140625" style="1" customWidth="1"/>
    <col min="91" max="91" width="9.88671875" style="1" customWidth="1"/>
    <col min="92" max="92" width="8.88671875" style="1" customWidth="1"/>
    <col min="93" max="95" width="8.44140625" style="1" customWidth="1"/>
    <col min="96" max="97" width="9.109375" style="1" customWidth="1"/>
    <col min="98" max="100" width="8.44140625" style="1" customWidth="1"/>
    <col min="101" max="101" width="9.44140625" style="1" customWidth="1"/>
    <col min="102" max="102" width="9.77734375" style="1" customWidth="1"/>
    <col min="103" max="105" width="8.44140625" style="1" customWidth="1"/>
    <col min="106" max="106" width="9.21875" style="1" customWidth="1"/>
    <col min="107" max="110" width="8.44140625" style="1" customWidth="1"/>
    <col min="111" max="111" width="9.33203125" style="1" bestFit="1" customWidth="1"/>
    <col min="112" max="112" width="9" style="1" bestFit="1" customWidth="1"/>
    <col min="113" max="113" width="9.33203125" style="1" bestFit="1" customWidth="1"/>
    <col min="114" max="115" width="9" style="1" bestFit="1" customWidth="1"/>
    <col min="116" max="116" width="23.88671875" style="1" customWidth="1"/>
    <col min="117" max="120" width="8.44140625" style="1" customWidth="1"/>
    <col min="121" max="121" width="9.21875" style="1" customWidth="1"/>
    <col min="122" max="125" width="8.44140625" style="1" customWidth="1"/>
    <col min="126" max="126" width="9.21875" style="1" bestFit="1" customWidth="1"/>
    <col min="127" max="130" width="8.44140625" style="1" customWidth="1"/>
    <col min="131" max="131" width="8.77734375" style="1" bestFit="1" customWidth="1"/>
    <col min="132" max="135" width="8.44140625" style="1" customWidth="1"/>
    <col min="136" max="136" width="9.5546875" style="50" bestFit="1" customWidth="1"/>
    <col min="137" max="137" width="8.44140625" style="1" customWidth="1"/>
    <col min="138" max="138" width="10.6640625" style="1" customWidth="1"/>
    <col min="139" max="139" width="8.44140625" style="1" customWidth="1"/>
    <col min="140" max="140" width="9.5546875" style="1" customWidth="1"/>
    <col min="141" max="141" width="9.5546875" style="50" bestFit="1" customWidth="1"/>
    <col min="142" max="142" width="8.44140625" style="1" customWidth="1"/>
    <col min="143" max="143" width="10.6640625" style="1" customWidth="1"/>
    <col min="144" max="144" width="8.44140625" style="1" customWidth="1"/>
    <col min="145" max="145" width="9.5546875" style="1" customWidth="1"/>
    <col min="146" max="146" width="9.5546875" style="50" bestFit="1" customWidth="1"/>
    <col min="147" max="147" width="8.44140625" style="1" customWidth="1"/>
    <col min="148" max="148" width="10.6640625" style="1" customWidth="1"/>
    <col min="149" max="149" width="8.44140625" style="1" customWidth="1"/>
    <col min="150" max="154" width="8.88671875" style="1" customWidth="1"/>
    <col min="155" max="155" width="10.44140625" style="1" customWidth="1"/>
    <col min="156" max="160" width="10.109375" style="1" customWidth="1"/>
    <col min="161" max="161" width="9.44140625" style="1" customWidth="1"/>
    <col min="162" max="162" width="9.88671875" style="1" customWidth="1"/>
    <col min="163" max="163" width="9.6640625" style="1" customWidth="1"/>
    <col min="164" max="165" width="9.77734375" style="1" customWidth="1"/>
    <col min="166" max="168" width="10.109375" style="1" customWidth="1"/>
    <col min="169" max="171" width="10.33203125" style="1" customWidth="1"/>
    <col min="172" max="188" width="10.109375" style="1" customWidth="1"/>
    <col min="189" max="193" width="10.109375" style="121" customWidth="1"/>
    <col min="194" max="198" width="10.109375" style="1" customWidth="1"/>
    <col min="199" max="199" width="11.33203125" style="1" customWidth="1"/>
    <col min="200" max="202" width="10.109375" style="1" customWidth="1"/>
    <col min="203" max="228" width="10.109375" style="338" customWidth="1"/>
    <col min="229" max="229" width="9.109375" style="1" customWidth="1"/>
    <col min="230" max="233" width="8.88671875" style="1" customWidth="1"/>
    <col min="234" max="243" width="10.109375" style="338" customWidth="1"/>
    <col min="244" max="244" width="10.109375" style="347" customWidth="1"/>
    <col min="245" max="248" width="10.109375" style="338" customWidth="1"/>
    <col min="249" max="249" width="10.109375" style="347" customWidth="1"/>
    <col min="250" max="253" width="10.109375" style="338" customWidth="1"/>
    <col min="254" max="258" width="8.88671875" style="1" customWidth="1"/>
    <col min="259" max="259" width="10.77734375" style="1" customWidth="1"/>
    <col min="260" max="260" width="10.88671875" style="1" customWidth="1"/>
    <col min="261" max="261" width="10.109375" style="1" customWidth="1"/>
    <col min="262" max="263" width="9" style="1" customWidth="1"/>
    <col min="264" max="265" width="9.44140625" style="1" customWidth="1"/>
    <col min="266" max="268" width="10.109375" style="1" customWidth="1"/>
    <col min="269" max="270" width="9.88671875" style="1" customWidth="1"/>
    <col min="271" max="273" width="10.109375" style="1" customWidth="1"/>
    <col min="274" max="274" width="11.33203125" style="1" customWidth="1"/>
    <col min="275" max="278" width="10.109375" style="1" customWidth="1"/>
    <col min="279" max="279" width="11.21875" style="1" customWidth="1"/>
    <col min="280" max="280" width="9.88671875" style="1" customWidth="1"/>
    <col min="281" max="283" width="10.109375" style="1" customWidth="1"/>
    <col min="284" max="284" width="11.21875" style="1" customWidth="1"/>
    <col min="285" max="285" width="9.88671875" style="1" customWidth="1"/>
    <col min="286" max="313" width="10.109375" style="1" customWidth="1"/>
    <col min="314" max="320" width="10.109375" style="37" customWidth="1"/>
    <col min="321" max="323" width="10.109375" style="1" customWidth="1"/>
    <col min="324" max="324" width="10.109375" style="68" customWidth="1"/>
    <col min="325" max="328" width="10.109375" style="37" customWidth="1"/>
    <col min="329" max="329" width="10.109375" style="68" customWidth="1"/>
    <col min="330" max="333" width="10.109375" style="37" customWidth="1"/>
    <col min="334" max="338" width="8.88671875" style="1" customWidth="1"/>
    <col min="339" max="340" width="9" style="1" customWidth="1"/>
    <col min="341" max="343" width="7.5546875" style="1" customWidth="1"/>
    <col min="344" max="344" width="9.6640625" style="1" customWidth="1"/>
    <col min="345" max="346" width="8.5546875" style="1" customWidth="1"/>
    <col min="347" max="347" width="7.5546875" style="1" customWidth="1"/>
    <col min="348" max="348" width="9.88671875" style="1" customWidth="1"/>
    <col min="349" max="349" width="11.33203125" style="1" customWidth="1"/>
    <col min="350" max="353" width="9.88671875" style="1" customWidth="1"/>
    <col min="354" max="358" width="10.5546875" style="121" customWidth="1"/>
    <col min="359" max="359" width="11.33203125" style="121" customWidth="1"/>
    <col min="360" max="398" width="10.5546875" style="121" customWidth="1"/>
    <col min="399" max="399" width="10.5546875" style="618" customWidth="1"/>
    <col min="400" max="403" width="10.5546875" style="121" customWidth="1"/>
    <col min="404" max="404" width="10.5546875" style="618" customWidth="1"/>
    <col min="405" max="408" width="10.5546875" style="121" customWidth="1"/>
    <col min="409" max="413" width="8.88671875" style="1" customWidth="1"/>
    <col min="414" max="423" width="10.5546875" style="121" customWidth="1"/>
    <col min="424" max="483" width="11.33203125" style="121" customWidth="1"/>
    <col min="484" max="488" width="8.88671875" style="1" customWidth="1"/>
    <col min="489" max="490" width="9.33203125" style="1" customWidth="1"/>
    <col min="491" max="493" width="8.44140625" style="1" customWidth="1"/>
    <col min="494" max="503" width="9.33203125" style="1" customWidth="1"/>
    <col min="504" max="548" width="10.5546875" style="121" customWidth="1"/>
    <col min="549" max="549" width="10.5546875" style="618" customWidth="1"/>
    <col min="550" max="553" width="10.5546875" style="121" customWidth="1"/>
    <col min="554" max="554" width="10.5546875" style="618" customWidth="1"/>
    <col min="555" max="558" width="10.5546875" style="121" customWidth="1"/>
    <col min="559" max="563" width="8.88671875" style="1" customWidth="1"/>
    <col min="564" max="572" width="9" style="19" customWidth="1"/>
    <col min="573" max="573" width="9.44140625" style="19" customWidth="1"/>
    <col min="574" max="581" width="9" style="19" customWidth="1"/>
    <col min="582" max="582" width="9.88671875" style="19" customWidth="1"/>
    <col min="583" max="583" width="9.44140625" style="19" customWidth="1"/>
    <col min="584" max="584" width="9" style="19" customWidth="1"/>
    <col min="585" max="585" width="9.44140625" style="1" customWidth="1"/>
    <col min="586" max="586" width="9.44140625" style="19" customWidth="1"/>
    <col min="587" max="589" width="9" style="19" customWidth="1"/>
    <col min="590" max="590" width="8.5546875" style="1" customWidth="1"/>
    <col min="591" max="592" width="9" style="19" customWidth="1"/>
    <col min="593" max="593" width="8.5546875" style="1" customWidth="1"/>
    <col min="594" max="598" width="9" style="19" customWidth="1"/>
    <col min="599" max="601" width="9" style="75" customWidth="1"/>
    <col min="602" max="604" width="9" style="19" customWidth="1"/>
    <col min="605" max="605" width="9.88671875" style="1" customWidth="1"/>
    <col min="606" max="606" width="9.88671875" style="19" customWidth="1"/>
    <col min="607" max="607" width="10.109375" style="19" customWidth="1"/>
    <col min="608" max="609" width="9.88671875" style="1" customWidth="1"/>
    <col min="610" max="610" width="10.109375" style="19" customWidth="1"/>
    <col min="611" max="611" width="9.88671875" style="19" customWidth="1"/>
    <col min="612" max="613" width="9" style="19" customWidth="1"/>
    <col min="614" max="614" width="10.109375" style="1" customWidth="1"/>
    <col min="615" max="615" width="9.88671875" style="1" customWidth="1"/>
    <col min="616" max="617" width="9" style="19" customWidth="1"/>
    <col min="618" max="618" width="10.109375" style="1" customWidth="1"/>
    <col min="619" max="620" width="9" style="19" customWidth="1"/>
    <col min="621" max="621" width="10.109375" style="1" customWidth="1"/>
    <col min="622" max="623" width="9" style="149" customWidth="1"/>
    <col min="624" max="626" width="9" style="148" customWidth="1"/>
    <col min="627" max="629" width="9" style="149" customWidth="1"/>
    <col min="630" max="633" width="9" style="19" customWidth="1"/>
    <col min="634" max="634" width="10.44140625" style="19" customWidth="1"/>
    <col min="635" max="636" width="9.44140625" style="19" customWidth="1"/>
    <col min="637" max="637" width="12.21875" style="1" customWidth="1"/>
    <col min="638" max="639" width="10.6640625" style="1" customWidth="1"/>
    <col min="640" max="640" width="10.6640625" style="86" customWidth="1"/>
    <col min="641" max="642" width="9.88671875" style="19" customWidth="1"/>
    <col min="643" max="643" width="10.109375" style="1" customWidth="1"/>
    <col min="644" max="645" width="9" style="19" customWidth="1"/>
    <col min="646" max="646" width="10.109375" style="1" customWidth="1"/>
    <col min="647" max="648" width="9" style="19" customWidth="1"/>
    <col min="649" max="651" width="10.109375" style="1" customWidth="1"/>
    <col min="652" max="652" width="11.109375" style="19" customWidth="1"/>
    <col min="653" max="653" width="11.21875" style="19" customWidth="1"/>
    <col min="654" max="655" width="9" style="19" customWidth="1"/>
    <col min="656" max="656" width="10.6640625" style="1" customWidth="1"/>
    <col min="657" max="659" width="10.109375" style="1" customWidth="1"/>
    <col min="660" max="660" width="10.21875" style="1" customWidth="1"/>
    <col min="661" max="661" width="10.109375" style="1" customWidth="1"/>
    <col min="662" max="662" width="10.109375" style="121" customWidth="1"/>
    <col min="663" max="663" width="10.88671875" style="121" customWidth="1"/>
    <col min="664" max="665" width="10.109375" style="121" customWidth="1"/>
    <col min="666" max="701" width="11.6640625" style="121" customWidth="1"/>
    <col min="702" max="702" width="9.109375" style="1" customWidth="1"/>
    <col min="703" max="706" width="8.88671875" style="1" customWidth="1"/>
    <col min="707" max="716" width="11.6640625" style="121" customWidth="1"/>
    <col min="717" max="717" width="11.6640625" style="625" customWidth="1"/>
    <col min="718" max="721" width="11.6640625" style="623" customWidth="1"/>
    <col min="722" max="722" width="11.6640625" style="625" customWidth="1"/>
    <col min="723" max="726" width="11.6640625" style="623" customWidth="1"/>
    <col min="727" max="731" width="8.88671875" style="1" customWidth="1"/>
    <col min="732" max="732" width="9.6640625" style="1" customWidth="1"/>
    <col min="733" max="733" width="9" style="1" customWidth="1"/>
    <col min="734" max="735" width="7.5546875" style="1" customWidth="1"/>
    <col min="736" max="741" width="9" style="1" customWidth="1"/>
    <col min="742" max="742" width="9.6640625" style="1" customWidth="1"/>
    <col min="743" max="743" width="9" style="1" customWidth="1"/>
    <col min="744" max="744" width="8.6640625" style="1" customWidth="1"/>
    <col min="745" max="745" width="8.44140625" style="1" customWidth="1"/>
    <col min="746" max="746" width="9" style="1" customWidth="1"/>
    <col min="747" max="747" width="9.6640625" style="1" customWidth="1"/>
    <col min="748" max="748" width="9" style="1" customWidth="1"/>
    <col min="749" max="749" width="8.6640625" style="1" customWidth="1"/>
    <col min="750" max="750" width="8.44140625" style="1" customWidth="1"/>
    <col min="751" max="751" width="9" style="1" customWidth="1"/>
    <col min="752" max="752" width="9.6640625" style="1" customWidth="1"/>
    <col min="753" max="753" width="10.88671875" style="1" customWidth="1"/>
    <col min="754" max="756" width="8.88671875" style="1" customWidth="1"/>
    <col min="757" max="757" width="10.44140625" style="1" customWidth="1"/>
    <col min="758" max="758" width="9.21875" style="1" customWidth="1"/>
    <col min="759" max="766" width="8.88671875" style="1" customWidth="1"/>
    <col min="767" max="768" width="9.21875" style="1" customWidth="1"/>
    <col min="769" max="771" width="8.88671875" style="1" customWidth="1"/>
    <col min="772" max="773" width="9.21875" style="1" customWidth="1"/>
    <col min="774" max="781" width="8.88671875" style="1" customWidth="1"/>
    <col min="782" max="782" width="9.33203125" style="1" customWidth="1"/>
    <col min="783" max="783" width="9.21875" style="1" bestFit="1" customWidth="1"/>
    <col min="784" max="786" width="8.88671875" style="1"/>
    <col min="787" max="788" width="9.21875" style="1" bestFit="1" customWidth="1"/>
    <col min="789" max="791" width="8.88671875" style="1"/>
    <col min="792" max="792" width="8.88671875" style="50"/>
    <col min="793" max="793" width="8.77734375" style="1" customWidth="1"/>
    <col min="794" max="796" width="8.88671875" style="1"/>
    <col min="797" max="797" width="8.88671875" style="50"/>
    <col min="798" max="798" width="8.77734375" style="1" customWidth="1"/>
    <col min="799" max="16384" width="8.88671875" style="1"/>
  </cols>
  <sheetData>
    <row r="1" spans="1:806" s="505" customFormat="1" ht="35.1">
      <c r="A1" s="686"/>
      <c r="B1" s="710" t="s">
        <v>172</v>
      </c>
      <c r="C1" s="711"/>
      <c r="D1" s="711"/>
      <c r="E1" s="711"/>
      <c r="F1" s="711"/>
      <c r="G1" s="712"/>
      <c r="H1" s="712"/>
      <c r="I1" s="712"/>
      <c r="J1" s="712"/>
      <c r="K1" s="712"/>
      <c r="L1" s="712"/>
      <c r="M1" s="712"/>
      <c r="N1" s="712"/>
      <c r="O1" s="712"/>
      <c r="P1" s="712"/>
      <c r="Q1" s="712"/>
      <c r="R1" s="712"/>
      <c r="S1" s="712"/>
      <c r="T1" s="712"/>
      <c r="U1" s="713"/>
      <c r="V1" s="712"/>
      <c r="W1" s="712"/>
      <c r="X1" s="712"/>
      <c r="Y1" s="712"/>
      <c r="Z1" s="712"/>
      <c r="AA1" s="712"/>
      <c r="AB1" s="712"/>
      <c r="AC1" s="712"/>
      <c r="AD1" s="712"/>
      <c r="AE1" s="712"/>
      <c r="AF1" s="714"/>
      <c r="AG1" s="712"/>
      <c r="AH1" s="712"/>
      <c r="AI1" s="712"/>
      <c r="AJ1" s="712"/>
      <c r="AK1" s="712"/>
      <c r="AL1" s="712"/>
      <c r="AM1" s="715"/>
      <c r="AN1" s="715"/>
      <c r="AO1" s="712"/>
      <c r="AP1" s="712"/>
      <c r="AQ1" s="712"/>
      <c r="AR1" s="712"/>
      <c r="AS1" s="712"/>
      <c r="AT1" s="712"/>
      <c r="AU1" s="714"/>
      <c r="AV1" s="712"/>
      <c r="AW1" s="712"/>
      <c r="AX1" s="712"/>
      <c r="AY1" s="712"/>
      <c r="AZ1" s="714"/>
      <c r="BA1" s="714"/>
      <c r="BB1" s="712"/>
      <c r="BC1" s="712"/>
      <c r="BD1" s="712"/>
      <c r="BE1" s="714"/>
      <c r="BF1" s="712"/>
      <c r="BG1" s="712"/>
      <c r="BH1" s="712"/>
      <c r="BI1" s="712"/>
      <c r="BJ1" s="712"/>
      <c r="BK1" s="712"/>
      <c r="BL1" s="712"/>
      <c r="BM1" s="712"/>
      <c r="BN1" s="712"/>
      <c r="BO1" s="714"/>
      <c r="BP1" s="712"/>
      <c r="BQ1" s="712"/>
      <c r="BR1" s="712"/>
      <c r="BS1" s="712"/>
      <c r="BT1" s="714"/>
      <c r="BU1" s="712"/>
      <c r="BV1" s="712"/>
      <c r="BW1" s="712"/>
      <c r="BX1" s="715"/>
      <c r="BY1" s="712"/>
      <c r="BZ1" s="712"/>
      <c r="CA1" s="712"/>
      <c r="CB1" s="712"/>
      <c r="CC1" s="716" t="s">
        <v>173</v>
      </c>
      <c r="CD1" s="717"/>
      <c r="CE1" s="717"/>
      <c r="CF1" s="717"/>
      <c r="CG1" s="717"/>
      <c r="CH1" s="717"/>
      <c r="CI1" s="717"/>
      <c r="CJ1" s="717"/>
      <c r="CK1" s="717"/>
      <c r="CL1" s="718"/>
      <c r="CM1" s="716" t="s">
        <v>173</v>
      </c>
      <c r="CN1" s="717"/>
      <c r="CO1" s="717"/>
      <c r="CP1" s="717"/>
      <c r="CQ1" s="719"/>
      <c r="CR1" s="717"/>
      <c r="CS1" s="717"/>
      <c r="CT1" s="717"/>
      <c r="CU1" s="717"/>
      <c r="CV1" s="718"/>
      <c r="CW1" s="717"/>
      <c r="CX1" s="717"/>
      <c r="CY1" s="717"/>
      <c r="CZ1" s="717"/>
      <c r="DA1" s="717"/>
      <c r="DB1" s="717"/>
      <c r="DC1" s="717"/>
      <c r="DD1" s="717"/>
      <c r="DE1" s="717"/>
      <c r="DF1" s="717"/>
      <c r="DG1" s="717"/>
      <c r="DH1" s="717"/>
      <c r="DI1" s="717"/>
      <c r="DJ1" s="717"/>
      <c r="DK1" s="717"/>
      <c r="DL1" s="717"/>
      <c r="DM1" s="717"/>
      <c r="DN1" s="717"/>
      <c r="DO1" s="717"/>
      <c r="DP1" s="717"/>
      <c r="DQ1" s="717"/>
      <c r="DR1" s="717"/>
      <c r="DS1" s="717"/>
      <c r="DT1" s="717"/>
      <c r="DU1" s="717"/>
      <c r="DV1" s="717"/>
      <c r="DW1" s="717"/>
      <c r="DX1" s="717"/>
      <c r="DY1" s="717"/>
      <c r="DZ1" s="717"/>
      <c r="EA1" s="717"/>
      <c r="EB1" s="717"/>
      <c r="EC1" s="717"/>
      <c r="ED1" s="717"/>
      <c r="EE1" s="717"/>
      <c r="EF1" s="720"/>
      <c r="EG1" s="717"/>
      <c r="EH1" s="717"/>
      <c r="EI1" s="717"/>
      <c r="EJ1" s="717"/>
      <c r="EK1" s="720"/>
      <c r="EL1" s="717"/>
      <c r="EM1" s="717"/>
      <c r="EN1" s="717"/>
      <c r="EO1" s="717"/>
      <c r="EP1" s="720"/>
      <c r="EQ1" s="717"/>
      <c r="ER1" s="717"/>
      <c r="ES1" s="717"/>
      <c r="ET1" s="720"/>
      <c r="EU1" s="717"/>
      <c r="EV1" s="717"/>
      <c r="EW1" s="717"/>
      <c r="EX1" s="717"/>
      <c r="EY1" s="721" t="s">
        <v>174</v>
      </c>
      <c r="EZ1" s="721"/>
      <c r="FA1" s="721"/>
      <c r="FB1" s="721"/>
      <c r="FC1" s="721"/>
      <c r="FD1" s="722" t="s">
        <v>175</v>
      </c>
      <c r="FE1" s="723"/>
      <c r="FF1" s="723"/>
      <c r="FG1" s="723"/>
      <c r="FH1" s="724"/>
      <c r="FI1" s="724"/>
      <c r="FJ1" s="724"/>
      <c r="FK1" s="724"/>
      <c r="FL1" s="724"/>
      <c r="FM1" s="724"/>
      <c r="FN1" s="724"/>
      <c r="FO1" s="724"/>
      <c r="FP1" s="724"/>
      <c r="FQ1" s="724"/>
      <c r="FR1" s="724"/>
      <c r="FS1" s="724"/>
      <c r="FT1" s="724"/>
      <c r="FU1" s="724"/>
      <c r="FV1" s="724"/>
      <c r="FW1" s="724"/>
      <c r="FX1" s="724"/>
      <c r="FY1" s="724"/>
      <c r="FZ1" s="724"/>
      <c r="GA1" s="724"/>
      <c r="GB1" s="724"/>
      <c r="GC1" s="724"/>
      <c r="GD1" s="724"/>
      <c r="GE1" s="724"/>
      <c r="GF1" s="724"/>
      <c r="GG1" s="724"/>
      <c r="GH1" s="724"/>
      <c r="GI1" s="724"/>
      <c r="GJ1" s="724"/>
      <c r="GK1" s="724"/>
      <c r="GL1" s="724"/>
      <c r="GM1" s="724"/>
      <c r="GN1" s="724"/>
      <c r="GO1" s="724"/>
      <c r="GP1" s="724"/>
      <c r="GQ1" s="724"/>
      <c r="GR1" s="724"/>
      <c r="GS1" s="724"/>
      <c r="GT1" s="724"/>
      <c r="GU1" s="724"/>
      <c r="GV1" s="724"/>
      <c r="GW1" s="725"/>
      <c r="GX1" s="724"/>
      <c r="GY1" s="724"/>
      <c r="GZ1" s="724"/>
      <c r="HA1" s="724"/>
      <c r="HB1" s="724"/>
      <c r="HC1" s="724"/>
      <c r="HD1" s="725"/>
      <c r="HE1" s="724"/>
      <c r="HF1" s="724"/>
      <c r="HG1" s="724"/>
      <c r="HH1" s="724"/>
      <c r="HI1" s="724"/>
      <c r="HJ1" s="724"/>
      <c r="HK1" s="724"/>
      <c r="HL1" s="725"/>
      <c r="HM1" s="724"/>
      <c r="HN1" s="724"/>
      <c r="HO1" s="724"/>
      <c r="HP1" s="724"/>
      <c r="HQ1" s="724"/>
      <c r="HR1" s="724"/>
      <c r="HS1" s="724"/>
      <c r="HT1" s="724"/>
      <c r="HU1" s="724"/>
      <c r="HV1" s="724"/>
      <c r="HW1" s="724"/>
      <c r="HX1" s="724"/>
      <c r="HY1" s="724"/>
      <c r="HZ1" s="724"/>
      <c r="IA1" s="724"/>
      <c r="IB1" s="724"/>
      <c r="IC1" s="724"/>
      <c r="ID1" s="724"/>
      <c r="IE1" s="724"/>
      <c r="IF1" s="724"/>
      <c r="IG1" s="724"/>
      <c r="IH1" s="724"/>
      <c r="II1" s="724"/>
      <c r="IJ1" s="726"/>
      <c r="IK1" s="724"/>
      <c r="IL1" s="724"/>
      <c r="IM1" s="724"/>
      <c r="IN1" s="724"/>
      <c r="IO1" s="726"/>
      <c r="IP1" s="724"/>
      <c r="IQ1" s="724"/>
      <c r="IR1" s="724"/>
      <c r="IS1" s="724"/>
      <c r="IT1" s="726"/>
      <c r="IU1" s="724"/>
      <c r="IV1" s="724"/>
      <c r="IW1" s="724"/>
      <c r="IX1" s="724"/>
      <c r="IY1" s="727" t="s">
        <v>176</v>
      </c>
      <c r="IZ1" s="728"/>
      <c r="JA1" s="728"/>
      <c r="JB1" s="728"/>
      <c r="JC1" s="728"/>
      <c r="JD1" s="728"/>
      <c r="JE1" s="728"/>
      <c r="JF1" s="728"/>
      <c r="JG1" s="728"/>
      <c r="JH1" s="728"/>
      <c r="JI1" s="728"/>
      <c r="JJ1" s="728"/>
      <c r="JK1" s="728"/>
      <c r="JL1" s="728"/>
      <c r="JM1" s="728"/>
      <c r="JN1" s="728"/>
      <c r="JO1" s="728"/>
      <c r="JP1" s="728"/>
      <c r="JQ1" s="728"/>
      <c r="JR1" s="728"/>
      <c r="JS1" s="728"/>
      <c r="JT1" s="728"/>
      <c r="JU1" s="728"/>
      <c r="JV1" s="728"/>
      <c r="JW1" s="728"/>
      <c r="JX1" s="728"/>
      <c r="JY1" s="728"/>
      <c r="JZ1" s="728"/>
      <c r="KA1" s="728"/>
      <c r="KB1" s="728"/>
      <c r="KC1" s="728"/>
      <c r="KD1" s="728"/>
      <c r="KE1" s="728"/>
      <c r="KF1" s="728"/>
      <c r="KG1" s="728"/>
      <c r="KH1" s="728"/>
      <c r="KI1" s="728"/>
      <c r="KJ1" s="728"/>
      <c r="KK1" s="728"/>
      <c r="KL1" s="728"/>
      <c r="KM1" s="728"/>
      <c r="KN1" s="728"/>
      <c r="KO1" s="728"/>
      <c r="KP1" s="728"/>
      <c r="KQ1" s="728"/>
      <c r="KR1" s="728"/>
      <c r="KS1" s="728"/>
      <c r="KT1" s="728"/>
      <c r="KU1" s="728"/>
      <c r="KV1" s="728"/>
      <c r="KW1" s="728"/>
      <c r="KX1" s="728"/>
      <c r="KY1" s="728"/>
      <c r="KZ1" s="728"/>
      <c r="LA1" s="728"/>
      <c r="LB1" s="729"/>
      <c r="LC1" s="729"/>
      <c r="LD1" s="729"/>
      <c r="LE1" s="729"/>
      <c r="LF1" s="729"/>
      <c r="LG1" s="729"/>
      <c r="LH1" s="729"/>
      <c r="LI1" s="728"/>
      <c r="LJ1" s="728"/>
      <c r="LK1" s="728"/>
      <c r="LL1" s="730"/>
      <c r="LM1" s="729"/>
      <c r="LN1" s="729"/>
      <c r="LO1" s="729"/>
      <c r="LP1" s="729"/>
      <c r="LQ1" s="730"/>
      <c r="LR1" s="729"/>
      <c r="LS1" s="729"/>
      <c r="LT1" s="729"/>
      <c r="LU1" s="729"/>
      <c r="LV1" s="730"/>
      <c r="LW1" s="729"/>
      <c r="LX1" s="729"/>
      <c r="LY1" s="729"/>
      <c r="LZ1" s="729"/>
      <c r="MA1" s="731" t="s">
        <v>177</v>
      </c>
      <c r="MB1" s="732"/>
      <c r="MC1" s="732"/>
      <c r="MD1" s="732"/>
      <c r="ME1" s="732"/>
      <c r="MF1" s="732"/>
      <c r="MG1" s="732"/>
      <c r="MH1" s="732"/>
      <c r="MI1" s="732"/>
      <c r="MJ1" s="732"/>
      <c r="MK1" s="732"/>
      <c r="ML1" s="732"/>
      <c r="MM1" s="732"/>
      <c r="MN1" s="732"/>
      <c r="MO1" s="732"/>
      <c r="MP1" s="732"/>
      <c r="MQ1" s="733"/>
      <c r="MR1" s="733"/>
      <c r="MS1" s="733"/>
      <c r="MT1" s="733"/>
      <c r="MU1" s="733"/>
      <c r="MV1" s="733"/>
      <c r="MW1" s="733"/>
      <c r="MX1" s="733"/>
      <c r="MY1" s="733"/>
      <c r="MZ1" s="733"/>
      <c r="NA1" s="733"/>
      <c r="NB1" s="733"/>
      <c r="NC1" s="733"/>
      <c r="ND1" s="733"/>
      <c r="NE1" s="733"/>
      <c r="NF1" s="733"/>
      <c r="NG1" s="733"/>
      <c r="NH1" s="733"/>
      <c r="NI1" s="733"/>
      <c r="NJ1" s="733"/>
      <c r="NK1" s="733"/>
      <c r="NL1" s="733"/>
      <c r="NM1" s="733"/>
      <c r="NN1" s="733"/>
      <c r="NO1" s="733"/>
      <c r="NP1" s="733"/>
      <c r="NQ1" s="733"/>
      <c r="NR1" s="733"/>
      <c r="NS1" s="733"/>
      <c r="NT1" s="733"/>
      <c r="NU1" s="733"/>
      <c r="NV1" s="733"/>
      <c r="NW1" s="733"/>
      <c r="NX1" s="733"/>
      <c r="NY1" s="733"/>
      <c r="NZ1" s="733"/>
      <c r="OA1" s="733"/>
      <c r="OB1" s="733"/>
      <c r="OC1" s="733"/>
      <c r="OD1" s="733"/>
      <c r="OE1" s="733"/>
      <c r="OF1" s="733"/>
      <c r="OG1" s="733"/>
      <c r="OH1" s="733"/>
      <c r="OI1" s="734"/>
      <c r="OJ1" s="733"/>
      <c r="OK1" s="733"/>
      <c r="OL1" s="733"/>
      <c r="OM1" s="733"/>
      <c r="ON1" s="734"/>
      <c r="OO1" s="733"/>
      <c r="OP1" s="733"/>
      <c r="OQ1" s="733"/>
      <c r="OR1" s="733"/>
      <c r="OS1" s="734"/>
      <c r="OT1" s="733"/>
      <c r="OU1" s="733"/>
      <c r="OV1" s="733"/>
      <c r="OW1" s="733"/>
      <c r="OX1" s="735" t="s">
        <v>178</v>
      </c>
      <c r="OY1" s="736"/>
      <c r="OZ1" s="736"/>
      <c r="PA1" s="736"/>
      <c r="PB1" s="736"/>
      <c r="PC1" s="736"/>
      <c r="PD1" s="736"/>
      <c r="PE1" s="736"/>
      <c r="PF1" s="736"/>
      <c r="PG1" s="736"/>
      <c r="PH1" s="737"/>
      <c r="PI1" s="738"/>
      <c r="PJ1" s="738"/>
      <c r="PK1" s="738"/>
      <c r="PL1" s="738"/>
      <c r="PM1" s="738"/>
      <c r="PN1" s="738"/>
      <c r="PO1" s="738"/>
      <c r="PP1" s="738"/>
      <c r="PQ1" s="738"/>
      <c r="PR1" s="735"/>
      <c r="PS1" s="738"/>
      <c r="PT1" s="738"/>
      <c r="PU1" s="738"/>
      <c r="PV1" s="738"/>
      <c r="PW1" s="738"/>
      <c r="PX1" s="738"/>
      <c r="PY1" s="738"/>
      <c r="PZ1" s="738"/>
      <c r="QA1" s="738"/>
      <c r="QB1" s="738"/>
      <c r="QC1" s="738"/>
      <c r="QD1" s="738"/>
      <c r="QE1" s="738"/>
      <c r="QF1" s="738"/>
      <c r="QG1" s="738"/>
      <c r="QH1" s="738"/>
      <c r="QI1" s="738"/>
      <c r="QJ1" s="738"/>
      <c r="QK1" s="738"/>
      <c r="QL1" s="738"/>
      <c r="QM1" s="738"/>
      <c r="QN1" s="738"/>
      <c r="QO1" s="738"/>
      <c r="QP1" s="738"/>
      <c r="QQ1" s="738"/>
      <c r="QR1" s="738"/>
      <c r="QS1" s="738"/>
      <c r="QT1" s="738"/>
      <c r="QU1" s="738"/>
      <c r="QV1" s="738"/>
      <c r="QW1" s="738"/>
      <c r="QX1" s="738"/>
      <c r="QY1" s="738"/>
      <c r="QZ1" s="738"/>
      <c r="RA1" s="738"/>
      <c r="RB1" s="738"/>
      <c r="RC1" s="738"/>
      <c r="RD1" s="738"/>
      <c r="RE1" s="738"/>
      <c r="RF1" s="738"/>
      <c r="RG1" s="738"/>
      <c r="RH1" s="738"/>
      <c r="RI1" s="738"/>
      <c r="RJ1" s="738"/>
      <c r="RK1" s="738"/>
      <c r="RL1" s="738"/>
      <c r="RM1" s="738"/>
      <c r="RN1" s="738"/>
      <c r="RO1" s="738"/>
      <c r="RP1" s="738"/>
      <c r="RQ1" s="738"/>
      <c r="RR1" s="738"/>
      <c r="RS1" s="738"/>
      <c r="RT1" s="738"/>
      <c r="RU1" s="739" t="s">
        <v>179</v>
      </c>
      <c r="RV1" s="740"/>
      <c r="RW1" s="740"/>
      <c r="RX1" s="740"/>
      <c r="RY1" s="740"/>
      <c r="RZ1" s="740"/>
      <c r="SA1" s="740"/>
      <c r="SB1" s="740"/>
      <c r="SC1" s="740"/>
      <c r="SD1" s="740"/>
      <c r="SE1" s="740"/>
      <c r="SF1" s="740"/>
      <c r="SG1" s="740"/>
      <c r="SH1" s="740"/>
      <c r="SI1" s="740"/>
      <c r="SJ1" s="740"/>
      <c r="SK1" s="740"/>
      <c r="SL1" s="740"/>
      <c r="SM1" s="740"/>
      <c r="SN1" s="740"/>
      <c r="SO1" s="740"/>
      <c r="SP1" s="740"/>
      <c r="SQ1" s="740"/>
      <c r="SR1" s="740"/>
      <c r="SS1" s="740"/>
      <c r="ST1" s="740"/>
      <c r="SU1" s="740"/>
      <c r="SV1" s="740"/>
      <c r="SW1" s="740"/>
      <c r="SX1" s="740"/>
      <c r="SY1" s="740"/>
      <c r="SZ1" s="740"/>
      <c r="TA1" s="740"/>
      <c r="TB1" s="740"/>
      <c r="TC1" s="740"/>
      <c r="TD1" s="740"/>
      <c r="TE1" s="740"/>
      <c r="TF1" s="740"/>
      <c r="TG1" s="740"/>
      <c r="TH1" s="740"/>
      <c r="TI1" s="740"/>
      <c r="TJ1" s="740"/>
      <c r="TK1" s="740"/>
      <c r="TL1" s="740"/>
      <c r="TM1" s="740"/>
      <c r="TN1" s="740"/>
      <c r="TO1" s="740"/>
      <c r="TP1" s="740"/>
      <c r="TQ1" s="740"/>
      <c r="TR1" s="740"/>
      <c r="TS1" s="740"/>
      <c r="TT1" s="740"/>
      <c r="TU1" s="740"/>
      <c r="TV1" s="740"/>
      <c r="TW1" s="740"/>
      <c r="TX1" s="740"/>
      <c r="TY1" s="740"/>
      <c r="TZ1" s="740"/>
      <c r="UA1" s="740"/>
      <c r="UB1" s="740"/>
      <c r="UC1" s="741"/>
      <c r="UD1" s="740"/>
      <c r="UE1" s="740"/>
      <c r="UF1" s="740"/>
      <c r="UG1" s="740"/>
      <c r="UH1" s="741"/>
      <c r="UI1" s="740"/>
      <c r="UJ1" s="740"/>
      <c r="UK1" s="740"/>
      <c r="UL1" s="740"/>
      <c r="UM1" s="741"/>
      <c r="UN1" s="740"/>
      <c r="UO1" s="740"/>
      <c r="UP1" s="740"/>
      <c r="UQ1" s="740"/>
      <c r="UR1" s="742" t="s">
        <v>180</v>
      </c>
      <c r="US1" s="744"/>
      <c r="UT1" s="744"/>
      <c r="UU1" s="742"/>
      <c r="UV1" s="744"/>
      <c r="UW1" s="744"/>
      <c r="UX1" s="744"/>
      <c r="UY1" s="744"/>
      <c r="UZ1" s="744"/>
      <c r="VA1" s="744"/>
      <c r="VB1" s="744"/>
      <c r="VC1" s="744"/>
      <c r="VD1" s="744"/>
      <c r="VE1" s="744"/>
      <c r="VF1" s="744"/>
      <c r="VG1" s="744"/>
      <c r="VH1" s="744"/>
      <c r="VI1" s="744"/>
      <c r="VJ1" s="742"/>
      <c r="VK1" s="744"/>
      <c r="VL1" s="744"/>
      <c r="VM1" s="743"/>
      <c r="VN1" s="744"/>
      <c r="VO1" s="744"/>
      <c r="VP1" s="744"/>
      <c r="VQ1" s="744"/>
      <c r="VR1" s="743"/>
      <c r="VS1" s="744"/>
      <c r="VT1" s="744"/>
      <c r="VU1" s="743"/>
      <c r="VV1" s="744"/>
      <c r="VW1" s="744"/>
      <c r="VX1" s="744"/>
      <c r="VY1" s="744"/>
      <c r="VZ1" s="744"/>
      <c r="WA1" s="744"/>
      <c r="WB1" s="744"/>
      <c r="WC1" s="744"/>
      <c r="WD1" s="744"/>
      <c r="WE1" s="744"/>
      <c r="WF1" s="744"/>
      <c r="WG1" s="743"/>
      <c r="WH1" s="744"/>
      <c r="WI1" s="744"/>
      <c r="WJ1" s="743"/>
      <c r="WK1" s="743"/>
      <c r="WL1" s="745"/>
      <c r="WM1" s="745"/>
      <c r="WN1" s="745"/>
      <c r="WO1" s="745"/>
      <c r="WP1" s="743"/>
      <c r="WQ1" s="743"/>
      <c r="WR1" s="745"/>
      <c r="WS1" s="746"/>
      <c r="WT1" s="743"/>
      <c r="WU1" s="746"/>
      <c r="WV1" s="746"/>
      <c r="WW1" s="743"/>
      <c r="WX1" s="746"/>
      <c r="WY1" s="746"/>
      <c r="WZ1" s="746"/>
      <c r="XA1" s="746"/>
      <c r="XB1" s="746"/>
      <c r="XC1" s="746"/>
      <c r="XD1" s="746"/>
      <c r="XE1" s="746"/>
      <c r="XF1" s="746"/>
      <c r="XG1" s="746"/>
      <c r="XH1" s="746"/>
      <c r="XI1" s="746"/>
      <c r="XJ1" s="745"/>
      <c r="XK1" s="746"/>
      <c r="XL1" s="746"/>
      <c r="XM1" s="747"/>
      <c r="XN1" s="747"/>
      <c r="XO1" s="747"/>
      <c r="XP1" s="748"/>
      <c r="XQ1" s="746"/>
      <c r="XR1" s="746"/>
      <c r="XS1" s="747"/>
      <c r="XT1" s="746"/>
      <c r="XU1" s="746"/>
      <c r="XV1" s="747"/>
      <c r="XW1" s="746"/>
      <c r="XX1" s="746"/>
      <c r="XY1" s="747"/>
      <c r="XZ1" s="749"/>
      <c r="YA1" s="749"/>
      <c r="YB1" s="749"/>
      <c r="YC1" s="746"/>
      <c r="YD1" s="746"/>
      <c r="YE1" s="745"/>
      <c r="YF1" s="747"/>
      <c r="YG1" s="750"/>
      <c r="YH1" s="751"/>
      <c r="YI1" s="750"/>
      <c r="YJ1" s="750"/>
      <c r="YK1" s="750"/>
      <c r="YL1" s="752"/>
      <c r="YM1" s="751"/>
      <c r="YN1" s="749"/>
      <c r="YO1" s="749"/>
      <c r="YP1" s="749"/>
      <c r="YQ1" s="750"/>
      <c r="YR1" s="750"/>
      <c r="YS1" s="750"/>
      <c r="YT1" s="750"/>
      <c r="YU1" s="753"/>
      <c r="YV1" s="750"/>
      <c r="YW1" s="750"/>
      <c r="YX1" s="750"/>
      <c r="YY1" s="750"/>
      <c r="YZ1" s="753"/>
      <c r="ZA1" s="751"/>
      <c r="ZB1" s="750"/>
      <c r="ZC1" s="750"/>
      <c r="ZD1" s="750"/>
      <c r="ZE1" s="750"/>
      <c r="ZF1" s="750"/>
      <c r="ZG1" s="750"/>
      <c r="ZH1" s="750"/>
      <c r="ZI1" s="750"/>
      <c r="ZJ1" s="750"/>
      <c r="ZK1" s="750"/>
      <c r="ZL1" s="750"/>
      <c r="ZM1" s="750"/>
      <c r="ZN1" s="750"/>
      <c r="ZO1" s="750"/>
      <c r="ZP1" s="750"/>
      <c r="ZQ1" s="750"/>
      <c r="ZR1" s="750"/>
      <c r="ZS1" s="750"/>
      <c r="ZT1" s="750"/>
      <c r="ZU1" s="750"/>
      <c r="ZV1" s="750"/>
      <c r="ZW1" s="750"/>
      <c r="ZX1" s="750"/>
      <c r="ZY1" s="750"/>
      <c r="ZZ1" s="715"/>
      <c r="AAA1" s="755"/>
      <c r="AAB1" s="755"/>
      <c r="AAC1" s="755"/>
      <c r="AAD1" s="755"/>
      <c r="AAE1" s="750"/>
      <c r="AAF1" s="750"/>
      <c r="AAG1" s="750"/>
      <c r="AAH1" s="750"/>
      <c r="AAI1" s="750"/>
      <c r="AAJ1" s="750"/>
      <c r="AAK1" s="750"/>
      <c r="AAL1" s="750"/>
      <c r="AAM1" s="750"/>
      <c r="AAN1" s="750"/>
      <c r="AAO1" s="754"/>
      <c r="AAP1" s="745"/>
      <c r="AAQ1" s="745"/>
      <c r="AAR1" s="745"/>
      <c r="AAS1" s="745"/>
      <c r="AAT1" s="754"/>
      <c r="AAU1" s="745"/>
      <c r="AAV1" s="745"/>
      <c r="AAW1" s="745"/>
      <c r="AAX1" s="745"/>
      <c r="AAY1" s="755" t="s">
        <v>181</v>
      </c>
      <c r="AAZ1" s="755"/>
      <c r="ABA1" s="755"/>
      <c r="ABB1" s="755"/>
      <c r="ABC1" s="755"/>
      <c r="ABD1" s="755"/>
      <c r="ABE1" s="755"/>
      <c r="ABF1" s="755"/>
      <c r="ABG1" s="755"/>
      <c r="ABH1" s="755"/>
      <c r="ABI1" s="755"/>
      <c r="ABJ1" s="755"/>
      <c r="ABK1" s="755"/>
      <c r="ABL1" s="755"/>
      <c r="ABM1" s="755"/>
      <c r="ABN1" s="755"/>
      <c r="ABO1" s="755"/>
      <c r="ABP1" s="755"/>
      <c r="ABQ1" s="755"/>
      <c r="ABR1" s="755"/>
      <c r="ABS1" s="755"/>
      <c r="ABT1" s="755"/>
      <c r="ABU1" s="755"/>
      <c r="ABV1" s="755"/>
      <c r="ABW1" s="755"/>
      <c r="ABX1" s="755"/>
      <c r="ABY1" s="755"/>
      <c r="ABZ1" s="755"/>
      <c r="ACA1" s="755"/>
      <c r="ACB1" s="755"/>
      <c r="ACC1" s="755"/>
      <c r="ACD1" s="755"/>
      <c r="ACE1" s="755"/>
      <c r="ACF1" s="755"/>
      <c r="ACG1" s="755"/>
      <c r="ACH1" s="755"/>
      <c r="ACI1" s="755"/>
      <c r="ACJ1" s="755"/>
      <c r="ACK1" s="755"/>
      <c r="ACL1" s="755"/>
      <c r="ACM1" s="755"/>
      <c r="ACN1" s="755"/>
      <c r="ACO1" s="755"/>
      <c r="ACP1" s="755"/>
      <c r="ACQ1" s="755"/>
      <c r="ACR1" s="755"/>
      <c r="ACS1" s="755"/>
      <c r="ACT1" s="755"/>
      <c r="ACU1" s="755"/>
      <c r="ACV1" s="755"/>
      <c r="ACW1" s="755"/>
      <c r="ACX1" s="755"/>
      <c r="ACY1" s="755"/>
      <c r="ACZ1" s="755"/>
      <c r="ADA1" s="755"/>
      <c r="ADB1" s="755"/>
      <c r="ADC1" s="755"/>
      <c r="ADD1" s="755"/>
      <c r="ADE1" s="755"/>
      <c r="ADF1" s="755"/>
      <c r="ADG1" s="755"/>
      <c r="ADH1" s="755"/>
      <c r="ADI1" s="755"/>
      <c r="ADJ1" s="755"/>
      <c r="ADK1" s="755"/>
      <c r="ADL1" s="755"/>
      <c r="ADM1" s="755"/>
      <c r="ADN1" s="755"/>
      <c r="ADO1" s="755"/>
      <c r="ADP1" s="755"/>
      <c r="ADQ1" s="755"/>
      <c r="ADR1" s="755"/>
      <c r="ADS1" s="755"/>
      <c r="ADT1" s="755"/>
      <c r="ADU1" s="755"/>
      <c r="ADV1" s="755"/>
      <c r="ADW1" s="755"/>
      <c r="ADX1" s="755"/>
      <c r="ADY1" s="755"/>
      <c r="ADZ1" s="755"/>
    </row>
    <row r="2" spans="1:806" ht="24.95">
      <c r="B2" s="32">
        <v>1980</v>
      </c>
      <c r="C2" s="30"/>
      <c r="D2" s="30"/>
      <c r="E2" s="30"/>
      <c r="F2" s="33"/>
      <c r="G2" s="30">
        <v>1990</v>
      </c>
      <c r="H2" s="30"/>
      <c r="I2" s="30"/>
      <c r="J2" s="30"/>
      <c r="K2" s="33"/>
      <c r="L2" s="30">
        <v>2000</v>
      </c>
      <c r="M2" s="30"/>
      <c r="N2" s="30"/>
      <c r="O2" s="30"/>
      <c r="P2" s="33"/>
      <c r="Q2" s="128" t="s">
        <v>182</v>
      </c>
      <c r="R2" s="30"/>
      <c r="S2" s="30"/>
      <c r="T2" s="30"/>
      <c r="U2" s="31"/>
      <c r="V2" s="128" t="s">
        <v>183</v>
      </c>
      <c r="W2" s="30"/>
      <c r="X2" s="30"/>
      <c r="Y2" s="30"/>
      <c r="Z2" s="33"/>
      <c r="AA2" s="550" t="s">
        <v>184</v>
      </c>
      <c r="AB2" s="550"/>
      <c r="AC2" s="550"/>
      <c r="AD2" s="550"/>
      <c r="AE2" s="550"/>
      <c r="AF2" s="29" t="s">
        <v>185</v>
      </c>
      <c r="AG2" s="36"/>
      <c r="AH2" s="36"/>
      <c r="AI2" s="36"/>
      <c r="AJ2" s="36"/>
      <c r="AK2" s="675" t="s">
        <v>102</v>
      </c>
      <c r="AL2" s="675"/>
      <c r="AM2" s="54"/>
      <c r="AN2" s="683"/>
      <c r="AO2" s="675"/>
      <c r="AP2" s="36" t="s">
        <v>103</v>
      </c>
      <c r="AQ2" s="36"/>
      <c r="AR2" s="36"/>
      <c r="AS2" s="36"/>
      <c r="AT2" s="36"/>
      <c r="AU2" s="759" t="s">
        <v>104</v>
      </c>
      <c r="AV2" s="760"/>
      <c r="AW2" s="760"/>
      <c r="AX2" s="760"/>
      <c r="AY2" s="760"/>
      <c r="AZ2" s="761"/>
      <c r="BA2" s="761"/>
      <c r="BB2" s="761"/>
      <c r="BC2" s="761"/>
      <c r="BD2" s="761"/>
      <c r="BE2" s="29" t="s">
        <v>105</v>
      </c>
      <c r="BF2" s="36"/>
      <c r="BG2" s="36"/>
      <c r="BH2" s="36"/>
      <c r="BI2" s="36"/>
      <c r="BJ2" s="29" t="s">
        <v>106</v>
      </c>
      <c r="BK2" s="36"/>
      <c r="BL2" s="36"/>
      <c r="BM2" s="36"/>
      <c r="BN2" s="36"/>
      <c r="BO2" s="29" t="s">
        <v>107</v>
      </c>
      <c r="BP2" s="36"/>
      <c r="BQ2" s="36"/>
      <c r="BR2" s="36"/>
      <c r="BS2" s="36"/>
      <c r="BT2" s="548">
        <v>2021</v>
      </c>
      <c r="BU2" s="485"/>
      <c r="BV2" s="485"/>
      <c r="BW2" s="485"/>
      <c r="BX2" s="762"/>
      <c r="BY2" s="762"/>
      <c r="BZ2" s="762"/>
      <c r="CA2" s="762"/>
      <c r="CB2" s="762"/>
      <c r="CC2" s="29">
        <v>1990</v>
      </c>
      <c r="CD2" s="30"/>
      <c r="CE2" s="30"/>
      <c r="CF2" s="30"/>
      <c r="CG2" s="33"/>
      <c r="CH2" s="30">
        <v>2000</v>
      </c>
      <c r="CI2" s="30"/>
      <c r="CJ2" s="30"/>
      <c r="CK2" s="30"/>
      <c r="CL2" s="33"/>
      <c r="CM2" s="128" t="s">
        <v>182</v>
      </c>
      <c r="CN2" s="30"/>
      <c r="CO2" s="129"/>
      <c r="CP2" s="30"/>
      <c r="CQ2" s="31"/>
      <c r="CR2" s="128" t="s">
        <v>183</v>
      </c>
      <c r="CS2" s="30"/>
      <c r="CT2" s="30"/>
      <c r="CU2" s="30"/>
      <c r="CV2" s="33"/>
      <c r="CW2" s="551" t="s">
        <v>100</v>
      </c>
      <c r="CX2" s="551"/>
      <c r="CY2" s="551"/>
      <c r="CZ2" s="551"/>
      <c r="DA2" s="551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29"/>
      <c r="DW2" s="30"/>
      <c r="DX2" s="30"/>
      <c r="DY2" s="30"/>
      <c r="DZ2" s="30"/>
      <c r="EA2" s="29"/>
      <c r="EB2" s="30"/>
      <c r="EC2" s="30"/>
      <c r="ED2" s="30"/>
      <c r="EE2" s="30"/>
      <c r="EF2" s="764"/>
      <c r="EG2" s="30"/>
      <c r="EH2" s="30"/>
      <c r="EI2" s="30"/>
      <c r="EJ2" s="30"/>
      <c r="EK2" s="32"/>
      <c r="EL2" s="30"/>
      <c r="EM2" s="30"/>
      <c r="EN2" s="30"/>
      <c r="EO2" s="30"/>
      <c r="EP2" s="32"/>
      <c r="EQ2" s="30"/>
      <c r="ER2" s="30"/>
      <c r="ES2" s="30"/>
      <c r="ET2" s="32"/>
      <c r="EU2" s="30"/>
      <c r="EV2" s="30"/>
      <c r="EW2" s="30"/>
      <c r="EX2" s="30"/>
      <c r="EY2" s="376" t="s">
        <v>99</v>
      </c>
      <c r="EZ2" s="30"/>
      <c r="FA2" s="30"/>
      <c r="FB2" s="30"/>
      <c r="FC2" s="30"/>
      <c r="FD2" s="32">
        <v>1940</v>
      </c>
      <c r="FE2" s="30">
        <v>1950</v>
      </c>
      <c r="FF2" s="30">
        <v>1960</v>
      </c>
      <c r="FG2" s="30">
        <v>1970</v>
      </c>
      <c r="FH2" s="32">
        <v>1980</v>
      </c>
      <c r="FI2" s="30"/>
      <c r="FJ2" s="30"/>
      <c r="FK2" s="30"/>
      <c r="FL2" s="33"/>
      <c r="FM2" s="30">
        <v>1990</v>
      </c>
      <c r="FN2" s="30"/>
      <c r="FO2" s="30"/>
      <c r="FP2" s="30"/>
      <c r="FQ2" s="33"/>
      <c r="FR2" s="30">
        <v>2000</v>
      </c>
      <c r="FS2" s="30"/>
      <c r="FT2" s="30"/>
      <c r="FU2" s="30"/>
      <c r="FV2" s="36"/>
      <c r="FW2" s="555" t="s">
        <v>95</v>
      </c>
      <c r="FX2" s="551"/>
      <c r="FY2" s="551"/>
      <c r="FZ2" s="551"/>
      <c r="GA2" s="551"/>
      <c r="GB2" s="116" t="s">
        <v>96</v>
      </c>
      <c r="GC2" s="30"/>
      <c r="GD2" s="30"/>
      <c r="GE2" s="30"/>
      <c r="GF2" s="30"/>
      <c r="GG2" s="116" t="s">
        <v>97</v>
      </c>
      <c r="GH2" s="88"/>
      <c r="GI2" s="88"/>
      <c r="GJ2" s="88"/>
      <c r="GK2" s="88"/>
      <c r="GL2" s="376" t="s">
        <v>183</v>
      </c>
      <c r="GM2" s="30"/>
      <c r="GN2" s="30"/>
      <c r="GO2" s="30"/>
      <c r="GP2" s="33"/>
      <c r="GQ2" s="30" t="s">
        <v>186</v>
      </c>
      <c r="GR2" s="30"/>
      <c r="GS2" s="30"/>
      <c r="GT2" s="30"/>
      <c r="GU2" s="384"/>
      <c r="GV2" s="551" t="s">
        <v>100</v>
      </c>
      <c r="GW2" s="556"/>
      <c r="GX2" s="556"/>
      <c r="GY2" s="556"/>
      <c r="GZ2" s="556"/>
      <c r="HA2" s="384"/>
      <c r="HB2" s="503"/>
      <c r="HC2" s="384"/>
      <c r="HD2" s="384"/>
      <c r="HE2" s="384"/>
      <c r="HF2" s="676" t="s">
        <v>102</v>
      </c>
      <c r="HG2" s="677"/>
      <c r="HH2" s="677"/>
      <c r="HI2" s="677"/>
      <c r="HJ2" s="677"/>
      <c r="HK2" s="30" t="s">
        <v>103</v>
      </c>
      <c r="HL2" s="384"/>
      <c r="HM2" s="384"/>
      <c r="HN2" s="384"/>
      <c r="HO2" s="384"/>
      <c r="HP2" s="29" t="s">
        <v>104</v>
      </c>
      <c r="HQ2" s="384"/>
      <c r="HR2" s="384"/>
      <c r="HS2" s="384"/>
      <c r="HT2" s="384"/>
      <c r="HU2" s="762"/>
      <c r="HZ2" s="30" t="s">
        <v>105</v>
      </c>
      <c r="IA2" s="384"/>
      <c r="IB2" s="384"/>
      <c r="IC2" s="384"/>
      <c r="ID2" s="384"/>
      <c r="IE2" s="30" t="s">
        <v>106</v>
      </c>
      <c r="IF2" s="384"/>
      <c r="IG2" s="384"/>
      <c r="IH2" s="384"/>
      <c r="II2" s="384"/>
      <c r="IJ2" s="32" t="s">
        <v>107</v>
      </c>
      <c r="IK2" s="384"/>
      <c r="IL2" s="384"/>
      <c r="IM2" s="384"/>
      <c r="IN2" s="384"/>
      <c r="IO2" s="552" t="s">
        <v>108</v>
      </c>
      <c r="IP2" s="643"/>
      <c r="IQ2" s="643"/>
      <c r="IR2" s="643"/>
      <c r="IS2" s="643"/>
      <c r="IT2" s="552"/>
      <c r="IU2" s="643"/>
      <c r="IV2" s="643"/>
      <c r="IW2" s="643"/>
      <c r="IX2" s="643"/>
      <c r="IY2" s="376">
        <v>1980</v>
      </c>
      <c r="IZ2" s="128"/>
      <c r="JA2" s="128"/>
      <c r="JB2" s="128"/>
      <c r="JC2" s="627"/>
      <c r="JD2" s="128">
        <v>1990</v>
      </c>
      <c r="JE2" s="30"/>
      <c r="JF2" s="30"/>
      <c r="JG2" s="30"/>
      <c r="JH2" s="33"/>
      <c r="JI2" s="30">
        <v>2000</v>
      </c>
      <c r="JJ2" s="30"/>
      <c r="JK2" s="30"/>
      <c r="JL2" s="30"/>
      <c r="JM2" s="33"/>
      <c r="JN2" s="30" t="s">
        <v>182</v>
      </c>
      <c r="JO2" s="30"/>
      <c r="JP2" s="30"/>
      <c r="JQ2" s="30"/>
      <c r="JR2" s="30"/>
      <c r="JS2" s="561" t="s">
        <v>183</v>
      </c>
      <c r="JT2" s="30"/>
      <c r="JU2" s="30"/>
      <c r="JV2" s="30"/>
      <c r="JW2" s="33"/>
      <c r="JX2" s="561" t="s">
        <v>186</v>
      </c>
      <c r="JY2" s="30"/>
      <c r="JZ2" s="30"/>
      <c r="KA2" s="30"/>
      <c r="KB2" s="33"/>
      <c r="KC2" s="30" t="s">
        <v>100</v>
      </c>
      <c r="KD2" s="30"/>
      <c r="KE2" s="30"/>
      <c r="KF2" s="30"/>
      <c r="KG2" s="30"/>
      <c r="KH2" s="30"/>
      <c r="KI2" s="30"/>
      <c r="KJ2" s="30"/>
      <c r="KK2" s="30"/>
      <c r="KL2" s="30"/>
      <c r="KM2" s="30"/>
      <c r="KN2" s="30"/>
      <c r="KO2" s="30"/>
      <c r="KP2" s="30"/>
      <c r="KQ2" s="30"/>
      <c r="KR2" s="30"/>
      <c r="KS2" s="30"/>
      <c r="KT2" s="30"/>
      <c r="KU2" s="30"/>
      <c r="KV2" s="30"/>
      <c r="KW2" s="29"/>
      <c r="KX2" s="30"/>
      <c r="KY2" s="30"/>
      <c r="KZ2" s="30"/>
      <c r="LA2" s="30"/>
      <c r="LB2" s="67"/>
      <c r="LC2" s="269"/>
      <c r="LD2" s="269"/>
      <c r="LE2" s="269"/>
      <c r="LF2" s="269"/>
      <c r="LG2" s="67"/>
      <c r="LH2" s="269"/>
      <c r="LI2" s="30"/>
      <c r="LJ2" s="30"/>
      <c r="LK2" s="30"/>
      <c r="LL2" s="621"/>
      <c r="LM2" s="269"/>
      <c r="LN2" s="269"/>
      <c r="LO2" s="269"/>
      <c r="LP2" s="269"/>
      <c r="LQ2" s="621"/>
      <c r="LR2" s="269"/>
      <c r="LS2" s="269"/>
      <c r="LT2" s="269"/>
      <c r="LU2" s="269"/>
      <c r="LV2" s="357">
        <f>SUM(LV6:LZ6)</f>
        <v>4197756</v>
      </c>
      <c r="MA2" s="32">
        <v>1990</v>
      </c>
      <c r="MB2" s="30"/>
      <c r="MC2" s="30"/>
      <c r="MD2" s="30"/>
      <c r="ME2" s="31"/>
      <c r="MF2" s="30">
        <v>2000</v>
      </c>
      <c r="MG2" s="30"/>
      <c r="MH2" s="30"/>
      <c r="MI2" s="30"/>
      <c r="MJ2" s="31"/>
      <c r="MK2" s="30" t="s">
        <v>182</v>
      </c>
      <c r="ML2" s="30"/>
      <c r="MM2" s="30"/>
      <c r="MN2" s="30"/>
      <c r="MO2" s="30"/>
      <c r="MP2" s="376" t="s">
        <v>183</v>
      </c>
      <c r="MQ2" s="30"/>
      <c r="MR2" s="30"/>
      <c r="MS2" s="30"/>
      <c r="MT2" s="36"/>
      <c r="MU2" s="337" t="s">
        <v>186</v>
      </c>
      <c r="MV2" s="30"/>
      <c r="MW2" s="30"/>
      <c r="MX2" s="30"/>
      <c r="MY2" s="30"/>
      <c r="MZ2" s="551" t="s">
        <v>100</v>
      </c>
      <c r="NA2" s="551"/>
      <c r="NB2" s="551"/>
      <c r="NC2" s="551"/>
      <c r="ND2" s="551"/>
      <c r="NE2" s="30" t="s">
        <v>101</v>
      </c>
      <c r="NF2" s="30"/>
      <c r="NG2" s="30"/>
      <c r="NH2" s="30"/>
      <c r="NI2" s="30"/>
      <c r="NJ2" s="676" t="s">
        <v>102</v>
      </c>
      <c r="NK2" s="676"/>
      <c r="NL2" s="676"/>
      <c r="NM2" s="676"/>
      <c r="NN2" s="676"/>
      <c r="NO2" s="30" t="s">
        <v>103</v>
      </c>
      <c r="NP2" s="30"/>
      <c r="NQ2" s="30"/>
      <c r="NR2" s="30"/>
      <c r="NS2" s="30"/>
      <c r="NT2" s="30" t="s">
        <v>104</v>
      </c>
      <c r="NU2" s="30"/>
      <c r="NV2" s="30"/>
      <c r="NW2" s="30"/>
      <c r="NX2" s="30"/>
      <c r="NY2" s="29" t="s">
        <v>105</v>
      </c>
      <c r="NZ2" s="30"/>
      <c r="OA2" s="30"/>
      <c r="OB2" s="30"/>
      <c r="OC2" s="30"/>
      <c r="OD2" s="533" t="s">
        <v>106</v>
      </c>
      <c r="OE2" s="617"/>
      <c r="OF2" s="617"/>
      <c r="OG2" s="617"/>
      <c r="OH2" s="617"/>
      <c r="OI2" s="533" t="s">
        <v>107</v>
      </c>
      <c r="OJ2" s="617"/>
      <c r="OK2" s="617"/>
      <c r="OL2" s="617"/>
      <c r="OM2" s="617"/>
      <c r="ON2" s="533" t="s">
        <v>108</v>
      </c>
      <c r="OO2" s="617"/>
      <c r="OP2" s="617"/>
      <c r="OQ2" s="617"/>
      <c r="OR2" s="617"/>
      <c r="OS2" s="533"/>
      <c r="OT2" s="617"/>
      <c r="OU2" s="617"/>
      <c r="OV2" s="617"/>
      <c r="OW2" s="617"/>
      <c r="OX2" s="32">
        <v>1990</v>
      </c>
      <c r="OY2" s="30"/>
      <c r="OZ2" s="30"/>
      <c r="PA2" s="30"/>
      <c r="PB2" s="30"/>
      <c r="PC2" s="29">
        <v>2000</v>
      </c>
      <c r="PD2" s="30"/>
      <c r="PE2" s="30"/>
      <c r="PF2" s="30"/>
      <c r="PG2" s="31"/>
      <c r="PH2" s="25" t="s">
        <v>183</v>
      </c>
      <c r="PI2" s="30"/>
      <c r="PJ2" s="30"/>
      <c r="PK2" s="30"/>
      <c r="PL2" s="33"/>
      <c r="PM2" s="551" t="s">
        <v>182</v>
      </c>
      <c r="PN2" s="551"/>
      <c r="PO2" s="551"/>
      <c r="PP2" s="551"/>
      <c r="PQ2" s="551"/>
      <c r="PR2" s="376" t="s">
        <v>186</v>
      </c>
      <c r="PS2" s="30"/>
      <c r="PT2" s="30"/>
      <c r="PU2" s="30"/>
      <c r="PV2" s="33"/>
      <c r="PW2" s="551" t="s">
        <v>100</v>
      </c>
      <c r="PX2" s="551"/>
      <c r="PY2" s="551"/>
      <c r="PZ2" s="551"/>
      <c r="QA2" s="559"/>
      <c r="QB2" s="30" t="s">
        <v>101</v>
      </c>
      <c r="QC2" s="30"/>
      <c r="QD2" s="30"/>
      <c r="QE2" s="30"/>
      <c r="QF2" s="30"/>
      <c r="QG2" s="678" t="s">
        <v>102</v>
      </c>
      <c r="QH2" s="676"/>
      <c r="QI2" s="676"/>
      <c r="QJ2" s="676"/>
      <c r="QK2" s="676"/>
      <c r="QL2" s="29" t="s">
        <v>103</v>
      </c>
      <c r="QM2" s="30"/>
      <c r="QN2" s="30"/>
      <c r="QO2" s="30"/>
      <c r="QP2" s="30"/>
      <c r="QQ2" s="29" t="s">
        <v>104</v>
      </c>
      <c r="QR2" s="30"/>
      <c r="QS2" s="30"/>
      <c r="QT2" s="30"/>
      <c r="QU2" s="30"/>
      <c r="QV2" s="29" t="s">
        <v>105</v>
      </c>
      <c r="QW2" s="30"/>
      <c r="QX2" s="30"/>
      <c r="QY2" s="30"/>
      <c r="QZ2" s="30"/>
      <c r="RA2" s="533" t="s">
        <v>106</v>
      </c>
      <c r="RB2" s="617"/>
      <c r="RC2" s="617"/>
      <c r="RD2" s="617"/>
      <c r="RE2" s="617"/>
      <c r="RF2" s="533" t="s">
        <v>107</v>
      </c>
      <c r="RG2" s="617"/>
      <c r="RH2" s="617"/>
      <c r="RI2" s="617"/>
      <c r="RJ2" s="617"/>
      <c r="RK2" s="533" t="s">
        <v>108</v>
      </c>
      <c r="RL2" s="617"/>
      <c r="RM2" s="617"/>
      <c r="RN2" s="617"/>
      <c r="RO2" s="617"/>
      <c r="RP2" s="533"/>
      <c r="RQ2" s="617"/>
      <c r="RR2" s="617"/>
      <c r="RS2" s="617"/>
      <c r="RT2" s="617"/>
      <c r="RU2" s="32">
        <v>1990</v>
      </c>
      <c r="RV2" s="30"/>
      <c r="RW2" s="30"/>
      <c r="RX2" s="30"/>
      <c r="RY2" s="31"/>
      <c r="RZ2" s="30">
        <v>2000</v>
      </c>
      <c r="SA2" s="30"/>
      <c r="SB2" s="30"/>
      <c r="SC2" s="30"/>
      <c r="SD2" s="30"/>
      <c r="SE2" s="557" t="s">
        <v>182</v>
      </c>
      <c r="SF2" s="551"/>
      <c r="SG2" s="551"/>
      <c r="SH2" s="551"/>
      <c r="SI2" s="551"/>
      <c r="SJ2" s="376" t="s">
        <v>183</v>
      </c>
      <c r="SK2" s="30"/>
      <c r="SL2" s="30"/>
      <c r="SM2" s="30"/>
      <c r="SN2" s="33"/>
      <c r="SO2" s="376" t="s">
        <v>186</v>
      </c>
      <c r="SP2" s="30"/>
      <c r="SQ2" s="30"/>
      <c r="SR2" s="30"/>
      <c r="SS2" s="33"/>
      <c r="ST2" s="551" t="s">
        <v>100</v>
      </c>
      <c r="SU2" s="551"/>
      <c r="SV2" s="551"/>
      <c r="SW2" s="551"/>
      <c r="SX2" s="559"/>
      <c r="SY2" s="36" t="s">
        <v>101</v>
      </c>
      <c r="SZ2" s="36"/>
      <c r="TA2" s="36"/>
      <c r="TB2" s="36"/>
      <c r="TC2" s="36"/>
      <c r="TD2" s="675" t="s">
        <v>102</v>
      </c>
      <c r="TE2" s="675"/>
      <c r="TF2" s="675"/>
      <c r="TG2" s="675"/>
      <c r="TH2" s="675"/>
      <c r="TI2" s="36" t="s">
        <v>103</v>
      </c>
      <c r="TJ2" s="36"/>
      <c r="TK2" s="36"/>
      <c r="TL2" s="36"/>
      <c r="TM2" s="36"/>
      <c r="TN2" s="36" t="s">
        <v>104</v>
      </c>
      <c r="TO2" s="36"/>
      <c r="TP2" s="36"/>
      <c r="TQ2" s="36"/>
      <c r="TR2" s="36"/>
      <c r="TS2" s="29" t="s">
        <v>105</v>
      </c>
      <c r="TT2" s="30"/>
      <c r="TU2" s="30"/>
      <c r="TV2" s="30"/>
      <c r="TW2" s="30"/>
      <c r="TX2" s="533" t="s">
        <v>106</v>
      </c>
      <c r="TY2" s="617"/>
      <c r="TZ2" s="617"/>
      <c r="UA2" s="617"/>
      <c r="UB2" s="617"/>
      <c r="UC2" s="533" t="s">
        <v>107</v>
      </c>
      <c r="UD2" s="617"/>
      <c r="UE2" s="617"/>
      <c r="UF2" s="617"/>
      <c r="UG2" s="617"/>
      <c r="UH2" s="533" t="s">
        <v>108</v>
      </c>
      <c r="UI2" s="617"/>
      <c r="UJ2" s="617"/>
      <c r="UK2" s="617"/>
      <c r="UL2" s="617"/>
      <c r="UM2" s="533"/>
      <c r="UN2" s="617"/>
      <c r="UO2" s="617"/>
      <c r="UP2" s="617"/>
      <c r="UQ2" s="617"/>
      <c r="UR2" s="23"/>
      <c r="US2" s="114"/>
      <c r="UT2" s="114"/>
      <c r="UU2" s="23"/>
      <c r="UV2" s="114"/>
      <c r="UW2" s="114"/>
      <c r="UX2" s="25">
        <v>1970</v>
      </c>
      <c r="UY2" s="23"/>
      <c r="UZ2" s="23"/>
      <c r="VA2" s="23"/>
      <c r="VB2" s="114"/>
      <c r="VC2" s="114"/>
      <c r="VD2" s="23"/>
      <c r="VE2" s="114"/>
      <c r="VF2" s="114"/>
      <c r="VG2" s="23"/>
      <c r="VH2" s="114"/>
      <c r="VI2" s="114"/>
      <c r="VJ2" s="25">
        <v>1980</v>
      </c>
      <c r="VK2" s="23"/>
      <c r="VL2" s="23"/>
      <c r="VM2" s="36"/>
      <c r="VN2" s="114"/>
      <c r="VO2" s="114"/>
      <c r="VP2" s="114"/>
      <c r="VQ2" s="114"/>
      <c r="VR2" s="36"/>
      <c r="VS2" s="114"/>
      <c r="VT2" s="114"/>
      <c r="VU2" s="36"/>
      <c r="VV2" s="114"/>
      <c r="VW2" s="114"/>
      <c r="VX2" s="69"/>
      <c r="VY2" s="69"/>
      <c r="VZ2" s="69"/>
      <c r="WA2" s="72"/>
      <c r="WB2" s="72"/>
      <c r="WC2" s="72"/>
      <c r="WD2" s="578"/>
      <c r="WE2" s="578"/>
      <c r="WF2" s="578"/>
      <c r="WG2" s="32">
        <v>1990</v>
      </c>
      <c r="WH2" s="23"/>
      <c r="WI2" s="23"/>
      <c r="WJ2" s="30"/>
      <c r="WK2" s="30"/>
      <c r="WL2" s="65"/>
      <c r="WM2" s="65"/>
      <c r="WN2" s="65"/>
      <c r="WO2" s="65"/>
      <c r="WP2" s="30"/>
      <c r="WQ2" s="30"/>
      <c r="WR2" s="65"/>
      <c r="WS2" s="114"/>
      <c r="WT2" s="30"/>
      <c r="WU2" s="114"/>
      <c r="WV2" s="114"/>
      <c r="WW2" s="30"/>
      <c r="WX2" s="579"/>
      <c r="WY2" s="579"/>
      <c r="WZ2" s="76"/>
      <c r="XA2" s="76"/>
      <c r="XB2" s="76"/>
      <c r="XC2" s="579"/>
      <c r="XD2" s="579"/>
      <c r="XE2" s="579"/>
      <c r="XF2" s="114"/>
      <c r="XG2" s="114"/>
      <c r="XH2" s="114"/>
      <c r="XI2" s="114"/>
      <c r="XJ2" s="32">
        <v>2000</v>
      </c>
      <c r="XK2" s="114"/>
      <c r="XL2" s="114"/>
      <c r="XM2" s="30"/>
      <c r="XN2" s="30"/>
      <c r="XO2" s="30"/>
      <c r="XP2" s="87"/>
      <c r="XQ2" s="114"/>
      <c r="XR2" s="114"/>
      <c r="XS2" s="30"/>
      <c r="XT2" s="114"/>
      <c r="XU2" s="114"/>
      <c r="XV2" s="30"/>
      <c r="XW2" s="114"/>
      <c r="XX2" s="114"/>
      <c r="XY2" s="114"/>
      <c r="XZ2" s="114"/>
      <c r="YA2" s="114"/>
      <c r="YB2" s="551" t="s">
        <v>182</v>
      </c>
      <c r="YC2" s="551"/>
      <c r="YD2" s="551"/>
      <c r="YE2" s="551"/>
      <c r="YF2" s="551"/>
      <c r="YG2" s="116" t="s">
        <v>96</v>
      </c>
      <c r="YH2" s="30"/>
      <c r="YI2" s="30"/>
      <c r="YJ2" s="30"/>
      <c r="YK2" s="30"/>
      <c r="YL2" s="116" t="s">
        <v>97</v>
      </c>
      <c r="YM2" s="88"/>
      <c r="YN2" s="88"/>
      <c r="YO2" s="88"/>
      <c r="YP2" s="88"/>
      <c r="YQ2" s="376" t="s">
        <v>183</v>
      </c>
      <c r="YR2" s="30"/>
      <c r="YS2" s="30"/>
      <c r="YT2" s="30"/>
      <c r="YU2" s="31"/>
      <c r="YV2" s="376" t="s">
        <v>186</v>
      </c>
      <c r="YW2" s="30"/>
      <c r="YX2" s="30"/>
      <c r="YY2" s="30"/>
      <c r="YZ2" s="31"/>
      <c r="ZA2" s="551" t="s">
        <v>100</v>
      </c>
      <c r="ZB2" s="551"/>
      <c r="ZC2" s="551"/>
      <c r="ZD2" s="551"/>
      <c r="ZE2" s="551"/>
      <c r="ZF2" s="30" t="s">
        <v>101</v>
      </c>
      <c r="ZG2" s="30"/>
      <c r="ZH2" s="30"/>
      <c r="ZI2" s="30"/>
      <c r="ZJ2" s="30"/>
      <c r="ZK2" s="676" t="s">
        <v>102</v>
      </c>
      <c r="ZL2" s="676"/>
      <c r="ZM2" s="676"/>
      <c r="ZN2" s="676"/>
      <c r="ZO2" s="676"/>
      <c r="ZP2" s="30" t="s">
        <v>103</v>
      </c>
      <c r="ZQ2" s="30"/>
      <c r="ZR2" s="30"/>
      <c r="ZS2" s="30"/>
      <c r="ZT2" s="30"/>
      <c r="ZU2" s="30" t="s">
        <v>104</v>
      </c>
      <c r="ZV2" s="30"/>
      <c r="ZW2" s="30"/>
      <c r="ZX2" s="30"/>
      <c r="ZY2" s="30"/>
      <c r="ZZ2" s="762"/>
      <c r="AAE2" s="29" t="s">
        <v>105</v>
      </c>
      <c r="AAF2" s="30"/>
      <c r="AAG2" s="30"/>
      <c r="AAH2" s="30"/>
      <c r="AAI2" s="30"/>
      <c r="AAJ2" s="533" t="s">
        <v>106</v>
      </c>
      <c r="AAK2" s="617"/>
      <c r="AAL2" s="617"/>
      <c r="AAM2" s="617"/>
      <c r="AAN2" s="617"/>
      <c r="AAO2" s="619" t="s">
        <v>107</v>
      </c>
      <c r="AAP2" s="620"/>
      <c r="AAQ2" s="620"/>
      <c r="AAR2" s="620"/>
      <c r="AAS2" s="620"/>
      <c r="AAT2" s="619" t="s">
        <v>108</v>
      </c>
      <c r="AAU2" s="620"/>
      <c r="AAV2" s="620"/>
      <c r="AAW2" s="620"/>
      <c r="AAX2" s="620"/>
      <c r="ABD2" s="30">
        <v>2000</v>
      </c>
      <c r="ABE2" s="30"/>
      <c r="ABF2" s="30"/>
      <c r="ABG2" s="30"/>
      <c r="ABH2" s="31"/>
      <c r="ABI2" s="551" t="s">
        <v>182</v>
      </c>
      <c r="ABJ2" s="551"/>
      <c r="ABK2" s="551"/>
      <c r="ABL2" s="551"/>
      <c r="ABM2" s="551"/>
      <c r="ABN2" s="376" t="s">
        <v>183</v>
      </c>
      <c r="ABO2" s="30"/>
      <c r="ABP2" s="30"/>
      <c r="ABQ2" s="30"/>
      <c r="ABR2" s="30"/>
      <c r="ABS2" s="25" t="s">
        <v>186</v>
      </c>
      <c r="ABT2" s="30"/>
      <c r="ABU2" s="30"/>
      <c r="ABV2" s="30"/>
      <c r="ABW2" s="30"/>
      <c r="ABX2" s="560" t="s">
        <v>100</v>
      </c>
      <c r="ABY2" s="560"/>
      <c r="ABZ2" s="560"/>
      <c r="ACA2" s="560"/>
      <c r="ACB2" s="560"/>
      <c r="ACC2" s="1" t="s">
        <v>101</v>
      </c>
      <c r="ACH2" s="672" t="s">
        <v>102</v>
      </c>
      <c r="ACI2" s="672"/>
      <c r="ACJ2" s="672"/>
      <c r="ACK2" s="672"/>
      <c r="ACL2" s="672"/>
      <c r="ACM2" s="1" t="s">
        <v>103</v>
      </c>
      <c r="ACR2" s="1" t="s">
        <v>104</v>
      </c>
      <c r="ADB2" s="29" t="s">
        <v>105</v>
      </c>
      <c r="ADC2" s="30"/>
      <c r="ADD2" s="30"/>
      <c r="ADE2" s="30"/>
      <c r="ADF2" s="30"/>
      <c r="ADG2" s="533" t="s">
        <v>106</v>
      </c>
      <c r="ADH2" s="617"/>
      <c r="ADI2" s="617"/>
      <c r="ADJ2" s="617"/>
      <c r="ADK2" s="617"/>
      <c r="ADL2" s="533" t="s">
        <v>107</v>
      </c>
      <c r="ADM2" s="617"/>
      <c r="ADN2" s="617"/>
      <c r="ADO2" s="617"/>
      <c r="ADP2" s="617"/>
      <c r="ADQ2" s="533" t="s">
        <v>108</v>
      </c>
      <c r="ADR2" s="617"/>
      <c r="ADS2" s="617"/>
      <c r="ADT2" s="617"/>
      <c r="ADU2" s="617"/>
    </row>
    <row r="3" spans="1:806" ht="12.95">
      <c r="B3" s="32"/>
      <c r="C3" s="30"/>
      <c r="D3" s="30"/>
      <c r="E3" s="30"/>
      <c r="F3" s="33"/>
      <c r="G3" s="30"/>
      <c r="H3" s="30"/>
      <c r="I3" s="30"/>
      <c r="J3" s="30"/>
      <c r="K3" s="33"/>
      <c r="L3" s="30"/>
      <c r="M3" s="30"/>
      <c r="N3" s="30"/>
      <c r="O3" s="30"/>
      <c r="P3" s="33"/>
      <c r="Q3" s="30"/>
      <c r="R3" s="30"/>
      <c r="S3" s="30"/>
      <c r="T3" s="30"/>
      <c r="U3" s="31"/>
      <c r="V3" s="30"/>
      <c r="W3" s="129"/>
      <c r="X3" s="30"/>
      <c r="Y3" s="30"/>
      <c r="Z3" s="33"/>
      <c r="AA3" s="36"/>
      <c r="AB3" s="36"/>
      <c r="AC3" s="36"/>
      <c r="AD3" s="36"/>
      <c r="AE3" s="36"/>
      <c r="AF3" s="29"/>
      <c r="AG3" s="36"/>
      <c r="AH3" s="36"/>
      <c r="AI3" s="36"/>
      <c r="AJ3" s="36"/>
      <c r="AK3" s="36"/>
      <c r="AL3" s="36"/>
      <c r="AM3" s="54"/>
      <c r="AN3" s="54"/>
      <c r="AO3" s="36"/>
      <c r="AP3" s="36"/>
      <c r="AQ3" s="36"/>
      <c r="AR3" s="36"/>
      <c r="AS3" s="36"/>
      <c r="AT3" s="36"/>
      <c r="AU3" s="29"/>
      <c r="AV3" s="36"/>
      <c r="AW3" s="36"/>
      <c r="AX3" s="36"/>
      <c r="AY3" s="36"/>
      <c r="BE3" s="29"/>
      <c r="BF3" s="36"/>
      <c r="BG3" s="36"/>
      <c r="BH3" s="36"/>
      <c r="BI3" s="36"/>
      <c r="BJ3" s="36"/>
      <c r="BK3" s="36"/>
      <c r="BL3" s="36"/>
      <c r="BM3" s="36"/>
      <c r="BN3" s="36"/>
      <c r="BO3" s="29"/>
      <c r="BP3" s="36"/>
      <c r="BQ3" s="36"/>
      <c r="BR3" s="36"/>
      <c r="BS3" s="36"/>
      <c r="BT3" s="29"/>
      <c r="BU3" s="36"/>
      <c r="BV3" s="36"/>
      <c r="BW3" s="36"/>
      <c r="BX3" s="54"/>
      <c r="CC3" s="36"/>
      <c r="CD3" s="30"/>
      <c r="CE3" s="30"/>
      <c r="CF3" s="30"/>
      <c r="CG3" s="33"/>
      <c r="CH3" s="30"/>
      <c r="CI3" s="30"/>
      <c r="CJ3" s="30"/>
      <c r="CK3" s="30"/>
      <c r="CL3" s="33"/>
      <c r="CM3" s="30"/>
      <c r="CN3" s="30"/>
      <c r="CO3" s="30"/>
      <c r="CP3" s="30"/>
      <c r="CQ3" s="31"/>
      <c r="CR3" s="30"/>
      <c r="CS3" s="129"/>
      <c r="CT3" s="30"/>
      <c r="CU3" s="30"/>
      <c r="CV3" s="33"/>
      <c r="CW3" s="30"/>
      <c r="CX3" s="30"/>
      <c r="CY3" s="30"/>
      <c r="CZ3" s="30"/>
      <c r="DA3" s="30"/>
      <c r="DB3" s="30" t="s">
        <v>187</v>
      </c>
      <c r="DC3" s="30"/>
      <c r="DD3" s="30"/>
      <c r="DE3" s="30"/>
      <c r="DF3" s="30"/>
      <c r="DG3" s="676">
        <v>2014</v>
      </c>
      <c r="DH3" s="676"/>
      <c r="DI3" s="676"/>
      <c r="DJ3" s="676"/>
      <c r="DK3" s="676"/>
      <c r="DL3" s="30">
        <v>2015</v>
      </c>
      <c r="DM3" s="30"/>
      <c r="DN3" s="30"/>
      <c r="DO3" s="30"/>
      <c r="DP3" s="30"/>
      <c r="DQ3" s="30">
        <v>2016</v>
      </c>
      <c r="DR3" s="30"/>
      <c r="DS3" s="30"/>
      <c r="DT3" s="30"/>
      <c r="DU3" s="30"/>
      <c r="DV3" s="32">
        <v>2017</v>
      </c>
      <c r="DW3" s="30"/>
      <c r="DX3" s="30"/>
      <c r="DY3" s="30"/>
      <c r="DZ3" s="30"/>
      <c r="EA3" s="32">
        <v>2018</v>
      </c>
      <c r="EB3" s="30"/>
      <c r="EC3" s="30"/>
      <c r="ED3" s="30"/>
      <c r="EE3" s="30"/>
      <c r="EF3" s="32">
        <v>2019</v>
      </c>
      <c r="EG3" s="30"/>
      <c r="EH3" s="30"/>
      <c r="EI3" s="30"/>
      <c r="EJ3" s="30"/>
      <c r="EK3" s="32">
        <v>2020</v>
      </c>
      <c r="EL3" s="30"/>
      <c r="EM3" s="30"/>
      <c r="EN3" s="30"/>
      <c r="EO3" s="30"/>
      <c r="EP3" s="552">
        <v>2021</v>
      </c>
      <c r="EQ3" s="617"/>
      <c r="ER3" s="617"/>
      <c r="ES3" s="617"/>
      <c r="ET3" s="552"/>
      <c r="EU3" s="617"/>
      <c r="EV3" s="617"/>
      <c r="EW3" s="617"/>
      <c r="EX3" s="617"/>
      <c r="EY3" s="32"/>
      <c r="EZ3" s="129"/>
      <c r="FA3" s="30"/>
      <c r="FB3" s="30"/>
      <c r="FC3" s="30"/>
      <c r="FD3" s="32"/>
      <c r="FE3" s="30"/>
      <c r="FF3" s="30"/>
      <c r="FG3" s="30"/>
      <c r="FH3" s="32"/>
      <c r="FI3" s="30"/>
      <c r="FJ3" s="30"/>
      <c r="FK3" s="30"/>
      <c r="FL3" s="33"/>
      <c r="FM3" s="30"/>
      <c r="FN3" s="30"/>
      <c r="FO3" s="30"/>
      <c r="FP3" s="30"/>
      <c r="FQ3" s="33"/>
      <c r="FR3" s="30"/>
      <c r="FS3" s="129"/>
      <c r="FT3" s="30"/>
      <c r="FU3" s="30"/>
      <c r="FV3" s="36"/>
      <c r="FW3" s="126"/>
      <c r="FX3" s="132"/>
      <c r="FY3" s="88"/>
      <c r="FZ3" s="88"/>
      <c r="GA3" s="88"/>
      <c r="GB3" s="133"/>
      <c r="GC3" s="88"/>
      <c r="GD3" s="88"/>
      <c r="GE3" s="88"/>
      <c r="GF3" s="88"/>
      <c r="GG3" s="375"/>
      <c r="GH3" s="88"/>
      <c r="GI3" s="88"/>
      <c r="GJ3" s="88"/>
      <c r="GK3" s="88"/>
      <c r="GL3" s="32"/>
      <c r="GM3" s="129"/>
      <c r="GN3" s="30"/>
      <c r="GO3" s="30"/>
      <c r="GP3" s="33"/>
      <c r="GQ3" s="32"/>
      <c r="GR3" s="129"/>
      <c r="GS3" s="30"/>
      <c r="GT3" s="30"/>
      <c r="GU3" s="384"/>
      <c r="GV3" s="384"/>
      <c r="GW3" s="384"/>
      <c r="GX3" s="384"/>
      <c r="GY3" s="384"/>
      <c r="GZ3" s="384"/>
      <c r="HA3" s="30" t="s">
        <v>187</v>
      </c>
      <c r="HB3" s="384"/>
      <c r="HC3" s="384"/>
      <c r="HD3" s="384"/>
      <c r="HE3" s="384"/>
      <c r="HF3" s="384"/>
      <c r="HG3" s="384"/>
      <c r="HH3" s="503"/>
      <c r="HI3" s="384"/>
      <c r="HJ3" s="384"/>
      <c r="HK3" s="384"/>
      <c r="HL3" s="384"/>
      <c r="HM3" s="503"/>
      <c r="HN3" s="384"/>
      <c r="HO3" s="384"/>
      <c r="HP3" s="554"/>
      <c r="HQ3" s="384"/>
      <c r="HR3" s="384"/>
      <c r="HS3" s="384"/>
      <c r="HT3" s="384"/>
      <c r="HU3" s="54"/>
      <c r="HZ3" s="554"/>
      <c r="IA3" s="384"/>
      <c r="IB3" s="384"/>
      <c r="IC3" s="384"/>
      <c r="ID3" s="384"/>
      <c r="IE3" s="554"/>
      <c r="IF3" s="384"/>
      <c r="IG3" s="384"/>
      <c r="IH3" s="384"/>
      <c r="II3" s="384"/>
      <c r="IJ3" s="554"/>
      <c r="IK3" s="384"/>
      <c r="IL3" s="384"/>
      <c r="IM3" s="384"/>
      <c r="IN3" s="384"/>
      <c r="IO3" s="554"/>
      <c r="IP3" s="384"/>
      <c r="IQ3" s="384"/>
      <c r="IR3" s="384"/>
      <c r="IS3" s="384"/>
      <c r="IY3" s="32"/>
      <c r="IZ3" s="30"/>
      <c r="JA3" s="30"/>
      <c r="JB3" s="30"/>
      <c r="JC3" s="33"/>
      <c r="JD3" s="30"/>
      <c r="JE3" s="30"/>
      <c r="JF3" s="30"/>
      <c r="JG3" s="30"/>
      <c r="JH3" s="33"/>
      <c r="JI3" s="30"/>
      <c r="JJ3" s="30"/>
      <c r="JK3" s="30"/>
      <c r="JL3" s="30"/>
      <c r="JM3" s="33"/>
      <c r="JN3" s="30"/>
      <c r="JO3" s="30"/>
      <c r="JP3" s="30"/>
      <c r="JQ3" s="30"/>
      <c r="JR3" s="30"/>
      <c r="JS3" s="30"/>
      <c r="JT3" s="30"/>
      <c r="JU3" s="30"/>
      <c r="JV3" s="30"/>
      <c r="JW3" s="33"/>
      <c r="JX3" s="30"/>
      <c r="JY3" s="30"/>
      <c r="JZ3" s="30"/>
      <c r="KA3" s="30"/>
      <c r="KB3" s="33"/>
      <c r="KC3" s="30"/>
      <c r="KD3" s="30"/>
      <c r="KE3" s="30"/>
      <c r="KF3" s="30"/>
      <c r="KG3" s="30"/>
      <c r="KH3" s="30" t="s">
        <v>187</v>
      </c>
      <c r="KI3" s="30"/>
      <c r="KJ3" s="30"/>
      <c r="KK3" s="30"/>
      <c r="KL3" s="30"/>
      <c r="KM3" s="676" t="s">
        <v>102</v>
      </c>
      <c r="KN3" s="676"/>
      <c r="KO3" s="676"/>
      <c r="KP3" s="676"/>
      <c r="KQ3" s="676"/>
      <c r="KR3" s="30" t="s">
        <v>103</v>
      </c>
      <c r="KS3" s="30"/>
      <c r="KT3" s="30"/>
      <c r="KU3" s="30"/>
      <c r="KV3" s="30"/>
      <c r="KW3" s="32" t="s">
        <v>104</v>
      </c>
      <c r="KX3" s="30"/>
      <c r="KY3" s="30"/>
      <c r="KZ3" s="30"/>
      <c r="LA3" s="30"/>
      <c r="LB3" s="621" t="s">
        <v>105</v>
      </c>
      <c r="LC3" s="269"/>
      <c r="LD3" s="269"/>
      <c r="LE3" s="269"/>
      <c r="LF3" s="269"/>
      <c r="LG3" s="621" t="s">
        <v>106</v>
      </c>
      <c r="LH3" s="269"/>
      <c r="LI3" s="30"/>
      <c r="LJ3" s="30"/>
      <c r="LK3" s="30"/>
      <c r="LL3" s="621" t="s">
        <v>107</v>
      </c>
      <c r="LM3" s="269"/>
      <c r="LN3" s="269"/>
      <c r="LO3" s="269"/>
      <c r="LP3" s="269"/>
      <c r="LQ3" s="647">
        <v>2021</v>
      </c>
      <c r="LR3" s="620"/>
      <c r="LS3" s="620"/>
      <c r="LT3" s="620"/>
      <c r="LU3" s="620"/>
      <c r="LV3" s="647"/>
      <c r="LW3" s="620"/>
      <c r="LX3" s="620"/>
      <c r="LY3" s="620"/>
      <c r="LZ3" s="620"/>
      <c r="MA3" s="363"/>
      <c r="MB3" s="113"/>
      <c r="MC3" s="30"/>
      <c r="MD3" s="30"/>
      <c r="ME3" s="31"/>
      <c r="MF3" s="30"/>
      <c r="MG3" s="30"/>
      <c r="MH3" s="113"/>
      <c r="MI3" s="30"/>
      <c r="MJ3" s="31"/>
      <c r="MK3" s="30"/>
      <c r="ML3" s="30"/>
      <c r="MM3" s="30"/>
      <c r="MN3" s="30"/>
      <c r="MO3" s="30"/>
      <c r="MP3" s="32"/>
      <c r="MQ3" s="129"/>
      <c r="MR3" s="30"/>
      <c r="MS3" s="30"/>
      <c r="MT3" s="36"/>
      <c r="MU3" s="32"/>
      <c r="MV3" s="30"/>
      <c r="MW3" s="30"/>
      <c r="MX3" s="30"/>
      <c r="MY3" s="30"/>
      <c r="MZ3" s="30"/>
      <c r="NA3" s="30"/>
      <c r="NB3" s="30"/>
      <c r="NC3" s="30"/>
      <c r="ND3" s="30"/>
      <c r="NE3" s="30"/>
      <c r="NF3" s="30"/>
      <c r="NG3" s="30"/>
      <c r="NH3" s="30"/>
      <c r="NI3" s="30"/>
      <c r="NJ3" s="30"/>
      <c r="NK3" s="30"/>
      <c r="NL3" s="30"/>
      <c r="NM3" s="30"/>
      <c r="NN3" s="30"/>
      <c r="NO3" s="30"/>
      <c r="NP3" s="30"/>
      <c r="NQ3" s="30"/>
      <c r="NR3" s="30"/>
      <c r="NS3" s="30"/>
      <c r="NT3" s="30"/>
      <c r="NU3" s="30"/>
      <c r="NV3" s="30"/>
      <c r="NW3" s="30"/>
      <c r="NX3" s="30"/>
      <c r="NY3" s="32"/>
      <c r="NZ3" s="30"/>
      <c r="OA3" s="30"/>
      <c r="OB3" s="30"/>
      <c r="OC3" s="30"/>
      <c r="OD3" s="32"/>
      <c r="OE3" s="30"/>
      <c r="OF3" s="30"/>
      <c r="OG3" s="30"/>
      <c r="OH3" s="30"/>
      <c r="OI3" s="32"/>
      <c r="OJ3" s="30"/>
      <c r="OK3" s="30"/>
      <c r="OL3" s="30"/>
      <c r="OM3" s="30"/>
      <c r="ON3" s="32"/>
      <c r="OO3" s="30"/>
      <c r="OP3" s="30"/>
      <c r="OQ3" s="30"/>
      <c r="OR3" s="30"/>
      <c r="OX3" s="363"/>
      <c r="OY3" s="113"/>
      <c r="OZ3" s="30"/>
      <c r="PA3" s="30"/>
      <c r="PB3" s="30"/>
      <c r="PC3" s="32"/>
      <c r="PD3" s="30"/>
      <c r="PE3" s="113"/>
      <c r="PF3" s="30"/>
      <c r="PG3" s="31"/>
      <c r="PH3" s="32"/>
      <c r="PI3" s="129"/>
      <c r="PJ3" s="30"/>
      <c r="PK3" s="30"/>
      <c r="PL3" s="33"/>
      <c r="PM3" s="30"/>
      <c r="PN3" s="30"/>
      <c r="PO3" s="30"/>
      <c r="PP3" s="30"/>
      <c r="PQ3" s="30"/>
      <c r="PR3" s="32"/>
      <c r="PS3" s="129"/>
      <c r="PT3" s="30"/>
      <c r="PU3" s="30"/>
      <c r="PV3" s="33"/>
      <c r="PW3" s="30"/>
      <c r="PX3" s="30"/>
      <c r="PY3" s="30"/>
      <c r="PZ3" s="30"/>
      <c r="QA3" s="31"/>
      <c r="QB3" s="30"/>
      <c r="QC3" s="30"/>
      <c r="QD3" s="30"/>
      <c r="QE3" s="30"/>
      <c r="QF3" s="30"/>
      <c r="QG3" s="32"/>
      <c r="QH3" s="30"/>
      <c r="QI3" s="30"/>
      <c r="QJ3" s="30"/>
      <c r="QK3" s="30"/>
      <c r="QL3" s="32"/>
      <c r="QM3" s="30"/>
      <c r="QN3" s="30"/>
      <c r="QO3" s="30"/>
      <c r="QP3" s="30"/>
      <c r="QQ3" s="32"/>
      <c r="QR3" s="30"/>
      <c r="QS3" s="30"/>
      <c r="QT3" s="30"/>
      <c r="QU3" s="30"/>
      <c r="QV3" s="32"/>
      <c r="QW3" s="30"/>
      <c r="QX3" s="30"/>
      <c r="QY3" s="30"/>
      <c r="QZ3" s="30"/>
      <c r="RA3" s="32"/>
      <c r="RB3" s="30"/>
      <c r="RC3" s="30"/>
      <c r="RD3" s="30"/>
      <c r="RE3" s="30"/>
      <c r="RF3" s="32"/>
      <c r="RG3" s="30"/>
      <c r="RH3" s="30"/>
      <c r="RI3" s="30"/>
      <c r="RJ3" s="30"/>
      <c r="RK3" s="32"/>
      <c r="RL3" s="30"/>
      <c r="RM3" s="30"/>
      <c r="RN3" s="30"/>
      <c r="RO3" s="30"/>
      <c r="RU3" s="32"/>
      <c r="RV3" s="30"/>
      <c r="RW3" s="113"/>
      <c r="RX3" s="30"/>
      <c r="RY3" s="31"/>
      <c r="RZ3" s="30"/>
      <c r="SA3" s="113"/>
      <c r="SB3" s="30"/>
      <c r="SC3" s="30"/>
      <c r="SD3" s="30"/>
      <c r="SE3" s="32"/>
      <c r="SF3" s="30"/>
      <c r="SG3" s="30"/>
      <c r="SH3" s="30"/>
      <c r="SI3" s="30"/>
      <c r="SJ3" s="32"/>
      <c r="SK3" s="129"/>
      <c r="SL3" s="30"/>
      <c r="SM3" s="30"/>
      <c r="SN3" s="33"/>
      <c r="SO3" s="32"/>
      <c r="SP3" s="129"/>
      <c r="SQ3" s="30"/>
      <c r="SR3" s="30"/>
      <c r="SS3" s="33"/>
      <c r="ST3" s="30"/>
      <c r="SU3" s="30"/>
      <c r="SV3" s="30"/>
      <c r="SW3" s="30"/>
      <c r="SX3" s="31"/>
      <c r="SY3" s="30"/>
      <c r="SZ3" s="30"/>
      <c r="TA3" s="30"/>
      <c r="TB3" s="30"/>
      <c r="TC3" s="30"/>
      <c r="TD3" s="30"/>
      <c r="TE3" s="30"/>
      <c r="TF3" s="30"/>
      <c r="TG3" s="30"/>
      <c r="TH3" s="30"/>
      <c r="TI3" s="30"/>
      <c r="TJ3" s="30"/>
      <c r="TK3" s="30"/>
      <c r="TL3" s="30"/>
      <c r="TM3" s="30"/>
      <c r="TN3" s="30"/>
      <c r="TO3" s="30"/>
      <c r="TP3" s="30"/>
      <c r="TQ3" s="30"/>
      <c r="TR3" s="30"/>
      <c r="TS3" s="32"/>
      <c r="TT3" s="30"/>
      <c r="TU3" s="30"/>
      <c r="TV3" s="30"/>
      <c r="TW3" s="30"/>
      <c r="TX3" s="32"/>
      <c r="TY3" s="30"/>
      <c r="TZ3" s="30"/>
      <c r="UA3" s="30"/>
      <c r="UB3" s="30"/>
      <c r="UC3" s="32"/>
      <c r="UD3" s="30"/>
      <c r="UE3" s="30"/>
      <c r="UF3" s="30"/>
      <c r="UG3" s="30"/>
      <c r="UH3" s="32"/>
      <c r="UI3" s="30"/>
      <c r="UJ3" s="30"/>
      <c r="UK3" s="30"/>
      <c r="UL3" s="30"/>
      <c r="UR3" s="16"/>
      <c r="US3" s="28"/>
      <c r="UT3" s="28"/>
      <c r="UU3" s="16"/>
      <c r="UV3" s="28"/>
      <c r="UW3" s="28"/>
      <c r="UX3" s="580"/>
      <c r="UY3" s="16"/>
      <c r="UZ3" s="16"/>
      <c r="VA3" s="16"/>
      <c r="VB3" s="28"/>
      <c r="VC3" s="28"/>
      <c r="VD3" s="16"/>
      <c r="VE3" s="28"/>
      <c r="VF3" s="28"/>
      <c r="VG3" s="16"/>
      <c r="VH3" s="28"/>
      <c r="VI3" s="28"/>
      <c r="VJ3" s="580"/>
      <c r="VK3" s="16"/>
      <c r="VL3" s="16"/>
      <c r="VM3" s="30"/>
      <c r="VN3" s="28"/>
      <c r="VO3" s="28"/>
      <c r="VP3" s="28"/>
      <c r="VQ3" s="28"/>
      <c r="VR3" s="30"/>
      <c r="VS3" s="28"/>
      <c r="VT3" s="28"/>
      <c r="VU3" s="30"/>
      <c r="VV3" s="28"/>
      <c r="VW3" s="28"/>
      <c r="VX3" s="71"/>
      <c r="VY3" s="71"/>
      <c r="VZ3" s="71"/>
      <c r="WA3" s="73" t="s">
        <v>188</v>
      </c>
      <c r="WB3" s="73"/>
      <c r="WC3" s="73"/>
      <c r="WD3" s="135"/>
      <c r="WE3" s="135"/>
      <c r="WF3" s="135"/>
      <c r="WG3" s="32"/>
      <c r="WH3" s="16"/>
      <c r="WI3" s="16"/>
      <c r="WJ3" s="30"/>
      <c r="WK3" s="54"/>
      <c r="WL3" s="28"/>
      <c r="WM3" s="28"/>
      <c r="WN3" s="28"/>
      <c r="WO3" s="28"/>
      <c r="WP3" s="30"/>
      <c r="WQ3" s="54"/>
      <c r="WR3" s="28"/>
      <c r="WS3" s="28"/>
      <c r="WT3" s="54"/>
      <c r="WU3" s="28"/>
      <c r="WV3" s="28"/>
      <c r="WW3" s="30"/>
      <c r="WX3" s="579"/>
      <c r="WY3" s="579"/>
      <c r="WZ3" s="77" t="s">
        <v>188</v>
      </c>
      <c r="XA3" s="78"/>
      <c r="XB3" s="78"/>
      <c r="XC3" s="581"/>
      <c r="XD3" s="581"/>
      <c r="XE3" s="581"/>
      <c r="XF3" s="28"/>
      <c r="XG3" s="28"/>
      <c r="XH3" s="28"/>
      <c r="XI3" s="28"/>
      <c r="XJ3" s="582"/>
      <c r="XK3" s="18"/>
      <c r="XL3" s="18"/>
      <c r="XM3" s="68"/>
      <c r="XN3" s="30"/>
      <c r="XO3" s="30"/>
      <c r="XP3" s="82"/>
      <c r="XQ3" s="28"/>
      <c r="XR3" s="28"/>
      <c r="XS3" s="30"/>
      <c r="XT3" s="28"/>
      <c r="XU3" s="28"/>
      <c r="XV3" s="30"/>
      <c r="XW3" s="28"/>
      <c r="XX3" s="28"/>
      <c r="XY3" s="28"/>
      <c r="XZ3" s="28"/>
      <c r="YA3" s="28"/>
      <c r="YB3" s="30"/>
      <c r="YC3" s="30"/>
      <c r="YD3" s="30"/>
      <c r="YE3" s="30"/>
      <c r="YF3" s="30"/>
      <c r="YG3" s="116"/>
      <c r="YH3" s="88"/>
      <c r="YI3" s="88"/>
      <c r="YJ3" s="132"/>
      <c r="YK3" s="88"/>
      <c r="YL3" s="116"/>
      <c r="YM3" s="88"/>
      <c r="YN3" s="88"/>
      <c r="YO3" s="132"/>
      <c r="YP3" s="88"/>
      <c r="YQ3" s="32"/>
      <c r="YR3" s="129"/>
      <c r="YS3" s="30"/>
      <c r="YT3" s="30"/>
      <c r="YU3" s="33"/>
      <c r="YV3" s="32"/>
      <c r="YW3" s="129"/>
      <c r="YX3" s="30"/>
      <c r="YY3" s="30"/>
      <c r="YZ3" s="33"/>
      <c r="ZA3" s="30"/>
      <c r="ZB3" s="30"/>
      <c r="ZC3" s="30"/>
      <c r="ZD3" s="30"/>
      <c r="ZE3" s="30"/>
      <c r="ZF3" s="30"/>
      <c r="ZG3" s="30"/>
      <c r="ZH3" s="30"/>
      <c r="ZI3" s="30"/>
      <c r="ZJ3" s="30"/>
      <c r="ZK3" s="30"/>
      <c r="ZL3" s="30"/>
      <c r="ZM3" s="30"/>
      <c r="ZN3" s="30"/>
      <c r="ZO3" s="30"/>
      <c r="ZP3" s="30"/>
      <c r="ZQ3" s="30"/>
      <c r="ZR3" s="30"/>
      <c r="ZS3" s="30"/>
      <c r="ZT3" s="30"/>
      <c r="ZU3" s="30"/>
      <c r="ZV3" s="30"/>
      <c r="ZW3" s="30"/>
      <c r="ZX3" s="30"/>
      <c r="ZY3" s="30"/>
      <c r="ZZ3" s="54"/>
      <c r="AAE3" s="32"/>
      <c r="AAF3" s="30"/>
      <c r="AAG3" s="30"/>
      <c r="AAH3" s="30"/>
      <c r="AAI3" s="30"/>
      <c r="AAJ3" s="32"/>
      <c r="AAK3" s="30"/>
      <c r="AAL3" s="30"/>
      <c r="AAM3" s="30"/>
      <c r="AAN3" s="30"/>
      <c r="AAO3" s="621"/>
      <c r="AAP3" s="269"/>
      <c r="AAQ3" s="269"/>
      <c r="AAR3" s="269"/>
      <c r="AAS3" s="269"/>
      <c r="AAT3" s="621"/>
      <c r="AAU3" s="269"/>
      <c r="AAV3" s="269"/>
      <c r="AAW3" s="269"/>
      <c r="AAX3" s="269"/>
      <c r="ABD3" s="30"/>
      <c r="ABE3" s="30"/>
      <c r="ABF3" s="30"/>
      <c r="ABG3" s="30"/>
      <c r="ABH3" s="31"/>
      <c r="ABI3" s="30"/>
      <c r="ABJ3" s="30"/>
      <c r="ABK3" s="30"/>
      <c r="ABL3" s="30"/>
      <c r="ABM3" s="30"/>
      <c r="ABN3" s="32"/>
      <c r="ABO3" s="129"/>
      <c r="ABP3" s="30"/>
      <c r="ABQ3" s="30"/>
      <c r="ABR3" s="36"/>
      <c r="ABS3" s="32"/>
      <c r="ABT3" s="129"/>
      <c r="ABU3" s="30"/>
      <c r="ABV3" s="30"/>
      <c r="ABW3" s="36"/>
      <c r="ABX3" s="414"/>
      <c r="ABY3" s="414"/>
      <c r="ABZ3" s="414"/>
      <c r="ACA3" s="414"/>
      <c r="ACB3" s="414"/>
      <c r="ADB3" s="32"/>
      <c r="ADC3" s="30"/>
      <c r="ADD3" s="30"/>
      <c r="ADE3" s="30"/>
      <c r="ADF3" s="30"/>
      <c r="ADG3" s="32"/>
      <c r="ADH3" s="30"/>
      <c r="ADI3" s="30"/>
      <c r="ADJ3" s="30"/>
      <c r="ADK3" s="30"/>
      <c r="ADL3" s="32"/>
      <c r="ADM3" s="30"/>
      <c r="ADN3" s="30"/>
      <c r="ADO3" s="30"/>
      <c r="ADP3" s="30"/>
      <c r="ADQ3" s="32"/>
      <c r="ADR3" s="30"/>
      <c r="ADS3" s="30"/>
      <c r="ADT3" s="30"/>
      <c r="ADU3" s="30"/>
    </row>
    <row r="4" spans="1:806" ht="48" customHeight="1">
      <c r="B4" s="29" t="s">
        <v>109</v>
      </c>
      <c r="C4" s="36" t="s">
        <v>73</v>
      </c>
      <c r="D4" s="36" t="s">
        <v>74</v>
      </c>
      <c r="E4" s="36" t="s">
        <v>75</v>
      </c>
      <c r="F4" s="33" t="s">
        <v>80</v>
      </c>
      <c r="G4" s="36" t="s">
        <v>109</v>
      </c>
      <c r="H4" s="36" t="s">
        <v>73</v>
      </c>
      <c r="I4" s="36" t="s">
        <v>74</v>
      </c>
      <c r="J4" s="36" t="s">
        <v>75</v>
      </c>
      <c r="K4" s="33" t="s">
        <v>80</v>
      </c>
      <c r="L4" s="36" t="s">
        <v>109</v>
      </c>
      <c r="M4" s="36" t="s">
        <v>73</v>
      </c>
      <c r="N4" s="36" t="s">
        <v>74</v>
      </c>
      <c r="O4" s="36" t="s">
        <v>75</v>
      </c>
      <c r="P4" s="33" t="s">
        <v>80</v>
      </c>
      <c r="Q4" s="124" t="s">
        <v>109</v>
      </c>
      <c r="R4" s="546" t="s">
        <v>138</v>
      </c>
      <c r="S4" s="547" t="s">
        <v>145</v>
      </c>
      <c r="T4" s="36" t="s">
        <v>75</v>
      </c>
      <c r="U4" s="33" t="s">
        <v>80</v>
      </c>
      <c r="V4" s="36" t="s">
        <v>109</v>
      </c>
      <c r="W4" s="36" t="s">
        <v>189</v>
      </c>
      <c r="X4" s="36" t="s">
        <v>190</v>
      </c>
      <c r="Y4" s="36" t="s">
        <v>75</v>
      </c>
      <c r="Z4" s="33" t="s">
        <v>191</v>
      </c>
      <c r="AA4" s="36" t="s">
        <v>109</v>
      </c>
      <c r="AB4" s="546" t="s">
        <v>138</v>
      </c>
      <c r="AC4" s="558" t="s">
        <v>145</v>
      </c>
      <c r="AD4" s="36" t="s">
        <v>75</v>
      </c>
      <c r="AE4" s="36" t="s">
        <v>80</v>
      </c>
      <c r="AF4" s="29" t="s">
        <v>109</v>
      </c>
      <c r="AG4" s="36" t="s">
        <v>192</v>
      </c>
      <c r="AH4" s="36" t="s">
        <v>193</v>
      </c>
      <c r="AI4" s="36" t="s">
        <v>75</v>
      </c>
      <c r="AJ4" s="36" t="s">
        <v>80</v>
      </c>
      <c r="AK4" s="36" t="s">
        <v>109</v>
      </c>
      <c r="AL4" s="546" t="s">
        <v>138</v>
      </c>
      <c r="AM4" s="54" t="s">
        <v>193</v>
      </c>
      <c r="AN4" s="54" t="s">
        <v>75</v>
      </c>
      <c r="AO4" s="36" t="s">
        <v>80</v>
      </c>
      <c r="AP4" s="36" t="s">
        <v>109</v>
      </c>
      <c r="AQ4" s="36" t="s">
        <v>192</v>
      </c>
      <c r="AR4" s="36" t="s">
        <v>193</v>
      </c>
      <c r="AS4" s="36" t="s">
        <v>75</v>
      </c>
      <c r="AT4" s="36" t="s">
        <v>80</v>
      </c>
      <c r="AU4" s="29" t="s">
        <v>109</v>
      </c>
      <c r="AV4" s="546" t="s">
        <v>138</v>
      </c>
      <c r="AW4" s="546" t="s">
        <v>145</v>
      </c>
      <c r="AX4" s="36" t="s">
        <v>75</v>
      </c>
      <c r="AY4" s="36" t="s">
        <v>80</v>
      </c>
      <c r="AZ4" s="563" t="s">
        <v>76</v>
      </c>
      <c r="BA4" s="563" t="s">
        <v>77</v>
      </c>
      <c r="BB4" s="563" t="s">
        <v>194</v>
      </c>
      <c r="BC4" s="563" t="s">
        <v>79</v>
      </c>
      <c r="BD4" s="563" t="s">
        <v>80</v>
      </c>
      <c r="BE4" s="29" t="s">
        <v>109</v>
      </c>
      <c r="BF4" s="546" t="s">
        <v>138</v>
      </c>
      <c r="BG4" s="546" t="s">
        <v>145</v>
      </c>
      <c r="BH4" s="36" t="s">
        <v>75</v>
      </c>
      <c r="BI4" s="36" t="s">
        <v>80</v>
      </c>
      <c r="BJ4" s="29" t="s">
        <v>109</v>
      </c>
      <c r="BK4" s="546" t="s">
        <v>138</v>
      </c>
      <c r="BL4" s="546" t="s">
        <v>145</v>
      </c>
      <c r="BM4" s="36" t="s">
        <v>75</v>
      </c>
      <c r="BN4" s="36" t="s">
        <v>80</v>
      </c>
      <c r="BO4" s="29" t="s">
        <v>109</v>
      </c>
      <c r="BP4" s="546" t="s">
        <v>138</v>
      </c>
      <c r="BQ4" s="546" t="s">
        <v>145</v>
      </c>
      <c r="BR4" s="36" t="s">
        <v>75</v>
      </c>
      <c r="BS4" s="36" t="s">
        <v>80</v>
      </c>
      <c r="BT4" s="29" t="s">
        <v>109</v>
      </c>
      <c r="BU4" s="546" t="s">
        <v>138</v>
      </c>
      <c r="BV4" s="546" t="s">
        <v>145</v>
      </c>
      <c r="BW4" s="36" t="s">
        <v>75</v>
      </c>
      <c r="BX4" s="30" t="s">
        <v>146</v>
      </c>
      <c r="BY4" s="563" t="s">
        <v>77</v>
      </c>
      <c r="BZ4" s="563" t="s">
        <v>78</v>
      </c>
      <c r="CA4" s="563" t="s">
        <v>79</v>
      </c>
      <c r="CB4" s="563" t="s">
        <v>80</v>
      </c>
      <c r="CC4" s="36" t="s">
        <v>109</v>
      </c>
      <c r="CD4" s="36" t="s">
        <v>73</v>
      </c>
      <c r="CE4" s="36" t="s">
        <v>74</v>
      </c>
      <c r="CF4" s="36" t="s">
        <v>75</v>
      </c>
      <c r="CG4" s="33" t="s">
        <v>80</v>
      </c>
      <c r="CH4" s="36" t="s">
        <v>109</v>
      </c>
      <c r="CI4" s="36" t="s">
        <v>73</v>
      </c>
      <c r="CJ4" s="36" t="s">
        <v>74</v>
      </c>
      <c r="CK4" s="36" t="s">
        <v>75</v>
      </c>
      <c r="CL4" s="33" t="s">
        <v>80</v>
      </c>
      <c r="CM4" s="124" t="s">
        <v>109</v>
      </c>
      <c r="CN4" s="546" t="s">
        <v>138</v>
      </c>
      <c r="CO4" s="547" t="s">
        <v>145</v>
      </c>
      <c r="CP4" s="36" t="s">
        <v>75</v>
      </c>
      <c r="CQ4" s="33" t="s">
        <v>80</v>
      </c>
      <c r="CR4" s="36" t="s">
        <v>109</v>
      </c>
      <c r="CS4" s="36" t="s">
        <v>189</v>
      </c>
      <c r="CT4" s="36" t="s">
        <v>190</v>
      </c>
      <c r="CU4" s="36" t="s">
        <v>75</v>
      </c>
      <c r="CV4" s="33" t="s">
        <v>191</v>
      </c>
      <c r="CW4" s="36" t="s">
        <v>109</v>
      </c>
      <c r="CX4" s="546" t="s">
        <v>138</v>
      </c>
      <c r="CY4" s="558" t="s">
        <v>145</v>
      </c>
      <c r="CZ4" s="36" t="s">
        <v>75</v>
      </c>
      <c r="DA4" s="33" t="s">
        <v>191</v>
      </c>
      <c r="DB4" s="36" t="s">
        <v>109</v>
      </c>
      <c r="DC4" s="36" t="s">
        <v>189</v>
      </c>
      <c r="DD4" s="36" t="s">
        <v>190</v>
      </c>
      <c r="DE4" s="36" t="s">
        <v>75</v>
      </c>
      <c r="DF4" s="33" t="s">
        <v>191</v>
      </c>
      <c r="DG4" s="36" t="s">
        <v>109</v>
      </c>
      <c r="DH4" s="546" t="s">
        <v>138</v>
      </c>
      <c r="DI4" s="36" t="s">
        <v>190</v>
      </c>
      <c r="DJ4" s="36" t="s">
        <v>75</v>
      </c>
      <c r="DK4" s="33" t="s">
        <v>191</v>
      </c>
      <c r="DL4" s="36" t="s">
        <v>109</v>
      </c>
      <c r="DM4" s="36" t="s">
        <v>189</v>
      </c>
      <c r="DN4" s="36" t="s">
        <v>190</v>
      </c>
      <c r="DO4" s="36" t="s">
        <v>75</v>
      </c>
      <c r="DP4" s="33" t="s">
        <v>191</v>
      </c>
      <c r="DQ4" s="36" t="s">
        <v>109</v>
      </c>
      <c r="DR4" s="36" t="s">
        <v>189</v>
      </c>
      <c r="DS4" s="36" t="s">
        <v>190</v>
      </c>
      <c r="DT4" s="36" t="s">
        <v>75</v>
      </c>
      <c r="DU4" s="36" t="s">
        <v>191</v>
      </c>
      <c r="DV4" s="67" t="s">
        <v>109</v>
      </c>
      <c r="DW4" s="546" t="s">
        <v>138</v>
      </c>
      <c r="DX4" s="547" t="s">
        <v>145</v>
      </c>
      <c r="DY4" s="36" t="s">
        <v>75</v>
      </c>
      <c r="DZ4" s="36" t="s">
        <v>80</v>
      </c>
      <c r="EA4" s="67" t="s">
        <v>109</v>
      </c>
      <c r="EB4" s="546" t="s">
        <v>138</v>
      </c>
      <c r="EC4" s="547" t="s">
        <v>145</v>
      </c>
      <c r="ED4" s="36" t="s">
        <v>75</v>
      </c>
      <c r="EE4" s="36" t="s">
        <v>80</v>
      </c>
      <c r="EF4" s="67" t="s">
        <v>109</v>
      </c>
      <c r="EG4" s="546" t="s">
        <v>138</v>
      </c>
      <c r="EH4" s="547" t="s">
        <v>145</v>
      </c>
      <c r="EI4" s="36" t="s">
        <v>75</v>
      </c>
      <c r="EJ4" s="33" t="s">
        <v>80</v>
      </c>
      <c r="EK4" s="67" t="s">
        <v>109</v>
      </c>
      <c r="EL4" s="546" t="s">
        <v>138</v>
      </c>
      <c r="EM4" s="547" t="s">
        <v>145</v>
      </c>
      <c r="EN4" s="36" t="s">
        <v>75</v>
      </c>
      <c r="EO4" s="33" t="s">
        <v>80</v>
      </c>
      <c r="EP4" s="67" t="s">
        <v>109</v>
      </c>
      <c r="EQ4" s="546" t="s">
        <v>138</v>
      </c>
      <c r="ER4" s="547" t="s">
        <v>145</v>
      </c>
      <c r="ES4" s="36" t="s">
        <v>75</v>
      </c>
      <c r="ET4" s="563" t="s">
        <v>76</v>
      </c>
      <c r="EU4" s="563" t="s">
        <v>77</v>
      </c>
      <c r="EV4" s="563" t="s">
        <v>194</v>
      </c>
      <c r="EW4" s="563" t="s">
        <v>79</v>
      </c>
      <c r="EX4" s="563" t="s">
        <v>80</v>
      </c>
      <c r="EY4" s="29" t="s">
        <v>109</v>
      </c>
      <c r="EZ4" s="36" t="s">
        <v>189</v>
      </c>
      <c r="FA4" s="36" t="s">
        <v>190</v>
      </c>
      <c r="FB4" s="36" t="s">
        <v>75</v>
      </c>
      <c r="FC4" s="36" t="s">
        <v>191</v>
      </c>
      <c r="FD4" s="29"/>
      <c r="FE4" s="36"/>
      <c r="FF4" s="36"/>
      <c r="FG4" s="36"/>
      <c r="FH4" s="29" t="s">
        <v>109</v>
      </c>
      <c r="FI4" s="36" t="s">
        <v>73</v>
      </c>
      <c r="FJ4" s="36" t="s">
        <v>74</v>
      </c>
      <c r="FK4" s="36" t="s">
        <v>75</v>
      </c>
      <c r="FL4" s="33" t="s">
        <v>80</v>
      </c>
      <c r="FM4" s="36" t="s">
        <v>109</v>
      </c>
      <c r="FN4" s="36" t="s">
        <v>73</v>
      </c>
      <c r="FO4" s="36" t="s">
        <v>74</v>
      </c>
      <c r="FP4" s="36" t="s">
        <v>75</v>
      </c>
      <c r="FQ4" s="33" t="s">
        <v>80</v>
      </c>
      <c r="FR4" s="36" t="s">
        <v>109</v>
      </c>
      <c r="FS4" s="36" t="s">
        <v>73</v>
      </c>
      <c r="FT4" s="36" t="s">
        <v>74</v>
      </c>
      <c r="FU4" s="36" t="s">
        <v>75</v>
      </c>
      <c r="FV4" s="36" t="s">
        <v>80</v>
      </c>
      <c r="FW4" s="67" t="s">
        <v>109</v>
      </c>
      <c r="FX4" s="546" t="s">
        <v>138</v>
      </c>
      <c r="FY4" s="547" t="s">
        <v>145</v>
      </c>
      <c r="FZ4" s="36" t="s">
        <v>75</v>
      </c>
      <c r="GA4" s="33" t="s">
        <v>80</v>
      </c>
      <c r="GB4" s="47" t="s">
        <v>109</v>
      </c>
      <c r="GC4" s="54" t="s">
        <v>141</v>
      </c>
      <c r="GD4" s="54" t="s">
        <v>139</v>
      </c>
      <c r="GE4" s="54" t="s">
        <v>195</v>
      </c>
      <c r="GF4" s="15" t="s">
        <v>75</v>
      </c>
      <c r="GG4" s="47" t="s">
        <v>109</v>
      </c>
      <c r="GH4" s="54" t="s">
        <v>141</v>
      </c>
      <c r="GI4" s="54" t="s">
        <v>139</v>
      </c>
      <c r="GJ4" s="54" t="s">
        <v>195</v>
      </c>
      <c r="GK4" s="15" t="s">
        <v>75</v>
      </c>
      <c r="GL4" s="29" t="s">
        <v>109</v>
      </c>
      <c r="GM4" s="36" t="s">
        <v>189</v>
      </c>
      <c r="GN4" s="36" t="s">
        <v>190</v>
      </c>
      <c r="GO4" s="36" t="s">
        <v>75</v>
      </c>
      <c r="GP4" s="33" t="s">
        <v>191</v>
      </c>
      <c r="GQ4" s="29" t="s">
        <v>109</v>
      </c>
      <c r="GR4" s="36" t="s">
        <v>189</v>
      </c>
      <c r="GS4" s="36" t="s">
        <v>190</v>
      </c>
      <c r="GT4" s="36" t="s">
        <v>75</v>
      </c>
      <c r="GU4" s="36" t="s">
        <v>191</v>
      </c>
      <c r="GV4" s="29" t="s">
        <v>109</v>
      </c>
      <c r="GW4" s="546" t="s">
        <v>138</v>
      </c>
      <c r="GX4" s="558" t="s">
        <v>145</v>
      </c>
      <c r="GY4" s="36" t="s">
        <v>75</v>
      </c>
      <c r="GZ4" s="36" t="s">
        <v>191</v>
      </c>
      <c r="HA4" s="29" t="s">
        <v>109</v>
      </c>
      <c r="HB4" s="36" t="s">
        <v>189</v>
      </c>
      <c r="HC4" s="36" t="s">
        <v>190</v>
      </c>
      <c r="HD4" s="36" t="s">
        <v>75</v>
      </c>
      <c r="HE4" s="36" t="s">
        <v>191</v>
      </c>
      <c r="HF4" s="29" t="s">
        <v>109</v>
      </c>
      <c r="HG4" s="546" t="s">
        <v>138</v>
      </c>
      <c r="HH4" s="36" t="s">
        <v>190</v>
      </c>
      <c r="HI4" s="36" t="s">
        <v>75</v>
      </c>
      <c r="HJ4" s="36" t="s">
        <v>191</v>
      </c>
      <c r="HK4" s="29" t="s">
        <v>109</v>
      </c>
      <c r="HL4" s="36" t="s">
        <v>189</v>
      </c>
      <c r="HM4" s="36" t="s">
        <v>190</v>
      </c>
      <c r="HN4" s="36" t="s">
        <v>75</v>
      </c>
      <c r="HO4" s="36" t="s">
        <v>191</v>
      </c>
      <c r="HP4" s="67" t="s">
        <v>109</v>
      </c>
      <c r="HQ4" s="546" t="s">
        <v>138</v>
      </c>
      <c r="HR4" s="547" t="s">
        <v>145</v>
      </c>
      <c r="HS4" s="36" t="s">
        <v>75</v>
      </c>
      <c r="HT4" s="33" t="s">
        <v>80</v>
      </c>
      <c r="HU4" s="30" t="s">
        <v>146</v>
      </c>
      <c r="HV4" s="563" t="s">
        <v>77</v>
      </c>
      <c r="HW4" s="563" t="s">
        <v>78</v>
      </c>
      <c r="HX4" s="563" t="s">
        <v>79</v>
      </c>
      <c r="HY4" s="563" t="s">
        <v>80</v>
      </c>
      <c r="HZ4" s="67" t="s">
        <v>109</v>
      </c>
      <c r="IA4" s="546" t="s">
        <v>138</v>
      </c>
      <c r="IB4" s="547" t="s">
        <v>145</v>
      </c>
      <c r="IC4" s="36" t="s">
        <v>75</v>
      </c>
      <c r="ID4" s="33" t="s">
        <v>80</v>
      </c>
      <c r="IE4" s="67" t="s">
        <v>109</v>
      </c>
      <c r="IF4" s="546" t="s">
        <v>138</v>
      </c>
      <c r="IG4" s="547" t="s">
        <v>145</v>
      </c>
      <c r="IH4" s="36" t="s">
        <v>75</v>
      </c>
      <c r="II4" s="36" t="s">
        <v>80</v>
      </c>
      <c r="IJ4" s="67" t="s">
        <v>109</v>
      </c>
      <c r="IK4" s="546" t="s">
        <v>138</v>
      </c>
      <c r="IL4" s="547" t="s">
        <v>145</v>
      </c>
      <c r="IM4" s="36" t="s">
        <v>75</v>
      </c>
      <c r="IN4" s="33" t="s">
        <v>80</v>
      </c>
      <c r="IO4" s="67" t="s">
        <v>109</v>
      </c>
      <c r="IP4" s="546" t="s">
        <v>138</v>
      </c>
      <c r="IQ4" s="547" t="s">
        <v>145</v>
      </c>
      <c r="IR4" s="36" t="s">
        <v>75</v>
      </c>
      <c r="IS4" s="33" t="s">
        <v>196</v>
      </c>
      <c r="IT4" s="563" t="s">
        <v>76</v>
      </c>
      <c r="IU4" s="563" t="s">
        <v>77</v>
      </c>
      <c r="IV4" s="563" t="s">
        <v>78</v>
      </c>
      <c r="IW4" s="563" t="s">
        <v>79</v>
      </c>
      <c r="IX4" s="563" t="s">
        <v>80</v>
      </c>
      <c r="IY4" s="29" t="s">
        <v>109</v>
      </c>
      <c r="IZ4" s="36" t="s">
        <v>73</v>
      </c>
      <c r="JA4" s="36" t="s">
        <v>74</v>
      </c>
      <c r="JB4" s="36" t="s">
        <v>75</v>
      </c>
      <c r="JC4" s="33" t="s">
        <v>80</v>
      </c>
      <c r="JD4" s="36" t="s">
        <v>109</v>
      </c>
      <c r="JE4" s="36" t="s">
        <v>73</v>
      </c>
      <c r="JF4" s="36" t="s">
        <v>74</v>
      </c>
      <c r="JG4" s="36" t="s">
        <v>75</v>
      </c>
      <c r="JH4" s="33" t="s">
        <v>80</v>
      </c>
      <c r="JI4" s="36" t="s">
        <v>109</v>
      </c>
      <c r="JJ4" s="36" t="s">
        <v>73</v>
      </c>
      <c r="JK4" s="36" t="s">
        <v>74</v>
      </c>
      <c r="JL4" s="36" t="s">
        <v>75</v>
      </c>
      <c r="JM4" s="33" t="s">
        <v>80</v>
      </c>
      <c r="JN4" s="67" t="s">
        <v>109</v>
      </c>
      <c r="JO4" s="546" t="s">
        <v>138</v>
      </c>
      <c r="JP4" s="547" t="s">
        <v>145</v>
      </c>
      <c r="JQ4" s="36" t="s">
        <v>75</v>
      </c>
      <c r="JR4" s="33" t="s">
        <v>80</v>
      </c>
      <c r="JS4" s="36" t="s">
        <v>109</v>
      </c>
      <c r="JT4" s="36" t="s">
        <v>189</v>
      </c>
      <c r="JU4" s="36" t="s">
        <v>190</v>
      </c>
      <c r="JV4" s="36" t="s">
        <v>75</v>
      </c>
      <c r="JW4" s="33" t="s">
        <v>191</v>
      </c>
      <c r="JX4" s="36" t="s">
        <v>109</v>
      </c>
      <c r="JY4" s="36" t="s">
        <v>189</v>
      </c>
      <c r="JZ4" s="36" t="s">
        <v>190</v>
      </c>
      <c r="KA4" s="36" t="s">
        <v>75</v>
      </c>
      <c r="KB4" s="33" t="s">
        <v>191</v>
      </c>
      <c r="KC4" s="36" t="s">
        <v>109</v>
      </c>
      <c r="KD4" s="546" t="s">
        <v>138</v>
      </c>
      <c r="KE4" s="558" t="s">
        <v>145</v>
      </c>
      <c r="KF4" s="36" t="s">
        <v>75</v>
      </c>
      <c r="KG4" s="36" t="s">
        <v>191</v>
      </c>
      <c r="KH4" s="36" t="s">
        <v>109</v>
      </c>
      <c r="KI4" s="36" t="s">
        <v>189</v>
      </c>
      <c r="KJ4" s="36" t="s">
        <v>190</v>
      </c>
      <c r="KK4" s="36" t="s">
        <v>75</v>
      </c>
      <c r="KL4" s="36" t="s">
        <v>191</v>
      </c>
      <c r="KM4" s="36" t="s">
        <v>109</v>
      </c>
      <c r="KN4" s="546" t="s">
        <v>138</v>
      </c>
      <c r="KO4" s="36" t="s">
        <v>190</v>
      </c>
      <c r="KP4" s="36" t="s">
        <v>75</v>
      </c>
      <c r="KQ4" s="36" t="s">
        <v>191</v>
      </c>
      <c r="KR4" s="36" t="s">
        <v>109</v>
      </c>
      <c r="KS4" s="36" t="s">
        <v>189</v>
      </c>
      <c r="KT4" s="36" t="s">
        <v>190</v>
      </c>
      <c r="KU4" s="36" t="s">
        <v>75</v>
      </c>
      <c r="KV4" s="36" t="s">
        <v>191</v>
      </c>
      <c r="KW4" s="67" t="s">
        <v>109</v>
      </c>
      <c r="KX4" s="546" t="s">
        <v>138</v>
      </c>
      <c r="KY4" s="547" t="s">
        <v>145</v>
      </c>
      <c r="KZ4" s="36" t="s">
        <v>75</v>
      </c>
      <c r="LA4" s="33" t="s">
        <v>80</v>
      </c>
      <c r="LB4" s="67" t="s">
        <v>109</v>
      </c>
      <c r="LC4" s="547" t="s">
        <v>138</v>
      </c>
      <c r="LD4" s="547" t="s">
        <v>145</v>
      </c>
      <c r="LE4" s="35" t="s">
        <v>75</v>
      </c>
      <c r="LF4" s="417" t="s">
        <v>80</v>
      </c>
      <c r="LG4" s="67" t="s">
        <v>109</v>
      </c>
      <c r="LH4" s="547" t="s">
        <v>138</v>
      </c>
      <c r="LI4" s="547" t="s">
        <v>145</v>
      </c>
      <c r="LJ4" s="36" t="s">
        <v>75</v>
      </c>
      <c r="LK4" s="36" t="s">
        <v>80</v>
      </c>
      <c r="LL4" s="67" t="s">
        <v>109</v>
      </c>
      <c r="LM4" s="547" t="s">
        <v>138</v>
      </c>
      <c r="LN4" s="547" t="s">
        <v>145</v>
      </c>
      <c r="LO4" s="35" t="s">
        <v>75</v>
      </c>
      <c r="LP4" s="417" t="s">
        <v>80</v>
      </c>
      <c r="LQ4" s="67" t="s">
        <v>109</v>
      </c>
      <c r="LR4" s="547" t="s">
        <v>138</v>
      </c>
      <c r="LS4" s="547" t="s">
        <v>145</v>
      </c>
      <c r="LT4" s="35" t="s">
        <v>75</v>
      </c>
      <c r="LU4" s="33" t="s">
        <v>196</v>
      </c>
      <c r="LV4" s="563" t="s">
        <v>76</v>
      </c>
      <c r="LW4" s="563" t="s">
        <v>77</v>
      </c>
      <c r="LX4" s="563" t="s">
        <v>78</v>
      </c>
      <c r="LY4" s="563" t="s">
        <v>79</v>
      </c>
      <c r="LZ4" s="563" t="s">
        <v>80</v>
      </c>
      <c r="MA4" s="29" t="s">
        <v>109</v>
      </c>
      <c r="MB4" s="36" t="s">
        <v>73</v>
      </c>
      <c r="MC4" s="36" t="s">
        <v>74</v>
      </c>
      <c r="MD4" s="36" t="s">
        <v>75</v>
      </c>
      <c r="ME4" s="33" t="s">
        <v>80</v>
      </c>
      <c r="MF4" s="36" t="s">
        <v>109</v>
      </c>
      <c r="MG4" s="36" t="s">
        <v>73</v>
      </c>
      <c r="MH4" s="36" t="s">
        <v>74</v>
      </c>
      <c r="MI4" s="36" t="s">
        <v>75</v>
      </c>
      <c r="MJ4" s="33" t="s">
        <v>80</v>
      </c>
      <c r="MK4" s="67" t="s">
        <v>109</v>
      </c>
      <c r="ML4" s="546" t="s">
        <v>138</v>
      </c>
      <c r="MM4" s="547" t="s">
        <v>145</v>
      </c>
      <c r="MN4" s="36" t="s">
        <v>75</v>
      </c>
      <c r="MO4" s="33" t="s">
        <v>80</v>
      </c>
      <c r="MP4" s="29" t="s">
        <v>109</v>
      </c>
      <c r="MQ4" s="36" t="s">
        <v>189</v>
      </c>
      <c r="MR4" s="36" t="s">
        <v>190</v>
      </c>
      <c r="MS4" s="36" t="s">
        <v>75</v>
      </c>
      <c r="MT4" s="36" t="s">
        <v>191</v>
      </c>
      <c r="MU4" s="29" t="s">
        <v>109</v>
      </c>
      <c r="MV4" s="36" t="s">
        <v>189</v>
      </c>
      <c r="MW4" s="36" t="s">
        <v>190</v>
      </c>
      <c r="MX4" s="36" t="s">
        <v>75</v>
      </c>
      <c r="MY4" s="36" t="s">
        <v>191</v>
      </c>
      <c r="MZ4" s="29" t="s">
        <v>109</v>
      </c>
      <c r="NA4" s="546" t="s">
        <v>138</v>
      </c>
      <c r="NB4" s="558" t="s">
        <v>145</v>
      </c>
      <c r="NC4" s="36" t="s">
        <v>75</v>
      </c>
      <c r="ND4" s="36" t="s">
        <v>191</v>
      </c>
      <c r="NE4" s="29" t="s">
        <v>109</v>
      </c>
      <c r="NF4" s="36" t="s">
        <v>189</v>
      </c>
      <c r="NG4" s="36" t="s">
        <v>190</v>
      </c>
      <c r="NH4" s="36" t="s">
        <v>75</v>
      </c>
      <c r="NI4" s="36" t="s">
        <v>191</v>
      </c>
      <c r="NJ4" s="29" t="s">
        <v>109</v>
      </c>
      <c r="NK4" s="546" t="s">
        <v>138</v>
      </c>
      <c r="NL4" s="36" t="s">
        <v>190</v>
      </c>
      <c r="NM4" s="36" t="s">
        <v>75</v>
      </c>
      <c r="NN4" s="36" t="s">
        <v>191</v>
      </c>
      <c r="NO4" s="29" t="s">
        <v>109</v>
      </c>
      <c r="NP4" s="36" t="s">
        <v>189</v>
      </c>
      <c r="NQ4" s="36" t="s">
        <v>190</v>
      </c>
      <c r="NR4" s="36" t="s">
        <v>75</v>
      </c>
      <c r="NS4" s="36" t="s">
        <v>191</v>
      </c>
      <c r="NT4" s="36" t="s">
        <v>109</v>
      </c>
      <c r="NU4" s="36" t="s">
        <v>189</v>
      </c>
      <c r="NV4" s="36" t="s">
        <v>190</v>
      </c>
      <c r="NW4" s="36" t="s">
        <v>75</v>
      </c>
      <c r="NX4" s="36" t="s">
        <v>191</v>
      </c>
      <c r="NY4" s="67" t="s">
        <v>109</v>
      </c>
      <c r="NZ4" s="546" t="s">
        <v>138</v>
      </c>
      <c r="OA4" s="547" t="s">
        <v>145</v>
      </c>
      <c r="OB4" s="36" t="s">
        <v>75</v>
      </c>
      <c r="OC4" s="33" t="s">
        <v>80</v>
      </c>
      <c r="OD4" s="67" t="s">
        <v>109</v>
      </c>
      <c r="OE4" s="546" t="s">
        <v>138</v>
      </c>
      <c r="OF4" s="547" t="s">
        <v>145</v>
      </c>
      <c r="OG4" s="36" t="s">
        <v>75</v>
      </c>
      <c r="OH4" s="36" t="s">
        <v>80</v>
      </c>
      <c r="OI4" s="67" t="s">
        <v>109</v>
      </c>
      <c r="OJ4" s="546" t="s">
        <v>138</v>
      </c>
      <c r="OK4" s="547" t="s">
        <v>145</v>
      </c>
      <c r="OL4" s="36" t="s">
        <v>75</v>
      </c>
      <c r="OM4" s="33" t="s">
        <v>80</v>
      </c>
      <c r="ON4" s="67" t="s">
        <v>109</v>
      </c>
      <c r="OO4" s="546" t="s">
        <v>138</v>
      </c>
      <c r="OP4" s="547" t="s">
        <v>145</v>
      </c>
      <c r="OQ4" s="36" t="s">
        <v>75</v>
      </c>
      <c r="OR4" s="33" t="s">
        <v>196</v>
      </c>
      <c r="OS4" s="563" t="s">
        <v>76</v>
      </c>
      <c r="OT4" s="563" t="s">
        <v>77</v>
      </c>
      <c r="OU4" s="563" t="s">
        <v>78</v>
      </c>
      <c r="OV4" s="563" t="s">
        <v>79</v>
      </c>
      <c r="OW4" s="563" t="s">
        <v>80</v>
      </c>
      <c r="OX4" s="29" t="s">
        <v>109</v>
      </c>
      <c r="OY4" s="36" t="s">
        <v>73</v>
      </c>
      <c r="OZ4" s="36" t="s">
        <v>74</v>
      </c>
      <c r="PA4" s="36" t="s">
        <v>75</v>
      </c>
      <c r="PB4" s="36" t="s">
        <v>80</v>
      </c>
      <c r="PC4" s="29" t="s">
        <v>109</v>
      </c>
      <c r="PD4" s="36" t="s">
        <v>73</v>
      </c>
      <c r="PE4" s="36" t="s">
        <v>74</v>
      </c>
      <c r="PF4" s="36" t="s">
        <v>75</v>
      </c>
      <c r="PG4" s="33" t="s">
        <v>80</v>
      </c>
      <c r="PH4" s="29" t="s">
        <v>109</v>
      </c>
      <c r="PI4" s="36" t="s">
        <v>189</v>
      </c>
      <c r="PJ4" s="36" t="s">
        <v>190</v>
      </c>
      <c r="PK4" s="36" t="s">
        <v>75</v>
      </c>
      <c r="PL4" s="33" t="s">
        <v>191</v>
      </c>
      <c r="PM4" s="67" t="s">
        <v>109</v>
      </c>
      <c r="PN4" s="546" t="s">
        <v>138</v>
      </c>
      <c r="PO4" s="547" t="s">
        <v>145</v>
      </c>
      <c r="PP4" s="36" t="s">
        <v>75</v>
      </c>
      <c r="PQ4" s="33" t="s">
        <v>80</v>
      </c>
      <c r="PR4" s="29" t="s">
        <v>109</v>
      </c>
      <c r="PS4" s="36" t="s">
        <v>189</v>
      </c>
      <c r="PT4" s="36" t="s">
        <v>190</v>
      </c>
      <c r="PU4" s="36" t="s">
        <v>75</v>
      </c>
      <c r="PV4" s="33" t="s">
        <v>191</v>
      </c>
      <c r="PW4" s="36" t="s">
        <v>109</v>
      </c>
      <c r="PX4" s="546" t="s">
        <v>138</v>
      </c>
      <c r="PY4" s="558" t="s">
        <v>145</v>
      </c>
      <c r="PZ4" s="36" t="s">
        <v>75</v>
      </c>
      <c r="QA4" s="33" t="s">
        <v>191</v>
      </c>
      <c r="QB4" s="36" t="s">
        <v>109</v>
      </c>
      <c r="QC4" s="36" t="s">
        <v>189</v>
      </c>
      <c r="QD4" s="36" t="s">
        <v>193</v>
      </c>
      <c r="QE4" s="36" t="s">
        <v>75</v>
      </c>
      <c r="QF4" s="36" t="s">
        <v>191</v>
      </c>
      <c r="QG4" s="29" t="s">
        <v>109</v>
      </c>
      <c r="QH4" s="546" t="s">
        <v>138</v>
      </c>
      <c r="QI4" s="36" t="s">
        <v>193</v>
      </c>
      <c r="QJ4" s="36" t="s">
        <v>75</v>
      </c>
      <c r="QK4" s="36" t="s">
        <v>191</v>
      </c>
      <c r="QL4" s="29" t="s">
        <v>109</v>
      </c>
      <c r="QM4" s="36" t="s">
        <v>189</v>
      </c>
      <c r="QN4" s="36" t="s">
        <v>193</v>
      </c>
      <c r="QO4" s="36" t="s">
        <v>75</v>
      </c>
      <c r="QP4" s="36" t="s">
        <v>191</v>
      </c>
      <c r="QQ4" s="29" t="s">
        <v>109</v>
      </c>
      <c r="QR4" s="36" t="s">
        <v>189</v>
      </c>
      <c r="QS4" s="36" t="s">
        <v>193</v>
      </c>
      <c r="QT4" s="36" t="s">
        <v>75</v>
      </c>
      <c r="QU4" s="36" t="s">
        <v>191</v>
      </c>
      <c r="QV4" s="67" t="s">
        <v>109</v>
      </c>
      <c r="QW4" s="546" t="s">
        <v>138</v>
      </c>
      <c r="QX4" s="547" t="s">
        <v>145</v>
      </c>
      <c r="QY4" s="36" t="s">
        <v>75</v>
      </c>
      <c r="QZ4" s="36" t="s">
        <v>80</v>
      </c>
      <c r="RA4" s="67" t="s">
        <v>109</v>
      </c>
      <c r="RB4" s="546" t="s">
        <v>138</v>
      </c>
      <c r="RC4" s="547" t="s">
        <v>145</v>
      </c>
      <c r="RD4" s="36" t="s">
        <v>75</v>
      </c>
      <c r="RE4" s="33" t="s">
        <v>80</v>
      </c>
      <c r="RF4" s="67" t="s">
        <v>109</v>
      </c>
      <c r="RG4" s="546" t="s">
        <v>138</v>
      </c>
      <c r="RH4" s="547" t="s">
        <v>145</v>
      </c>
      <c r="RI4" s="36" t="s">
        <v>75</v>
      </c>
      <c r="RJ4" s="33" t="s">
        <v>80</v>
      </c>
      <c r="RK4" s="67" t="s">
        <v>109</v>
      </c>
      <c r="RL4" s="546" t="s">
        <v>138</v>
      </c>
      <c r="RM4" s="547" t="s">
        <v>145</v>
      </c>
      <c r="RN4" s="36" t="s">
        <v>75</v>
      </c>
      <c r="RO4" s="33" t="s">
        <v>80</v>
      </c>
      <c r="RP4" s="563" t="s">
        <v>76</v>
      </c>
      <c r="RQ4" s="563" t="s">
        <v>77</v>
      </c>
      <c r="RR4" s="563" t="s">
        <v>78</v>
      </c>
      <c r="RS4" s="563" t="s">
        <v>79</v>
      </c>
      <c r="RT4" s="563" t="s">
        <v>80</v>
      </c>
      <c r="RU4" s="29" t="s">
        <v>109</v>
      </c>
      <c r="RV4" s="36" t="s">
        <v>73</v>
      </c>
      <c r="RW4" s="36" t="s">
        <v>74</v>
      </c>
      <c r="RX4" s="36" t="s">
        <v>75</v>
      </c>
      <c r="RY4" s="33" t="s">
        <v>80</v>
      </c>
      <c r="RZ4" s="36" t="s">
        <v>109</v>
      </c>
      <c r="SA4" s="36" t="s">
        <v>73</v>
      </c>
      <c r="SB4" s="36" t="s">
        <v>74</v>
      </c>
      <c r="SC4" s="36" t="s">
        <v>75</v>
      </c>
      <c r="SD4" s="36" t="s">
        <v>80</v>
      </c>
      <c r="SE4" s="67" t="s">
        <v>109</v>
      </c>
      <c r="SF4" s="546" t="s">
        <v>138</v>
      </c>
      <c r="SG4" s="547" t="s">
        <v>145</v>
      </c>
      <c r="SH4" s="36" t="s">
        <v>75</v>
      </c>
      <c r="SI4" s="33" t="s">
        <v>80</v>
      </c>
      <c r="SJ4" s="29" t="s">
        <v>109</v>
      </c>
      <c r="SK4" s="36" t="s">
        <v>189</v>
      </c>
      <c r="SL4" s="36" t="s">
        <v>190</v>
      </c>
      <c r="SM4" s="36" t="s">
        <v>75</v>
      </c>
      <c r="SN4" s="33" t="s">
        <v>191</v>
      </c>
      <c r="SO4" s="29" t="s">
        <v>109</v>
      </c>
      <c r="SP4" s="36" t="s">
        <v>189</v>
      </c>
      <c r="SQ4" s="36" t="s">
        <v>190</v>
      </c>
      <c r="SR4" s="36" t="s">
        <v>75</v>
      </c>
      <c r="SS4" s="36" t="s">
        <v>191</v>
      </c>
      <c r="ST4" s="29" t="s">
        <v>109</v>
      </c>
      <c r="SU4" s="546" t="s">
        <v>138</v>
      </c>
      <c r="SV4" s="558" t="s">
        <v>145</v>
      </c>
      <c r="SW4" s="36" t="s">
        <v>75</v>
      </c>
      <c r="SX4" s="33" t="s">
        <v>191</v>
      </c>
      <c r="SY4" s="29" t="s">
        <v>109</v>
      </c>
      <c r="SZ4" s="36" t="s">
        <v>189</v>
      </c>
      <c r="TA4" s="36" t="s">
        <v>190</v>
      </c>
      <c r="TB4" s="36" t="s">
        <v>75</v>
      </c>
      <c r="TC4" s="33" t="s">
        <v>191</v>
      </c>
      <c r="TD4" s="29" t="s">
        <v>109</v>
      </c>
      <c r="TE4" s="546" t="s">
        <v>138</v>
      </c>
      <c r="TF4" s="36" t="s">
        <v>190</v>
      </c>
      <c r="TG4" s="36" t="s">
        <v>75</v>
      </c>
      <c r="TH4" s="33" t="s">
        <v>191</v>
      </c>
      <c r="TI4" s="29" t="s">
        <v>109</v>
      </c>
      <c r="TJ4" s="36" t="s">
        <v>189</v>
      </c>
      <c r="TK4" s="36" t="s">
        <v>190</v>
      </c>
      <c r="TL4" s="36" t="s">
        <v>75</v>
      </c>
      <c r="TM4" s="33" t="s">
        <v>191</v>
      </c>
      <c r="TN4" s="36" t="s">
        <v>109</v>
      </c>
      <c r="TO4" s="36" t="s">
        <v>189</v>
      </c>
      <c r="TP4" s="36" t="s">
        <v>190</v>
      </c>
      <c r="TQ4" s="36" t="s">
        <v>75</v>
      </c>
      <c r="TR4" s="36" t="s">
        <v>191</v>
      </c>
      <c r="TS4" s="67" t="s">
        <v>109</v>
      </c>
      <c r="TT4" s="546" t="s">
        <v>138</v>
      </c>
      <c r="TU4" s="547" t="s">
        <v>145</v>
      </c>
      <c r="TV4" s="36" t="s">
        <v>75</v>
      </c>
      <c r="TW4" s="36" t="s">
        <v>80</v>
      </c>
      <c r="TX4" s="67" t="s">
        <v>109</v>
      </c>
      <c r="TY4" s="546" t="s">
        <v>138</v>
      </c>
      <c r="TZ4" s="547" t="s">
        <v>145</v>
      </c>
      <c r="UA4" s="36" t="s">
        <v>75</v>
      </c>
      <c r="UB4" s="36" t="s">
        <v>80</v>
      </c>
      <c r="UC4" s="67" t="s">
        <v>109</v>
      </c>
      <c r="UD4" s="546" t="s">
        <v>138</v>
      </c>
      <c r="UE4" s="547" t="s">
        <v>145</v>
      </c>
      <c r="UF4" s="36" t="s">
        <v>75</v>
      </c>
      <c r="UG4" s="33" t="s">
        <v>80</v>
      </c>
      <c r="UH4" s="67" t="s">
        <v>109</v>
      </c>
      <c r="UI4" s="546" t="s">
        <v>138</v>
      </c>
      <c r="UJ4" s="547" t="s">
        <v>145</v>
      </c>
      <c r="UK4" s="36" t="s">
        <v>75</v>
      </c>
      <c r="UL4" s="33" t="s">
        <v>80</v>
      </c>
      <c r="UM4" s="563" t="s">
        <v>76</v>
      </c>
      <c r="UN4" s="563" t="s">
        <v>77</v>
      </c>
      <c r="UO4" s="563" t="s">
        <v>78</v>
      </c>
      <c r="UP4" s="563" t="s">
        <v>79</v>
      </c>
      <c r="UQ4" s="563" t="s">
        <v>80</v>
      </c>
      <c r="UR4" s="35" t="s">
        <v>197</v>
      </c>
      <c r="US4" s="35" t="s">
        <v>114</v>
      </c>
      <c r="UT4" s="35" t="s">
        <v>111</v>
      </c>
      <c r="UU4" s="35" t="s">
        <v>198</v>
      </c>
      <c r="UV4" s="35" t="s">
        <v>112</v>
      </c>
      <c r="UW4" s="35" t="s">
        <v>113</v>
      </c>
      <c r="UX4" s="67" t="s">
        <v>135</v>
      </c>
      <c r="UY4" s="35" t="s">
        <v>136</v>
      </c>
      <c r="UZ4" s="35" t="s">
        <v>137</v>
      </c>
      <c r="VA4" s="35" t="s">
        <v>197</v>
      </c>
      <c r="VB4" s="35" t="s">
        <v>114</v>
      </c>
      <c r="VC4" s="35" t="s">
        <v>111</v>
      </c>
      <c r="VD4" s="35" t="s">
        <v>199</v>
      </c>
      <c r="VE4" s="35" t="s">
        <v>115</v>
      </c>
      <c r="VF4" s="35" t="s">
        <v>116</v>
      </c>
      <c r="VG4" s="35" t="s">
        <v>200</v>
      </c>
      <c r="VH4" s="35" t="s">
        <v>117</v>
      </c>
      <c r="VI4" s="35" t="s">
        <v>118</v>
      </c>
      <c r="VJ4" s="67" t="s">
        <v>135</v>
      </c>
      <c r="VK4" s="35" t="s">
        <v>136</v>
      </c>
      <c r="VL4" s="35" t="s">
        <v>137</v>
      </c>
      <c r="VM4" s="36" t="s">
        <v>73</v>
      </c>
      <c r="VN4" s="35" t="s">
        <v>114</v>
      </c>
      <c r="VO4" s="35" t="s">
        <v>111</v>
      </c>
      <c r="VP4" s="35" t="s">
        <v>201</v>
      </c>
      <c r="VQ4" s="35" t="s">
        <v>202</v>
      </c>
      <c r="VR4" s="36" t="s">
        <v>74</v>
      </c>
      <c r="VS4" s="35" t="s">
        <v>115</v>
      </c>
      <c r="VT4" s="35" t="s">
        <v>116</v>
      </c>
      <c r="VU4" s="36" t="s">
        <v>75</v>
      </c>
      <c r="VV4" s="35" t="s">
        <v>117</v>
      </c>
      <c r="VW4" s="35" t="s">
        <v>118</v>
      </c>
      <c r="VX4" s="70" t="s">
        <v>203</v>
      </c>
      <c r="VY4" s="70" t="s">
        <v>204</v>
      </c>
      <c r="VZ4" s="70" t="s">
        <v>205</v>
      </c>
      <c r="WA4" s="74" t="s">
        <v>206</v>
      </c>
      <c r="WB4" s="74" t="s">
        <v>207</v>
      </c>
      <c r="WC4" s="74" t="s">
        <v>208</v>
      </c>
      <c r="WD4" s="583" t="s">
        <v>119</v>
      </c>
      <c r="WE4" s="583" t="s">
        <v>120</v>
      </c>
      <c r="WF4" s="583" t="s">
        <v>121</v>
      </c>
      <c r="WG4" s="29" t="s">
        <v>109</v>
      </c>
      <c r="WH4" s="35" t="s">
        <v>136</v>
      </c>
      <c r="WI4" s="35" t="s">
        <v>137</v>
      </c>
      <c r="WJ4" s="36" t="s">
        <v>73</v>
      </c>
      <c r="WK4" s="36" t="s">
        <v>122</v>
      </c>
      <c r="WL4" s="35" t="s">
        <v>130</v>
      </c>
      <c r="WM4" s="35" t="s">
        <v>131</v>
      </c>
      <c r="WN4" s="35" t="s">
        <v>201</v>
      </c>
      <c r="WO4" s="35" t="s">
        <v>202</v>
      </c>
      <c r="WP4" s="36" t="s">
        <v>74</v>
      </c>
      <c r="WQ4" s="36" t="s">
        <v>125</v>
      </c>
      <c r="WR4" s="35" t="s">
        <v>209</v>
      </c>
      <c r="WS4" s="35" t="s">
        <v>210</v>
      </c>
      <c r="WT4" s="36" t="s">
        <v>75</v>
      </c>
      <c r="WU4" s="35" t="s">
        <v>117</v>
      </c>
      <c r="WV4" s="35" t="s">
        <v>118</v>
      </c>
      <c r="WW4" s="36" t="s">
        <v>80</v>
      </c>
      <c r="WX4" s="80" t="s">
        <v>204</v>
      </c>
      <c r="WY4" s="80" t="s">
        <v>205</v>
      </c>
      <c r="WZ4" s="79" t="s">
        <v>206</v>
      </c>
      <c r="XA4" s="79" t="s">
        <v>207</v>
      </c>
      <c r="XB4" s="79" t="s">
        <v>208</v>
      </c>
      <c r="XC4" s="584" t="s">
        <v>119</v>
      </c>
      <c r="XD4" s="584" t="s">
        <v>120</v>
      </c>
      <c r="XE4" s="584" t="s">
        <v>121</v>
      </c>
      <c r="XF4" s="35" t="s">
        <v>211</v>
      </c>
      <c r="XG4" s="35" t="s">
        <v>212</v>
      </c>
      <c r="XH4" s="35" t="s">
        <v>213</v>
      </c>
      <c r="XI4" s="35" t="s">
        <v>214</v>
      </c>
      <c r="XJ4" s="67" t="s">
        <v>109</v>
      </c>
      <c r="XK4" s="35" t="s">
        <v>215</v>
      </c>
      <c r="XL4" s="35" t="s">
        <v>216</v>
      </c>
      <c r="XM4" s="36" t="s">
        <v>128</v>
      </c>
      <c r="XN4" s="36" t="s">
        <v>215</v>
      </c>
      <c r="XO4" s="36" t="s">
        <v>216</v>
      </c>
      <c r="XP4" s="83" t="s">
        <v>129</v>
      </c>
      <c r="XQ4" s="35" t="s">
        <v>130</v>
      </c>
      <c r="XR4" s="35" t="s">
        <v>131</v>
      </c>
      <c r="XS4" s="36" t="s">
        <v>132</v>
      </c>
      <c r="XT4" s="35" t="s">
        <v>115</v>
      </c>
      <c r="XU4" s="35" t="s">
        <v>116</v>
      </c>
      <c r="XV4" s="36" t="s">
        <v>75</v>
      </c>
      <c r="XW4" s="35" t="s">
        <v>117</v>
      </c>
      <c r="XX4" s="35" t="s">
        <v>118</v>
      </c>
      <c r="XY4" s="35" t="s">
        <v>217</v>
      </c>
      <c r="XZ4" s="35" t="s">
        <v>120</v>
      </c>
      <c r="YA4" s="35" t="s">
        <v>121</v>
      </c>
      <c r="YB4" s="67" t="s">
        <v>109</v>
      </c>
      <c r="YC4" s="546" t="s">
        <v>138</v>
      </c>
      <c r="YD4" s="547" t="s">
        <v>145</v>
      </c>
      <c r="YE4" s="36" t="s">
        <v>75</v>
      </c>
      <c r="YF4" s="33" t="s">
        <v>80</v>
      </c>
      <c r="YG4" s="47" t="s">
        <v>109</v>
      </c>
      <c r="YH4" s="54" t="s">
        <v>218</v>
      </c>
      <c r="YI4" s="54" t="s">
        <v>219</v>
      </c>
      <c r="YJ4" s="54" t="s">
        <v>220</v>
      </c>
      <c r="YK4" s="15" t="s">
        <v>75</v>
      </c>
      <c r="YL4" s="47" t="s">
        <v>109</v>
      </c>
      <c r="YM4" s="54" t="s">
        <v>218</v>
      </c>
      <c r="YN4" s="54" t="s">
        <v>219</v>
      </c>
      <c r="YO4" s="54" t="s">
        <v>220</v>
      </c>
      <c r="YP4" s="15" t="s">
        <v>75</v>
      </c>
      <c r="YQ4" s="29" t="s">
        <v>109</v>
      </c>
      <c r="YR4" s="36" t="s">
        <v>189</v>
      </c>
      <c r="YS4" s="36" t="s">
        <v>190</v>
      </c>
      <c r="YT4" s="36" t="s">
        <v>75</v>
      </c>
      <c r="YU4" s="33" t="s">
        <v>191</v>
      </c>
      <c r="YV4" s="29" t="s">
        <v>109</v>
      </c>
      <c r="YW4" s="36" t="s">
        <v>189</v>
      </c>
      <c r="YX4" s="36" t="s">
        <v>190</v>
      </c>
      <c r="YY4" s="36" t="s">
        <v>75</v>
      </c>
      <c r="YZ4" s="33" t="s">
        <v>191</v>
      </c>
      <c r="ZA4" s="29" t="s">
        <v>109</v>
      </c>
      <c r="ZB4" s="546" t="s">
        <v>138</v>
      </c>
      <c r="ZC4" s="558" t="s">
        <v>145</v>
      </c>
      <c r="ZD4" s="36" t="s">
        <v>75</v>
      </c>
      <c r="ZE4" s="33" t="s">
        <v>191</v>
      </c>
      <c r="ZF4" s="29" t="s">
        <v>109</v>
      </c>
      <c r="ZG4" s="36" t="s">
        <v>189</v>
      </c>
      <c r="ZH4" s="36" t="s">
        <v>190</v>
      </c>
      <c r="ZI4" s="36" t="s">
        <v>75</v>
      </c>
      <c r="ZJ4" s="33" t="s">
        <v>191</v>
      </c>
      <c r="ZK4" s="29" t="s">
        <v>109</v>
      </c>
      <c r="ZL4" s="546" t="s">
        <v>138</v>
      </c>
      <c r="ZM4" s="36" t="s">
        <v>190</v>
      </c>
      <c r="ZN4" s="36" t="s">
        <v>75</v>
      </c>
      <c r="ZO4" s="33" t="s">
        <v>191</v>
      </c>
      <c r="ZP4" s="29" t="s">
        <v>109</v>
      </c>
      <c r="ZQ4" s="36" t="s">
        <v>189</v>
      </c>
      <c r="ZR4" s="36" t="s">
        <v>190</v>
      </c>
      <c r="ZS4" s="36" t="s">
        <v>75</v>
      </c>
      <c r="ZT4" s="33" t="s">
        <v>191</v>
      </c>
      <c r="ZU4" s="36" t="s">
        <v>109</v>
      </c>
      <c r="ZV4" s="36" t="s">
        <v>189</v>
      </c>
      <c r="ZW4" s="36" t="s">
        <v>190</v>
      </c>
      <c r="ZX4" s="36" t="s">
        <v>75</v>
      </c>
      <c r="ZY4" s="36" t="s">
        <v>191</v>
      </c>
      <c r="ZZ4" s="30" t="s">
        <v>146</v>
      </c>
      <c r="AAA4" s="563" t="s">
        <v>77</v>
      </c>
      <c r="AAB4" s="563" t="s">
        <v>78</v>
      </c>
      <c r="AAC4" s="563" t="s">
        <v>79</v>
      </c>
      <c r="AAD4" s="563" t="s">
        <v>80</v>
      </c>
      <c r="AAE4" s="67" t="s">
        <v>109</v>
      </c>
      <c r="AAF4" s="546" t="s">
        <v>138</v>
      </c>
      <c r="AAG4" s="547" t="s">
        <v>145</v>
      </c>
      <c r="AAH4" s="36" t="s">
        <v>75</v>
      </c>
      <c r="AAI4" s="36" t="s">
        <v>80</v>
      </c>
      <c r="AAJ4" s="67" t="s">
        <v>109</v>
      </c>
      <c r="AAK4" s="546" t="s">
        <v>138</v>
      </c>
      <c r="AAL4" s="547" t="s">
        <v>145</v>
      </c>
      <c r="AAM4" s="36" t="s">
        <v>75</v>
      </c>
      <c r="AAN4" s="36" t="s">
        <v>80</v>
      </c>
      <c r="AAO4" s="67" t="s">
        <v>109</v>
      </c>
      <c r="AAP4" s="547" t="s">
        <v>138</v>
      </c>
      <c r="AAQ4" s="547" t="s">
        <v>145</v>
      </c>
      <c r="AAR4" s="35" t="s">
        <v>75</v>
      </c>
      <c r="AAS4" s="35" t="s">
        <v>80</v>
      </c>
      <c r="AAT4" s="67" t="s">
        <v>109</v>
      </c>
      <c r="AAU4" s="547" t="s">
        <v>138</v>
      </c>
      <c r="AAV4" s="547" t="s">
        <v>145</v>
      </c>
      <c r="AAW4" s="35" t="s">
        <v>75</v>
      </c>
      <c r="AAX4" s="33" t="s">
        <v>196</v>
      </c>
      <c r="AAY4" s="563" t="s">
        <v>76</v>
      </c>
      <c r="AAZ4" s="563" t="s">
        <v>77</v>
      </c>
      <c r="ABA4" s="563" t="s">
        <v>78</v>
      </c>
      <c r="ABB4" s="563" t="s">
        <v>79</v>
      </c>
      <c r="ABC4" s="563" t="s">
        <v>80</v>
      </c>
      <c r="ABD4" s="36" t="s">
        <v>109</v>
      </c>
      <c r="ABE4" s="36" t="s">
        <v>73</v>
      </c>
      <c r="ABF4" s="36" t="s">
        <v>74</v>
      </c>
      <c r="ABG4" s="36" t="s">
        <v>75</v>
      </c>
      <c r="ABH4" s="33" t="s">
        <v>80</v>
      </c>
      <c r="ABI4" s="67" t="s">
        <v>109</v>
      </c>
      <c r="ABJ4" s="546" t="s">
        <v>138</v>
      </c>
      <c r="ABK4" s="547" t="s">
        <v>145</v>
      </c>
      <c r="ABL4" s="36" t="s">
        <v>75</v>
      </c>
      <c r="ABM4" s="33" t="s">
        <v>80</v>
      </c>
      <c r="ABN4" s="29" t="s">
        <v>109</v>
      </c>
      <c r="ABO4" s="36" t="s">
        <v>189</v>
      </c>
      <c r="ABP4" s="36" t="s">
        <v>190</v>
      </c>
      <c r="ABQ4" s="36" t="s">
        <v>75</v>
      </c>
      <c r="ABR4" s="36" t="s">
        <v>191</v>
      </c>
      <c r="ABS4" s="29" t="s">
        <v>109</v>
      </c>
      <c r="ABT4" s="36" t="s">
        <v>189</v>
      </c>
      <c r="ABU4" s="36" t="s">
        <v>190</v>
      </c>
      <c r="ABV4" s="36" t="s">
        <v>75</v>
      </c>
      <c r="ABW4" s="36" t="s">
        <v>191</v>
      </c>
      <c r="ABX4" s="29" t="s">
        <v>109</v>
      </c>
      <c r="ABY4" s="546" t="s">
        <v>138</v>
      </c>
      <c r="ABZ4" s="558" t="s">
        <v>145</v>
      </c>
      <c r="ACA4" s="36" t="s">
        <v>75</v>
      </c>
      <c r="ACB4" s="33" t="s">
        <v>191</v>
      </c>
      <c r="ACC4" s="29" t="s">
        <v>109</v>
      </c>
      <c r="ACD4" s="36" t="s">
        <v>189</v>
      </c>
      <c r="ACE4" s="36" t="s">
        <v>190</v>
      </c>
      <c r="ACF4" s="36" t="s">
        <v>75</v>
      </c>
      <c r="ACG4" s="33" t="s">
        <v>191</v>
      </c>
      <c r="ACH4" s="29" t="s">
        <v>109</v>
      </c>
      <c r="ACI4" s="36" t="s">
        <v>189</v>
      </c>
      <c r="ACJ4" s="36" t="s">
        <v>190</v>
      </c>
      <c r="ACK4" s="36" t="s">
        <v>75</v>
      </c>
      <c r="ACL4" s="33" t="s">
        <v>191</v>
      </c>
      <c r="ACM4" s="29" t="s">
        <v>109</v>
      </c>
      <c r="ACN4" s="36" t="s">
        <v>189</v>
      </c>
      <c r="ACO4" s="36" t="s">
        <v>190</v>
      </c>
      <c r="ACP4" s="36" t="s">
        <v>75</v>
      </c>
      <c r="ACQ4" s="33" t="s">
        <v>191</v>
      </c>
      <c r="ACR4" s="29" t="s">
        <v>109</v>
      </c>
      <c r="ACS4" s="36" t="s">
        <v>189</v>
      </c>
      <c r="ACT4" s="36" t="s">
        <v>190</v>
      </c>
      <c r="ACU4" s="36" t="s">
        <v>75</v>
      </c>
      <c r="ACV4" s="36" t="s">
        <v>191</v>
      </c>
      <c r="ACW4" s="563" t="s">
        <v>76</v>
      </c>
      <c r="ACX4" s="563" t="s">
        <v>77</v>
      </c>
      <c r="ACY4" s="563" t="s">
        <v>194</v>
      </c>
      <c r="ACZ4" s="563" t="s">
        <v>79</v>
      </c>
      <c r="ADA4" s="563" t="s">
        <v>80</v>
      </c>
      <c r="ADB4" s="67" t="s">
        <v>109</v>
      </c>
      <c r="ADC4" s="546" t="s">
        <v>138</v>
      </c>
      <c r="ADD4" s="547" t="s">
        <v>145</v>
      </c>
      <c r="ADE4" s="36" t="s">
        <v>75</v>
      </c>
      <c r="ADF4" s="33" t="s">
        <v>80</v>
      </c>
      <c r="ADG4" s="67" t="s">
        <v>109</v>
      </c>
      <c r="ADH4" s="546" t="s">
        <v>138</v>
      </c>
      <c r="ADI4" s="547" t="s">
        <v>145</v>
      </c>
      <c r="ADJ4" s="36" t="s">
        <v>75</v>
      </c>
      <c r="ADK4" s="36" t="s">
        <v>80</v>
      </c>
      <c r="ADL4" s="67" t="s">
        <v>109</v>
      </c>
      <c r="ADM4" s="546" t="s">
        <v>138</v>
      </c>
      <c r="ADN4" s="547" t="s">
        <v>145</v>
      </c>
      <c r="ADO4" s="36" t="s">
        <v>75</v>
      </c>
      <c r="ADP4" s="33" t="s">
        <v>80</v>
      </c>
      <c r="ADQ4" s="67" t="s">
        <v>109</v>
      </c>
      <c r="ADR4" s="546" t="s">
        <v>138</v>
      </c>
      <c r="ADS4" s="547" t="s">
        <v>145</v>
      </c>
      <c r="ADT4" s="36" t="s">
        <v>75</v>
      </c>
      <c r="ADU4" s="33" t="s">
        <v>196</v>
      </c>
      <c r="ADV4" s="563" t="s">
        <v>76</v>
      </c>
      <c r="ADW4" s="563" t="s">
        <v>77</v>
      </c>
      <c r="ADX4" s="563" t="s">
        <v>78</v>
      </c>
      <c r="ADY4" s="563" t="s">
        <v>79</v>
      </c>
      <c r="ADZ4" s="563" t="s">
        <v>80</v>
      </c>
    </row>
    <row r="5" spans="1:806">
      <c r="A5" s="169" t="s">
        <v>5</v>
      </c>
      <c r="B5" s="202">
        <v>24257683</v>
      </c>
      <c r="C5" s="203">
        <v>17510678</v>
      </c>
      <c r="D5" s="203">
        <v>3507219</v>
      </c>
      <c r="E5" s="203">
        <v>2710825</v>
      </c>
      <c r="F5" s="204">
        <v>502997</v>
      </c>
      <c r="G5" s="186">
        <f>+G6+G24+G39+G53+G64</f>
        <v>16502211</v>
      </c>
      <c r="H5" s="186">
        <f t="shared" ref="H5:K5" si="0">+H6+H24+H39+H53+H64</f>
        <v>11806669</v>
      </c>
      <c r="I5" s="186">
        <f t="shared" si="0"/>
        <v>2306445</v>
      </c>
      <c r="J5" s="186">
        <f t="shared" si="0"/>
        <v>3445912</v>
      </c>
      <c r="K5" s="187">
        <f t="shared" si="0"/>
        <v>2389097</v>
      </c>
      <c r="L5" s="186">
        <f>+L6+L24+L39+L53+L64</f>
        <v>13755477</v>
      </c>
      <c r="M5" s="186">
        <f t="shared" ref="M5" si="1">+M6+M24+M39+M53+M64</f>
        <v>8439716</v>
      </c>
      <c r="N5" s="186">
        <f t="shared" ref="N5" si="2">+N6+N24+N39+N53+N64</f>
        <v>1571844</v>
      </c>
      <c r="O5" s="186">
        <f t="shared" ref="O5" si="3">+O6+O24+O39+O53+O64</f>
        <v>4995869</v>
      </c>
      <c r="P5" s="187">
        <f t="shared" ref="P5" si="4">+P6+P24+P39+P53+P64</f>
        <v>3685625</v>
      </c>
      <c r="Q5" s="186">
        <f>+Q6+Q24+Q39+Q53+Q64</f>
        <v>12691550</v>
      </c>
      <c r="R5" s="186">
        <f t="shared" ref="R5:U5" si="5">+R6+R24+R39+R53+R64</f>
        <v>4725513</v>
      </c>
      <c r="S5" s="186">
        <f t="shared" si="5"/>
        <v>1298534</v>
      </c>
      <c r="T5" s="186">
        <f t="shared" si="5"/>
        <v>5762352</v>
      </c>
      <c r="U5" s="187">
        <f t="shared" si="5"/>
        <v>3602987</v>
      </c>
      <c r="V5" s="388">
        <f>+V6+V24+V39+V53+V64</f>
        <v>12562778</v>
      </c>
      <c r="W5" s="388">
        <f t="shared" ref="W5:Z5" si="6">+W6+W24+W39+W53+W64</f>
        <v>7906714</v>
      </c>
      <c r="X5" s="388">
        <f t="shared" si="6"/>
        <v>1278964</v>
      </c>
      <c r="Y5" s="388">
        <f t="shared" si="6"/>
        <v>6090299</v>
      </c>
      <c r="Z5" s="389">
        <f t="shared" si="6"/>
        <v>3377100</v>
      </c>
      <c r="AA5" s="388">
        <f>+AA6+AA24+AA39+AA53+AA64</f>
        <v>12299194</v>
      </c>
      <c r="AB5" s="388">
        <f t="shared" ref="AB5" si="7">+AB6+AB24+AB39+AB53+AB64</f>
        <v>3881736</v>
      </c>
      <c r="AC5" s="388">
        <f t="shared" ref="AC5" si="8">+AC6+AC24+AC39+AC53+AC64</f>
        <v>1211703</v>
      </c>
      <c r="AD5" s="388">
        <f t="shared" ref="AD5" si="9">+AD6+AD24+AD39+AD53+AD64</f>
        <v>6172886</v>
      </c>
      <c r="AE5" s="388">
        <f t="shared" ref="AE5:AF5" si="10">+AE6+AE24+AE39+AE53+AE64</f>
        <v>3369896</v>
      </c>
      <c r="AF5" s="531">
        <f t="shared" si="10"/>
        <v>12198000</v>
      </c>
      <c r="AG5" s="389">
        <f t="shared" ref="AG5:AH5" si="11">+AG6+AG24+AG39+AG53+AG64</f>
        <v>3760668</v>
      </c>
      <c r="AH5" s="389">
        <f t="shared" si="11"/>
        <v>1187883</v>
      </c>
      <c r="AI5" s="389">
        <f t="shared" ref="AI5:AR5" si="12">+AI6+AI24+AI39+AI53+AI64</f>
        <v>6197285</v>
      </c>
      <c r="AJ5" s="389">
        <f t="shared" si="12"/>
        <v>3362046</v>
      </c>
      <c r="AK5" s="388">
        <f t="shared" ref="AK5:AO5" si="13">+AK6+AK24+AK39+AK53+AK64</f>
        <v>12063864</v>
      </c>
      <c r="AL5" s="388">
        <f t="shared" si="13"/>
        <v>3509914</v>
      </c>
      <c r="AM5" s="684">
        <f t="shared" si="13"/>
        <v>1107655</v>
      </c>
      <c r="AN5" s="684">
        <f t="shared" si="13"/>
        <v>6348676</v>
      </c>
      <c r="AO5" s="388">
        <f t="shared" si="13"/>
        <v>3383178</v>
      </c>
      <c r="AP5" s="388">
        <f t="shared" si="12"/>
        <v>11988039</v>
      </c>
      <c r="AQ5" s="388">
        <f t="shared" si="12"/>
        <v>3353875</v>
      </c>
      <c r="AR5" s="388">
        <f t="shared" si="12"/>
        <v>1108285</v>
      </c>
      <c r="AS5" s="388">
        <f t="shared" ref="AS5:AW5" si="14">+AS6+AS24+AS39+AS53+AS64</f>
        <v>6381512</v>
      </c>
      <c r="AT5" s="388">
        <f t="shared" si="14"/>
        <v>3493875</v>
      </c>
      <c r="AU5" s="534">
        <f t="shared" si="14"/>
        <v>11692904</v>
      </c>
      <c r="AV5" s="388">
        <f t="shared" si="14"/>
        <v>3230694</v>
      </c>
      <c r="AW5" s="388">
        <f t="shared" si="14"/>
        <v>1067747</v>
      </c>
      <c r="AX5" s="388">
        <f t="shared" ref="AX5:BG5" si="15">+AX6+AX24+AX39+AX53+AX64</f>
        <v>6255679</v>
      </c>
      <c r="AY5" s="388">
        <f t="shared" si="15"/>
        <v>3573537</v>
      </c>
      <c r="AZ5" s="388">
        <f t="shared" ref="AZ5:BD5" si="16">+AZ6+AZ24+AZ39+AZ53+AZ64</f>
        <v>991977</v>
      </c>
      <c r="BA5" s="388">
        <f t="shared" si="16"/>
        <v>14837</v>
      </c>
      <c r="BB5" s="388">
        <f t="shared" si="16"/>
        <v>122803</v>
      </c>
      <c r="BC5" s="388">
        <f t="shared" si="16"/>
        <v>211908</v>
      </c>
      <c r="BD5" s="388">
        <f t="shared" si="16"/>
        <v>2232012</v>
      </c>
      <c r="BE5" s="534">
        <f t="shared" si="15"/>
        <v>11267058</v>
      </c>
      <c r="BF5" s="388">
        <f t="shared" si="15"/>
        <v>3013318</v>
      </c>
      <c r="BG5" s="388">
        <f t="shared" si="15"/>
        <v>1035120</v>
      </c>
      <c r="BH5" s="388">
        <f t="shared" ref="BH5:BL5" si="17">+BH6+BH24+BH39+BH53+BH64</f>
        <v>6090107</v>
      </c>
      <c r="BI5" s="388">
        <f t="shared" si="17"/>
        <v>3512488</v>
      </c>
      <c r="BJ5" s="534">
        <f t="shared" si="17"/>
        <v>11083738</v>
      </c>
      <c r="BK5" s="388">
        <f t="shared" si="17"/>
        <v>0</v>
      </c>
      <c r="BL5" s="388">
        <f t="shared" si="17"/>
        <v>0</v>
      </c>
      <c r="BM5" s="388">
        <f t="shared" ref="BM5:BQ5" si="18">+BM6+BM24+BM39+BM53+BM64</f>
        <v>0</v>
      </c>
      <c r="BN5" s="388">
        <f t="shared" si="18"/>
        <v>0</v>
      </c>
      <c r="BO5" s="534">
        <f>+BO6+BO24+BO39+BO53+BO64</f>
        <v>10874685</v>
      </c>
      <c r="BP5" s="388">
        <f t="shared" si="18"/>
        <v>2825173</v>
      </c>
      <c r="BQ5" s="388">
        <f t="shared" si="18"/>
        <v>976490</v>
      </c>
      <c r="BR5" s="388">
        <f t="shared" ref="BR5:BS5" si="19">+BR6+BR24+BR39+BR53+BR64</f>
        <v>5948842</v>
      </c>
      <c r="BS5" s="388">
        <f t="shared" si="19"/>
        <v>3424951</v>
      </c>
      <c r="BT5" s="534">
        <f>+BT6+BT24+BT39+BT53+BT64</f>
        <v>10860370</v>
      </c>
      <c r="BU5" s="388">
        <f t="shared" ref="BU5:CB5" si="20">+BU6+BU24+BU39+BU53+BU64</f>
        <v>2613860</v>
      </c>
      <c r="BV5" s="388">
        <f t="shared" si="20"/>
        <v>921429</v>
      </c>
      <c r="BW5" s="388">
        <f t="shared" si="20"/>
        <v>5989686</v>
      </c>
      <c r="BX5" s="388">
        <f t="shared" si="20"/>
        <v>1051148</v>
      </c>
      <c r="BY5" s="388">
        <f t="shared" si="20"/>
        <v>18082</v>
      </c>
      <c r="BZ5" s="388">
        <f t="shared" si="20"/>
        <v>215451</v>
      </c>
      <c r="CA5" s="388">
        <f t="shared" si="20"/>
        <v>2465414</v>
      </c>
      <c r="CB5" s="388">
        <f t="shared" si="20"/>
        <v>2981577</v>
      </c>
      <c r="CC5" s="186">
        <f>+CC6+CC24+CC39+CC53+CC64</f>
        <v>22841507</v>
      </c>
      <c r="CD5" s="186">
        <f t="shared" ref="CD5" si="21">+CD6+CD24+CD39+CD53+CD64</f>
        <v>17355153</v>
      </c>
      <c r="CE5" s="186">
        <f t="shared" ref="CE5" si="22">+CE6+CE24+CE39+CE53+CE64</f>
        <v>3881407</v>
      </c>
      <c r="CF5" s="186">
        <f t="shared" ref="CF5" si="23">+CF6+CF24+CF39+CF53+CF64</f>
        <v>2231737</v>
      </c>
      <c r="CG5" s="187">
        <f t="shared" ref="CG5" si="24">+CG6+CG24+CG39+CG53+CG64</f>
        <v>1604947</v>
      </c>
      <c r="CH5" s="186">
        <f>+CH6+CH24+CH39+CH53+CH64</f>
        <v>21960148</v>
      </c>
      <c r="CI5" s="186">
        <f t="shared" ref="CI5" si="25">+CI6+CI24+CI39+CI53+CI64</f>
        <v>15058521</v>
      </c>
      <c r="CJ5" s="186">
        <f t="shared" ref="CJ5" si="26">+CJ6+CJ24+CJ39+CJ53+CJ64</f>
        <v>3918908</v>
      </c>
      <c r="CK5" s="186">
        <f t="shared" ref="CK5" si="27">+CK6+CK24+CK39+CK53+CK64</f>
        <v>3553051</v>
      </c>
      <c r="CL5" s="187">
        <f t="shared" ref="CL5" si="28">+CL6+CL24+CL39+CL53+CL64</f>
        <v>2916505</v>
      </c>
      <c r="CM5" s="186">
        <f>+CM6+CM24+CM39+CM53+CM64</f>
        <v>18556909</v>
      </c>
      <c r="CN5" s="186">
        <f t="shared" ref="CN5:CQ5" si="29">+CN6+CN24+CN39+CN53+CN64</f>
        <v>10576323</v>
      </c>
      <c r="CO5" s="186">
        <f t="shared" si="29"/>
        <v>3226604</v>
      </c>
      <c r="CP5" s="186">
        <f t="shared" si="29"/>
        <v>3841845</v>
      </c>
      <c r="CQ5" s="187">
        <f t="shared" si="29"/>
        <v>2757931</v>
      </c>
      <c r="CR5" s="186">
        <f>+CR6+CR24+CR39+CR53+CR64</f>
        <v>17125417</v>
      </c>
      <c r="CS5" s="186">
        <f t="shared" ref="CS5:CV5" si="30">+CS6+CS24+CS39+CS53+CS64</f>
        <v>11605879</v>
      </c>
      <c r="CT5" s="186">
        <f t="shared" si="30"/>
        <v>3032382</v>
      </c>
      <c r="CU5" s="186">
        <f t="shared" si="30"/>
        <v>4077583</v>
      </c>
      <c r="CV5" s="187">
        <f t="shared" si="30"/>
        <v>2487156</v>
      </c>
      <c r="CW5" s="187">
        <f t="shared" ref="CW5:DB5" si="31">+CW6+CW24+CW39+CW53+CW64</f>
        <v>16728246</v>
      </c>
      <c r="CX5" s="187">
        <f t="shared" si="31"/>
        <v>8597346</v>
      </c>
      <c r="CY5" s="187">
        <f t="shared" si="31"/>
        <v>2966711</v>
      </c>
      <c r="CZ5" s="187">
        <f t="shared" si="31"/>
        <v>4215302</v>
      </c>
      <c r="DA5" s="187">
        <f t="shared" si="31"/>
        <v>2509944</v>
      </c>
      <c r="DB5" s="187">
        <f t="shared" si="31"/>
        <v>16434993</v>
      </c>
      <c r="DC5" s="187">
        <f t="shared" ref="DC5:DD5" si="32">+DC6+DC24+DC39+DC53+DC64</f>
        <v>8336651</v>
      </c>
      <c r="DD5" s="187">
        <f t="shared" si="32"/>
        <v>2910708</v>
      </c>
      <c r="DE5" s="187">
        <f t="shared" ref="DE5:DN5" si="33">+DE6+DE24+DE39+DE53+DE64</f>
        <v>4238441</v>
      </c>
      <c r="DF5" s="187">
        <f t="shared" si="33"/>
        <v>2496399</v>
      </c>
      <c r="DG5" s="187">
        <f t="shared" ref="DG5:DK5" si="34">+DG6+DG24+DG39+DG53+DG64</f>
        <v>15928170</v>
      </c>
      <c r="DH5" s="187">
        <f t="shared" si="34"/>
        <v>7843089</v>
      </c>
      <c r="DI5" s="187">
        <f t="shared" si="34"/>
        <v>2821128</v>
      </c>
      <c r="DJ5" s="187">
        <f t="shared" si="34"/>
        <v>4289832</v>
      </c>
      <c r="DK5" s="187">
        <f t="shared" si="34"/>
        <v>2495865</v>
      </c>
      <c r="DL5" s="187">
        <f t="shared" si="33"/>
        <v>15838087</v>
      </c>
      <c r="DM5" s="187">
        <f t="shared" si="33"/>
        <v>7689680</v>
      </c>
      <c r="DN5" s="187">
        <f t="shared" si="33"/>
        <v>2795027</v>
      </c>
      <c r="DO5" s="187">
        <f t="shared" ref="DO5:DS5" si="35">+DO6+DO24+DO39+DO53+DO64</f>
        <v>4381659</v>
      </c>
      <c r="DP5" s="187">
        <f t="shared" si="35"/>
        <v>2508425</v>
      </c>
      <c r="DQ5" s="186">
        <f t="shared" si="35"/>
        <v>15719330</v>
      </c>
      <c r="DR5" s="186">
        <f t="shared" si="35"/>
        <v>7570914</v>
      </c>
      <c r="DS5" s="186">
        <f t="shared" si="35"/>
        <v>2756911</v>
      </c>
      <c r="DT5" s="186">
        <f t="shared" ref="DT5:DX5" si="36">+DT6+DT24+DT39+DT53+DT64</f>
        <v>4377162</v>
      </c>
      <c r="DU5" s="186">
        <f t="shared" si="36"/>
        <v>2632149</v>
      </c>
      <c r="DV5" s="334">
        <f t="shared" si="36"/>
        <v>15315153</v>
      </c>
      <c r="DW5" s="186">
        <f t="shared" si="36"/>
        <v>7207856</v>
      </c>
      <c r="DX5" s="186">
        <f t="shared" si="36"/>
        <v>2705392</v>
      </c>
      <c r="DY5" s="186">
        <f t="shared" ref="DY5:EC5" si="37">+DY6+DY24+DY39+DY53+DY64</f>
        <v>4387902</v>
      </c>
      <c r="DZ5" s="186">
        <f t="shared" si="37"/>
        <v>2639608</v>
      </c>
      <c r="EA5" s="334">
        <f t="shared" si="37"/>
        <v>14960425</v>
      </c>
      <c r="EB5" s="186">
        <f t="shared" si="37"/>
        <v>0</v>
      </c>
      <c r="EC5" s="186">
        <f t="shared" si="37"/>
        <v>0</v>
      </c>
      <c r="ED5" s="186">
        <f t="shared" ref="ED5:EH5" si="38">+ED6+ED24+ED39+ED53+ED64</f>
        <v>0</v>
      </c>
      <c r="EE5" s="186">
        <f t="shared" si="38"/>
        <v>0</v>
      </c>
      <c r="EF5" s="334">
        <f t="shared" si="38"/>
        <v>14743856</v>
      </c>
      <c r="EG5" s="186">
        <f t="shared" si="38"/>
        <v>6821558</v>
      </c>
      <c r="EH5" s="186">
        <f t="shared" si="38"/>
        <v>2559696</v>
      </c>
      <c r="EI5" s="186">
        <f t="shared" ref="EI5:EM5" si="39">+EI6+EI24+EI39+EI53+EI64</f>
        <v>4376589</v>
      </c>
      <c r="EJ5" s="186">
        <f t="shared" si="39"/>
        <v>2571789</v>
      </c>
      <c r="EK5" s="334">
        <f t="shared" si="39"/>
        <v>14743856</v>
      </c>
      <c r="EL5" s="186">
        <f t="shared" si="39"/>
        <v>6821558</v>
      </c>
      <c r="EM5" s="186">
        <f t="shared" si="39"/>
        <v>2559696</v>
      </c>
      <c r="EN5" s="186">
        <f t="shared" ref="EN5:ER5" si="40">+EN6+EN24+EN39+EN53+EN64</f>
        <v>4376589</v>
      </c>
      <c r="EO5" s="186">
        <f t="shared" si="40"/>
        <v>2571789</v>
      </c>
      <c r="EP5" s="334">
        <f t="shared" si="40"/>
        <v>13412111</v>
      </c>
      <c r="EQ5" s="186">
        <f t="shared" si="40"/>
        <v>5851349</v>
      </c>
      <c r="ER5" s="186">
        <f t="shared" si="40"/>
        <v>2244617</v>
      </c>
      <c r="ES5" s="186">
        <f t="shared" ref="ES5" si="41">+ES6+ES24+ES39+ES53+ES64</f>
        <v>4114310</v>
      </c>
      <c r="ET5" s="186">
        <f t="shared" ref="ET5:EX5" si="42">+ET6+ET24+ET39+ET53+ET64</f>
        <v>629537</v>
      </c>
      <c r="EU5" s="186">
        <f t="shared" si="42"/>
        <v>17261</v>
      </c>
      <c r="EV5" s="186">
        <f t="shared" si="42"/>
        <v>225896</v>
      </c>
      <c r="EW5" s="186">
        <f t="shared" si="42"/>
        <v>2115139</v>
      </c>
      <c r="EX5" s="186">
        <f t="shared" si="42"/>
        <v>1799412</v>
      </c>
      <c r="EY5" s="334">
        <f t="shared" ref="EY5" si="43">+EY6+EY24+EY39+EY53+EY64</f>
        <v>29428089</v>
      </c>
      <c r="EZ5" s="186">
        <f t="shared" ref="EZ5:FC5" si="44">+EZ6+EZ24+EZ39+EZ53+EZ64</f>
        <v>19238641</v>
      </c>
      <c r="FA5" s="186">
        <f t="shared" si="44"/>
        <v>4235330</v>
      </c>
      <c r="FB5" s="186">
        <f t="shared" si="44"/>
        <v>10325387</v>
      </c>
      <c r="FC5" s="186">
        <f t="shared" si="44"/>
        <v>5954118</v>
      </c>
      <c r="FD5" s="378">
        <v>18034195</v>
      </c>
      <c r="FE5" s="205">
        <v>29206900</v>
      </c>
      <c r="FF5" s="205">
        <v>40822827</v>
      </c>
      <c r="FG5" s="205">
        <v>57526047</v>
      </c>
      <c r="FH5" s="10">
        <v>88300490</v>
      </c>
      <c r="FI5" s="206">
        <v>76722382.368000001</v>
      </c>
      <c r="FJ5" s="206">
        <v>6665530.8799999999</v>
      </c>
      <c r="FK5" s="206">
        <v>2965287.6</v>
      </c>
      <c r="FL5" s="207">
        <v>1913824.52</v>
      </c>
      <c r="FM5" s="186">
        <f>+FM6+FM24+FM39+FM53+FM64</f>
        <v>119524718</v>
      </c>
      <c r="FN5" s="186">
        <f t="shared" ref="FN5" si="45">+FN6+FN24+FN39+FN53+FN64</f>
        <v>102861486</v>
      </c>
      <c r="FO5" s="186">
        <f t="shared" ref="FO5" si="46">+FO6+FO24+FO39+FO53+FO64</f>
        <v>10573382</v>
      </c>
      <c r="FP5" s="186">
        <f t="shared" ref="FP5" si="47">+FP6+FP24+FP39+FP53+FP64</f>
        <v>5592572</v>
      </c>
      <c r="FQ5" s="187">
        <f t="shared" ref="FQ5" si="48">+FQ6+FQ24+FQ39+FQ53+FQ64</f>
        <v>6089850</v>
      </c>
      <c r="FR5" s="186">
        <f>+FR6+FR24+FR39+FR53+FR64</f>
        <v>146496014</v>
      </c>
      <c r="FS5" s="186">
        <f t="shared" ref="FS5" si="49">+FS6+FS24+FS39+FS53+FS64</f>
        <v>119587422</v>
      </c>
      <c r="FT5" s="186">
        <f t="shared" ref="FT5" si="50">+FT6+FT24+FT39+FT53+FT64</f>
        <v>14283820</v>
      </c>
      <c r="FU5" s="186">
        <f t="shared" ref="FU5" si="51">+FU6+FU24+FU39+FU53+FU64</f>
        <v>9440212</v>
      </c>
      <c r="FV5" s="186">
        <f t="shared" ref="FV5" si="52">+FV6+FV24+FV39+FV53+FV64</f>
        <v>12358566</v>
      </c>
      <c r="FW5" s="332">
        <f>+FW6+FW24+FW39+FW53+FW64</f>
        <v>164397924</v>
      </c>
      <c r="FX5" s="186">
        <f t="shared" ref="FX5" si="53">+FX6+FX24+FX39+FX53+FX64</f>
        <v>122426966</v>
      </c>
      <c r="FY5" s="186">
        <f t="shared" ref="FY5" si="54">+FY6+FY24+FY39+FY53+FY64</f>
        <v>18876635</v>
      </c>
      <c r="FZ5" s="186">
        <f t="shared" ref="FZ5" si="55">+FZ6+FZ24+FZ39+FZ53+FZ64</f>
        <v>15359152</v>
      </c>
      <c r="GA5" s="187">
        <f t="shared" ref="GA5" si="56">+GA6+GA24+GA39+GA53+GA64</f>
        <v>14360084</v>
      </c>
      <c r="GB5" s="186">
        <f>+GB6+GB24+GB39+GB53+GB64</f>
        <v>167190402</v>
      </c>
      <c r="GC5" s="186">
        <f t="shared" ref="GC5" si="57">+GC6+GC24+GC39+GC53+GC64</f>
        <v>132726994</v>
      </c>
      <c r="GD5" s="186">
        <f t="shared" ref="GD5" si="58">+GD6+GD24+GD39+GD53+GD64</f>
        <v>17740884</v>
      </c>
      <c r="GE5" s="186">
        <f t="shared" ref="GE5" si="59">+GE6+GE24+GE39+GE53+GE64</f>
        <v>16722524</v>
      </c>
      <c r="GF5" s="187">
        <f t="shared" ref="GF5" si="60">+GF6+GF24+GF39+GF53+GF64</f>
        <v>14963027</v>
      </c>
      <c r="GG5" s="186">
        <f>+GG6+GG24+GG39+GG53+GG64</f>
        <v>169695758</v>
      </c>
      <c r="GH5" s="186">
        <f t="shared" ref="GH5" si="61">+GH6+GH24+GH39+GH53+GH64</f>
        <v>134880643</v>
      </c>
      <c r="GI5" s="186">
        <f t="shared" ref="GI5" si="62">+GI6+GI24+GI39+GI53+GI64</f>
        <v>18248417</v>
      </c>
      <c r="GJ5" s="186">
        <f t="shared" ref="GJ5" si="63">+GJ6+GJ24+GJ39+GJ53+GJ64</f>
        <v>16566698</v>
      </c>
      <c r="GK5" s="186">
        <f t="shared" ref="GK5" si="64">+GK6+GK24+GK39+GK53+GK64</f>
        <v>15343854</v>
      </c>
      <c r="GL5" s="334">
        <f>+GL6+GL24+GL39+GL53+GL64</f>
        <v>172364998</v>
      </c>
      <c r="GM5" s="186">
        <f t="shared" ref="GM5:GP5" si="65">+GM6+GM24+GM39+GM53+GM64</f>
        <v>136490551</v>
      </c>
      <c r="GN5" s="186">
        <f t="shared" si="65"/>
        <v>18856790</v>
      </c>
      <c r="GO5" s="186">
        <f t="shared" si="65"/>
        <v>16298339</v>
      </c>
      <c r="GP5" s="186">
        <f t="shared" si="65"/>
        <v>14385490</v>
      </c>
      <c r="GQ5" s="334">
        <f>+GQ6+GQ24+GQ39+GQ53+GQ64</f>
        <v>174961280.70700002</v>
      </c>
      <c r="GR5" s="186">
        <f t="shared" ref="GR5:GU5" si="66">+GR6+GR24+GR39+GR53+GR64</f>
        <v>138179898.06</v>
      </c>
      <c r="GS5" s="186">
        <f t="shared" si="66"/>
        <v>19262373.876000002</v>
      </c>
      <c r="GT5" s="186">
        <f t="shared" si="66"/>
        <v>17007150.676000003</v>
      </c>
      <c r="GU5" s="187">
        <f t="shared" si="66"/>
        <v>17519008.771000002</v>
      </c>
      <c r="GV5" s="187">
        <f t="shared" ref="GV5" si="67">+GV6+GV24+GV39+GV53+GV64</f>
        <v>177569763</v>
      </c>
      <c r="GW5" s="186">
        <f t="shared" ref="GW5:GX5" si="68">+GW6+GW24+GW39+GW53+GW64</f>
        <v>127837597</v>
      </c>
      <c r="GX5" s="186">
        <f t="shared" si="68"/>
        <v>19721613</v>
      </c>
      <c r="GY5" s="186">
        <f t="shared" ref="GY5:GZ5" si="69">+GY6+GY24+GY39+GY53+GY64</f>
        <v>17772491</v>
      </c>
      <c r="GZ5" s="186">
        <f t="shared" si="69"/>
        <v>17940060</v>
      </c>
      <c r="HA5" s="186">
        <f t="shared" ref="HA5:HB5" si="70">+HA6+HA24+HA39+HA53+HA64</f>
        <v>180164623</v>
      </c>
      <c r="HB5" s="186">
        <f t="shared" si="70"/>
        <v>128814010</v>
      </c>
      <c r="HC5" s="186">
        <f t="shared" ref="HC5:HD5" si="71">+HC6+HC24+HC39+HC53+HC64</f>
        <v>20152240</v>
      </c>
      <c r="HD5" s="186">
        <f t="shared" si="71"/>
        <v>18513091</v>
      </c>
      <c r="HE5" s="186">
        <f t="shared" ref="HE5:HO5" si="72">+HE6+HE24+HE39+HE53+HE64</f>
        <v>18536091</v>
      </c>
      <c r="HF5" s="186">
        <f>+HF6+HF24+HF39+HF53+HF64</f>
        <v>185733590</v>
      </c>
      <c r="HG5" s="186">
        <f t="shared" ref="HG5:HJ5" si="73">+HG6+HG24+HG39+HG53+HG64</f>
        <v>130678562</v>
      </c>
      <c r="HH5" s="186">
        <f t="shared" si="73"/>
        <v>21193690</v>
      </c>
      <c r="HI5" s="186">
        <f t="shared" si="73"/>
        <v>20057708</v>
      </c>
      <c r="HJ5" s="186">
        <f t="shared" si="73"/>
        <v>20030703</v>
      </c>
      <c r="HK5" s="186">
        <f>+HK6+HK24+HK39+HK53+HK64</f>
        <v>188621037</v>
      </c>
      <c r="HL5" s="186">
        <f t="shared" si="72"/>
        <v>131667618</v>
      </c>
      <c r="HM5" s="186">
        <f t="shared" si="72"/>
        <v>21665369</v>
      </c>
      <c r="HN5" s="186">
        <f t="shared" si="72"/>
        <v>20890036</v>
      </c>
      <c r="HO5" s="186">
        <f t="shared" si="72"/>
        <v>20485657</v>
      </c>
      <c r="HP5" s="334">
        <f>+HP6+HP24+HP39+HP53+HP64</f>
        <v>191063246</v>
      </c>
      <c r="HQ5" s="186">
        <f t="shared" ref="HQ5:HY5" si="74">+HQ6+HQ24+HQ39+HQ53+HQ64</f>
        <v>132430436</v>
      </c>
      <c r="HR5" s="186">
        <f t="shared" si="74"/>
        <v>22094142</v>
      </c>
      <c r="HS5" s="186">
        <f t="shared" si="74"/>
        <v>21698901</v>
      </c>
      <c r="HT5" s="186">
        <f t="shared" si="74"/>
        <v>21364523</v>
      </c>
      <c r="HU5" s="186">
        <f t="shared" si="74"/>
        <v>10673084</v>
      </c>
      <c r="HV5" s="186">
        <f t="shared" si="74"/>
        <v>269999</v>
      </c>
      <c r="HW5" s="186">
        <f t="shared" si="74"/>
        <v>1298483</v>
      </c>
      <c r="HX5" s="186">
        <f t="shared" si="74"/>
        <v>3364330</v>
      </c>
      <c r="HY5" s="186">
        <f t="shared" si="74"/>
        <v>5758627</v>
      </c>
      <c r="HZ5" s="334">
        <f>+HZ6+HZ24+HZ39+HZ53+HZ64</f>
        <v>194667872</v>
      </c>
      <c r="IA5" s="186">
        <f t="shared" ref="IA5:ID5" si="75">+IA6+IA24+IA39+IA53+IA64</f>
        <v>133426826</v>
      </c>
      <c r="IB5" s="186">
        <f t="shared" si="75"/>
        <v>22715824</v>
      </c>
      <c r="IC5" s="186">
        <f t="shared" si="75"/>
        <v>22996034</v>
      </c>
      <c r="ID5" s="186">
        <f t="shared" si="75"/>
        <v>22851328</v>
      </c>
      <c r="IE5" s="534">
        <f>+IE6+IE24+IE39+IE53+IE64</f>
        <v>197114684</v>
      </c>
      <c r="IF5" s="388">
        <f t="shared" ref="IF5:II5" si="76">+IF6+IF24+IF39+IF53+IF64</f>
        <v>0</v>
      </c>
      <c r="IG5" s="388">
        <f t="shared" si="76"/>
        <v>0</v>
      </c>
      <c r="IH5" s="388">
        <f t="shared" si="76"/>
        <v>0</v>
      </c>
      <c r="II5" s="388">
        <f t="shared" si="76"/>
        <v>0</v>
      </c>
      <c r="IJ5" s="334">
        <f>+IJ6+IJ24+IJ39+IJ53+IJ64</f>
        <v>199280027</v>
      </c>
      <c r="IK5" s="186">
        <f t="shared" ref="IK5:IN5" si="77">+IK6+IK24+IK39+IK53+IK64</f>
        <v>134556337</v>
      </c>
      <c r="IL5" s="186">
        <f t="shared" si="77"/>
        <v>23788906</v>
      </c>
      <c r="IM5" s="186">
        <f t="shared" si="77"/>
        <v>24623646</v>
      </c>
      <c r="IN5" s="186">
        <f t="shared" si="77"/>
        <v>24086459</v>
      </c>
      <c r="IO5" s="334">
        <f>+IO6+IO24+IO39+IO53+IO64</f>
        <v>203920983</v>
      </c>
      <c r="IP5" s="186">
        <f t="shared" ref="IP5:IS5" si="78">+IP6+IP24+IP39+IP53+IP64</f>
        <v>133502159</v>
      </c>
      <c r="IQ5" s="186">
        <f t="shared" si="78"/>
        <v>23185656</v>
      </c>
      <c r="IR5" s="186">
        <f t="shared" si="78"/>
        <v>26494859</v>
      </c>
      <c r="IS5" s="186">
        <f t="shared" si="78"/>
        <v>42607989</v>
      </c>
      <c r="IT5" s="186">
        <f t="shared" ref="IT5:IX5" si="79">+IT6+IT24+IT39+IT53+IT64</f>
        <v>12070192</v>
      </c>
      <c r="IU5" s="186">
        <f t="shared" si="79"/>
        <v>272162</v>
      </c>
      <c r="IV5" s="186">
        <f t="shared" si="79"/>
        <v>1508473</v>
      </c>
      <c r="IW5" s="186">
        <f t="shared" si="79"/>
        <v>19010193</v>
      </c>
      <c r="IX5" s="186">
        <f t="shared" si="79"/>
        <v>9746969</v>
      </c>
      <c r="IY5" s="401">
        <v>20794975</v>
      </c>
      <c r="IZ5" s="502">
        <v>17743111</v>
      </c>
      <c r="JA5" s="502">
        <v>1763300</v>
      </c>
      <c r="JB5" s="502">
        <v>806118</v>
      </c>
      <c r="JC5" s="628">
        <v>460650</v>
      </c>
      <c r="JD5" s="388">
        <f>+JD6+JD24+JD39+JD53+JD64</f>
        <v>39571702</v>
      </c>
      <c r="JE5" s="388">
        <f t="shared" ref="JE5" si="80">+JE6+JE24+JE39+JE53+JE64</f>
        <v>33524828</v>
      </c>
      <c r="JF5" s="388">
        <f t="shared" ref="JF5" si="81">+JF6+JF24+JF39+JF53+JF64</f>
        <v>3987410</v>
      </c>
      <c r="JG5" s="388">
        <f t="shared" ref="JG5" si="82">+JG6+JG24+JG39+JG53+JG64</f>
        <v>2145181</v>
      </c>
      <c r="JH5" s="389">
        <f t="shared" ref="JH5" si="83">+JH6+JH24+JH39+JH53+JH64</f>
        <v>2059464</v>
      </c>
      <c r="JI5" s="388">
        <f>+JI6+JI24+JI39+JI53+JI64</f>
        <v>49864428</v>
      </c>
      <c r="JJ5" s="388">
        <f t="shared" ref="JJ5" si="84">+JJ6+JJ24+JJ39+JJ53+JJ64</f>
        <v>40079327</v>
      </c>
      <c r="JK5" s="388">
        <f t="shared" ref="JK5" si="85">+JK6+JK24+JK39+JK53+JK64</f>
        <v>5581877</v>
      </c>
      <c r="JL5" s="388">
        <f t="shared" ref="JL5" si="86">+JL6+JL24+JL39+JL53+JL64</f>
        <v>3579767</v>
      </c>
      <c r="JM5" s="389">
        <f t="shared" ref="JM5:JW5" si="87">+JM6+JM24+JM39+JM53+JM64</f>
        <v>4101654</v>
      </c>
      <c r="JN5" s="388">
        <f t="shared" ref="JN5:JR5" si="88">+JN6+JN24+JN39+JN53+JN64</f>
        <v>52775736</v>
      </c>
      <c r="JO5" s="388">
        <f t="shared" si="88"/>
        <v>39025098</v>
      </c>
      <c r="JP5" s="388">
        <f t="shared" si="88"/>
        <v>6246004</v>
      </c>
      <c r="JQ5" s="388">
        <f t="shared" si="88"/>
        <v>4751976</v>
      </c>
      <c r="JR5" s="388">
        <f t="shared" si="88"/>
        <v>4886975</v>
      </c>
      <c r="JS5" s="388">
        <f t="shared" si="87"/>
        <v>58313760</v>
      </c>
      <c r="JT5" s="388">
        <f t="shared" si="87"/>
        <v>45623498</v>
      </c>
      <c r="JU5" s="388">
        <f t="shared" si="87"/>
        <v>7441762</v>
      </c>
      <c r="JV5" s="388">
        <f t="shared" si="87"/>
        <v>5925587</v>
      </c>
      <c r="JW5" s="389">
        <f t="shared" si="87"/>
        <v>5248500</v>
      </c>
      <c r="JX5" s="388">
        <f t="shared" ref="JX5:KB5" si="89">+JX6+JX24+JX39+JX53+JX64</f>
        <v>59135974.840999998</v>
      </c>
      <c r="JY5" s="388">
        <f t="shared" si="89"/>
        <v>46145601.186000004</v>
      </c>
      <c r="JZ5" s="388">
        <f t="shared" si="89"/>
        <v>7611490.4570000004</v>
      </c>
      <c r="KA5" s="388">
        <f t="shared" si="89"/>
        <v>6194049.0950000007</v>
      </c>
      <c r="KB5" s="389">
        <f t="shared" si="89"/>
        <v>5378883.1979999989</v>
      </c>
      <c r="KC5" s="389">
        <f t="shared" ref="KC5:KD5" si="90">+KC6+KC24+KC39+KC53+KC64</f>
        <v>59995776</v>
      </c>
      <c r="KD5" s="389">
        <f t="shared" si="90"/>
        <v>42285190</v>
      </c>
      <c r="KE5" s="389">
        <f t="shared" ref="KE5:KF5" si="91">+KE6+KE24+KE39+KE53+KE64</f>
        <v>7812520</v>
      </c>
      <c r="KF5" s="389">
        <f t="shared" si="91"/>
        <v>6488159</v>
      </c>
      <c r="KG5" s="389">
        <f t="shared" ref="KG5:KH5" si="92">+KG6+KG24+KG39+KG53+KG64</f>
        <v>5515594</v>
      </c>
      <c r="KH5" s="389">
        <f t="shared" si="92"/>
        <v>60817386</v>
      </c>
      <c r="KI5" s="389">
        <f t="shared" ref="KI5:KJ5" si="93">+KI6+KI24+KI39+KI53+KI64</f>
        <v>42552250</v>
      </c>
      <c r="KJ5" s="389">
        <f t="shared" si="93"/>
        <v>7999771</v>
      </c>
      <c r="KK5" s="389">
        <f t="shared" ref="KK5:KV5" si="94">+KK6+KK24+KK39+KK53+KK64</f>
        <v>6753349</v>
      </c>
      <c r="KL5" s="389">
        <f t="shared" si="94"/>
        <v>5679312</v>
      </c>
      <c r="KM5" s="389">
        <f t="shared" ref="KM5:KQ5" si="95">+KM6+KM24+KM39+KM53+KM64</f>
        <v>62229012</v>
      </c>
      <c r="KN5" s="389">
        <f t="shared" si="95"/>
        <v>42877747</v>
      </c>
      <c r="KO5" s="389">
        <f t="shared" si="95"/>
        <v>8313791</v>
      </c>
      <c r="KP5" s="389">
        <f t="shared" si="95"/>
        <v>7298927</v>
      </c>
      <c r="KQ5" s="388">
        <f t="shared" si="95"/>
        <v>6052762</v>
      </c>
      <c r="KR5" s="389">
        <f t="shared" si="94"/>
        <v>62716503</v>
      </c>
      <c r="KS5" s="389">
        <f t="shared" si="94"/>
        <v>42985877</v>
      </c>
      <c r="KT5" s="389">
        <f t="shared" si="94"/>
        <v>8433216</v>
      </c>
      <c r="KU5" s="389">
        <f t="shared" si="94"/>
        <v>7474682</v>
      </c>
      <c r="KV5" s="388">
        <f t="shared" si="94"/>
        <v>6168607</v>
      </c>
      <c r="KW5" s="534">
        <f t="shared" ref="KW5:LA5" si="96">+KW6+KW24+KW39+KW53+KW64</f>
        <v>63355189</v>
      </c>
      <c r="KX5" s="388">
        <f t="shared" si="96"/>
        <v>43107302</v>
      </c>
      <c r="KY5" s="388">
        <f t="shared" si="96"/>
        <v>8580459</v>
      </c>
      <c r="KZ5" s="388">
        <f t="shared" si="96"/>
        <v>7750580</v>
      </c>
      <c r="LA5" s="388">
        <f t="shared" si="96"/>
        <v>6451108</v>
      </c>
      <c r="LB5" s="648">
        <f t="shared" ref="LB5:LF5" si="97">+LB6+LB24+LB39+LB53+LB64</f>
        <v>63870412</v>
      </c>
      <c r="LC5" s="661">
        <f t="shared" si="97"/>
        <v>42944808</v>
      </c>
      <c r="LD5" s="661">
        <f t="shared" si="97"/>
        <v>8681055</v>
      </c>
      <c r="LE5" s="661">
        <f t="shared" si="97"/>
        <v>8223621</v>
      </c>
      <c r="LF5" s="661">
        <f t="shared" si="97"/>
        <v>6661794</v>
      </c>
      <c r="LG5" s="662">
        <f t="shared" ref="LG5:LK5" si="98">+LG6+LG24+LG39+LG53+LG64</f>
        <v>64402330</v>
      </c>
      <c r="LH5" s="661">
        <f t="shared" si="98"/>
        <v>0</v>
      </c>
      <c r="LI5" s="186">
        <f t="shared" si="98"/>
        <v>0</v>
      </c>
      <c r="LJ5" s="186">
        <f t="shared" si="98"/>
        <v>0</v>
      </c>
      <c r="LK5" s="186">
        <f t="shared" si="98"/>
        <v>0</v>
      </c>
      <c r="LL5" s="662">
        <f t="shared" ref="LL5:LP5" si="99">+LL6+LL24+LL39+LL53+LL64</f>
        <v>64296023</v>
      </c>
      <c r="LM5" s="661">
        <f t="shared" si="99"/>
        <v>42695035</v>
      </c>
      <c r="LN5" s="186">
        <f t="shared" si="99"/>
        <v>8898430</v>
      </c>
      <c r="LO5" s="186">
        <f t="shared" si="99"/>
        <v>8605585</v>
      </c>
      <c r="LP5" s="186">
        <f t="shared" si="99"/>
        <v>6862790</v>
      </c>
      <c r="LQ5" s="662">
        <f t="shared" ref="LQ5:LU5" si="100">+LQ6+LQ24+LQ39+LQ53+LQ64</f>
        <v>64021176</v>
      </c>
      <c r="LR5" s="661">
        <f t="shared" si="100"/>
        <v>41137221</v>
      </c>
      <c r="LS5" s="186">
        <f t="shared" si="100"/>
        <v>8443633</v>
      </c>
      <c r="LT5" s="186">
        <f t="shared" si="100"/>
        <v>8995392</v>
      </c>
      <c r="LU5" s="186">
        <f t="shared" si="100"/>
        <v>12792797</v>
      </c>
      <c r="LV5" s="186">
        <f t="shared" ref="LV5:LZ5" si="101">+LV6+LV24+LV39+LV53+LV64</f>
        <v>2371842</v>
      </c>
      <c r="LW5" s="186">
        <f t="shared" si="101"/>
        <v>106777</v>
      </c>
      <c r="LX5" s="186">
        <f t="shared" si="101"/>
        <v>602390</v>
      </c>
      <c r="LY5" s="186">
        <f t="shared" si="101"/>
        <v>6475445</v>
      </c>
      <c r="LZ5" s="186">
        <f t="shared" si="101"/>
        <v>3236343</v>
      </c>
      <c r="MA5" s="334">
        <f>+MA6+MA24+MA39+MA53+MA64</f>
        <v>9791925</v>
      </c>
      <c r="MB5" s="186">
        <f t="shared" ref="MB5" si="102">+MB6+MB24+MB39+MB53+MB64</f>
        <v>8303582</v>
      </c>
      <c r="MC5" s="186">
        <f t="shared" ref="MC5" si="103">+MC6+MC24+MC39+MC53+MC64</f>
        <v>886118</v>
      </c>
      <c r="MD5" s="186">
        <f t="shared" ref="MD5" si="104">+MD6+MD24+MD39+MD53+MD64</f>
        <v>542709</v>
      </c>
      <c r="ME5" s="187">
        <f t="shared" ref="ME5" si="105">+ME6+ME24+ME39+ME53+ME64</f>
        <v>602225</v>
      </c>
      <c r="MF5" s="186">
        <f>+MF6+MF24+MF39+MF53+MF64</f>
        <v>11512833</v>
      </c>
      <c r="MG5" s="186">
        <f t="shared" ref="MG5" si="106">+MG6+MG24+MG39+MG53+MG64</f>
        <v>9315598</v>
      </c>
      <c r="MH5" s="186">
        <f t="shared" ref="MH5" si="107">+MH6+MH24+MH39+MH53+MH64</f>
        <v>1139850</v>
      </c>
      <c r="MI5" s="186">
        <f t="shared" ref="MI5" si="108">+MI6+MI24+MI39+MI53+MI64</f>
        <v>773800</v>
      </c>
      <c r="MJ5" s="187">
        <f t="shared" ref="MJ5" si="109">+MJ6+MJ24+MJ39+MJ53+MJ64</f>
        <v>1037012</v>
      </c>
      <c r="MK5" s="186">
        <f>+MK6+MK24+MK39+MK53+MK64</f>
        <v>14392617</v>
      </c>
      <c r="ML5" s="186">
        <f t="shared" ref="ML5:MO5" si="110">+ML6+ML24+ML39+ML53+ML64</f>
        <v>10678149</v>
      </c>
      <c r="MM5" s="186">
        <f t="shared" si="110"/>
        <v>1577078</v>
      </c>
      <c r="MN5" s="186">
        <f t="shared" si="110"/>
        <v>1245541</v>
      </c>
      <c r="MO5" s="186">
        <f t="shared" si="110"/>
        <v>1437250</v>
      </c>
      <c r="MP5" s="186">
        <f>+MP6+MP24+MP39+MP53+MP64</f>
        <v>15274031</v>
      </c>
      <c r="MQ5" s="186">
        <f t="shared" ref="MQ5:MT5" si="111">+MQ6+MQ24+MQ39+MQ53+MQ64</f>
        <v>12126207</v>
      </c>
      <c r="MR5" s="186">
        <f t="shared" si="111"/>
        <v>1718562</v>
      </c>
      <c r="MS5" s="186">
        <f t="shared" si="111"/>
        <v>1432023</v>
      </c>
      <c r="MT5" s="186">
        <f t="shared" si="111"/>
        <v>1429262</v>
      </c>
      <c r="MU5" s="186">
        <f>+MU6+MU24+MU39+MU53+MU64</f>
        <v>0</v>
      </c>
      <c r="MV5" s="186">
        <f t="shared" ref="MV5:OX5" si="112">+MV6+MV24+MV39+MV53+MV64</f>
        <v>0</v>
      </c>
      <c r="MW5" s="186">
        <f t="shared" si="112"/>
        <v>0</v>
      </c>
      <c r="MX5" s="186">
        <f t="shared" si="112"/>
        <v>0</v>
      </c>
      <c r="MY5" s="187">
        <f t="shared" si="112"/>
        <v>0</v>
      </c>
      <c r="MZ5" s="187">
        <f t="shared" ref="MZ5:ND5" si="113">+MZ6+MZ24+MZ39+MZ53+MZ64</f>
        <v>16069996</v>
      </c>
      <c r="NA5" s="187">
        <f t="shared" si="113"/>
        <v>11650580</v>
      </c>
      <c r="NB5" s="187">
        <f t="shared" si="113"/>
        <v>1806418</v>
      </c>
      <c r="NC5" s="187">
        <f t="shared" si="113"/>
        <v>1576537</v>
      </c>
      <c r="ND5" s="187">
        <f t="shared" si="113"/>
        <v>1520758</v>
      </c>
      <c r="NE5" s="187">
        <f t="shared" ref="NE5:NF5" si="114">+NE6+NE24+NE39+NE53+NE64</f>
        <v>16557369</v>
      </c>
      <c r="NF5" s="187">
        <f t="shared" si="114"/>
        <v>11941569</v>
      </c>
      <c r="NG5" s="187">
        <f t="shared" ref="NG5:NH5" si="115">+NG6+NG24+NG39+NG53+NG64</f>
        <v>1871216</v>
      </c>
      <c r="NH5" s="187">
        <f t="shared" si="115"/>
        <v>1655549</v>
      </c>
      <c r="NI5" s="187">
        <f t="shared" ref="NI5:NS5" si="116">+NI6+NI24+NI39+NI53+NI64</f>
        <v>1593339</v>
      </c>
      <c r="NJ5" s="187">
        <f t="shared" ref="NJ5:NN5" si="117">+NJ6+NJ24+NJ39+NJ53+NJ64</f>
        <v>13274162</v>
      </c>
      <c r="NK5" s="187">
        <f t="shared" si="117"/>
        <v>9774187</v>
      </c>
      <c r="NL5" s="187">
        <f t="shared" si="117"/>
        <v>1793533</v>
      </c>
      <c r="NM5" s="187">
        <f t="shared" si="117"/>
        <v>1131790</v>
      </c>
      <c r="NN5" s="187">
        <f t="shared" si="117"/>
        <v>5696800</v>
      </c>
      <c r="NO5" s="187">
        <f t="shared" si="116"/>
        <v>17806750</v>
      </c>
      <c r="NP5" s="187">
        <f t="shared" si="116"/>
        <v>12590400</v>
      </c>
      <c r="NQ5" s="187">
        <f t="shared" si="116"/>
        <v>2100206</v>
      </c>
      <c r="NR5" s="187">
        <f t="shared" si="116"/>
        <v>1899028</v>
      </c>
      <c r="NS5" s="187">
        <f t="shared" si="116"/>
        <v>1789084</v>
      </c>
      <c r="NT5" s="186">
        <f t="shared" ref="NT5:NX5" si="118">+NT6+NT24+NT39+NT53+NT64</f>
        <v>18259841</v>
      </c>
      <c r="NU5" s="186">
        <f t="shared" si="118"/>
        <v>12797821</v>
      </c>
      <c r="NV5" s="186">
        <f t="shared" si="118"/>
        <v>2173137</v>
      </c>
      <c r="NW5" s="186">
        <f t="shared" si="118"/>
        <v>2041816</v>
      </c>
      <c r="NX5" s="186">
        <f t="shared" si="118"/>
        <v>1881308</v>
      </c>
      <c r="NY5" s="334">
        <f t="shared" ref="NY5:OC5" si="119">+NY6+NY24+NY39+NY53+NY64</f>
        <v>18760759</v>
      </c>
      <c r="NZ5" s="186">
        <f t="shared" si="119"/>
        <v>12999045</v>
      </c>
      <c r="OA5" s="186">
        <f t="shared" si="119"/>
        <v>2252002</v>
      </c>
      <c r="OB5" s="186">
        <f t="shared" si="119"/>
        <v>2195633</v>
      </c>
      <c r="OC5" s="186">
        <f t="shared" si="119"/>
        <v>1986895</v>
      </c>
      <c r="OD5" s="334">
        <f t="shared" ref="OD5:OM5" si="120">+OD6+OD24+OD39+OD53+OD64</f>
        <v>19177676</v>
      </c>
      <c r="OE5" s="186">
        <f t="shared" si="120"/>
        <v>0</v>
      </c>
      <c r="OF5" s="186">
        <f t="shared" si="120"/>
        <v>0</v>
      </c>
      <c r="OG5" s="186">
        <f t="shared" si="120"/>
        <v>0</v>
      </c>
      <c r="OH5" s="186">
        <f t="shared" si="120"/>
        <v>0</v>
      </c>
      <c r="OI5" s="334">
        <f t="shared" si="120"/>
        <v>19381937</v>
      </c>
      <c r="OJ5" s="186">
        <f t="shared" si="120"/>
        <v>13255883</v>
      </c>
      <c r="OK5" s="186">
        <f t="shared" si="120"/>
        <v>2383344</v>
      </c>
      <c r="OL5" s="186">
        <f t="shared" si="120"/>
        <v>2380265</v>
      </c>
      <c r="OM5" s="186">
        <f t="shared" si="120"/>
        <v>2099467</v>
      </c>
      <c r="ON5" s="334">
        <f t="shared" ref="ON5:OR5" si="121">+ON6+ON24+ON39+ON53+ON64</f>
        <v>19972235</v>
      </c>
      <c r="OO5" s="186">
        <f t="shared" si="121"/>
        <v>13217834</v>
      </c>
      <c r="OP5" s="186">
        <f t="shared" si="121"/>
        <v>2344210</v>
      </c>
      <c r="OQ5" s="186">
        <f t="shared" si="121"/>
        <v>2601116</v>
      </c>
      <c r="OR5" s="186">
        <f t="shared" si="121"/>
        <v>910348</v>
      </c>
      <c r="OS5" s="186">
        <f t="shared" ref="OS5:OW5" si="122">+OS6+OS24+OS39+OS53+OS64</f>
        <v>888801</v>
      </c>
      <c r="OT5" s="186">
        <f t="shared" si="122"/>
        <v>29515</v>
      </c>
      <c r="OU5" s="186">
        <f t="shared" si="122"/>
        <v>156765</v>
      </c>
      <c r="OV5" s="186">
        <f t="shared" si="122"/>
        <v>1940664</v>
      </c>
      <c r="OW5" s="186">
        <f t="shared" si="122"/>
        <v>913062</v>
      </c>
      <c r="OX5" s="334">
        <f t="shared" si="112"/>
        <v>38359850</v>
      </c>
      <c r="OY5" s="186">
        <f t="shared" ref="OY5:PG5" si="123">+OY6+OY24+OY39+OY53+OY64</f>
        <v>26694477</v>
      </c>
      <c r="OZ5" s="186">
        <f t="shared" si="123"/>
        <v>2460002</v>
      </c>
      <c r="PA5" s="186">
        <f t="shared" si="123"/>
        <v>7582196</v>
      </c>
      <c r="PB5" s="186">
        <f t="shared" si="123"/>
        <v>4100068</v>
      </c>
      <c r="PC5" s="334">
        <f t="shared" si="123"/>
        <v>55975438</v>
      </c>
      <c r="PD5" s="186">
        <f t="shared" si="123"/>
        <v>46607161</v>
      </c>
      <c r="PE5" s="186">
        <f t="shared" si="123"/>
        <v>3958714</v>
      </c>
      <c r="PF5" s="186">
        <f t="shared" si="123"/>
        <v>2660996</v>
      </c>
      <c r="PG5" s="186">
        <f t="shared" si="123"/>
        <v>5327165</v>
      </c>
      <c r="PH5" s="186">
        <f>+PH6+PH24+PH39+PH53+PH64</f>
        <v>61474625</v>
      </c>
      <c r="PI5" s="186">
        <f t="shared" ref="PI5:PL5" si="124">+PI6+PI24+PI39+PI53+PI64</f>
        <v>49573243</v>
      </c>
      <c r="PJ5" s="186">
        <f t="shared" si="124"/>
        <v>4955109</v>
      </c>
      <c r="PK5" s="186">
        <f t="shared" si="124"/>
        <v>4301201</v>
      </c>
      <c r="PL5" s="187">
        <f t="shared" si="124"/>
        <v>6946273</v>
      </c>
      <c r="PM5" s="186">
        <f>+PM6+PM24+PM39+PM53+PM64</f>
        <v>67252614</v>
      </c>
      <c r="PN5" s="186">
        <f t="shared" ref="PN5:PQ5" si="125">+PN6+PN24+PN39+PN53+PN64</f>
        <v>51935086</v>
      </c>
      <c r="PO5" s="186">
        <f t="shared" si="125"/>
        <v>5250710</v>
      </c>
      <c r="PP5" s="186">
        <f t="shared" si="125"/>
        <v>4187919</v>
      </c>
      <c r="PQ5" s="186">
        <f t="shared" si="125"/>
        <v>7522025</v>
      </c>
      <c r="PR5" s="388">
        <f>+PR6+PR24+PR39+PR53+PR64</f>
        <v>0</v>
      </c>
      <c r="PS5" s="388">
        <f t="shared" ref="PS5:PV5" si="126">+PS6+PS24+PS39+PS53+PS64</f>
        <v>0</v>
      </c>
      <c r="PT5" s="388">
        <f t="shared" si="126"/>
        <v>0</v>
      </c>
      <c r="PU5" s="388">
        <f t="shared" si="126"/>
        <v>0</v>
      </c>
      <c r="PV5" s="389">
        <f t="shared" si="126"/>
        <v>0</v>
      </c>
      <c r="PW5" s="389">
        <f t="shared" ref="PW5:QA5" si="127">+PW6+PW24+PW39+PW53+PW64</f>
        <v>75233878</v>
      </c>
      <c r="PX5" s="389">
        <f t="shared" si="127"/>
        <v>56503872</v>
      </c>
      <c r="PY5" s="389">
        <f t="shared" si="127"/>
        <v>6194935</v>
      </c>
      <c r="PZ5" s="389">
        <f t="shared" si="127"/>
        <v>5341217</v>
      </c>
      <c r="QA5" s="389">
        <f t="shared" si="127"/>
        <v>8677368</v>
      </c>
      <c r="QB5" s="389">
        <f t="shared" ref="QB5:QC5" si="128">+QB6+QB24+QB39+QB53+QB64</f>
        <v>77342477</v>
      </c>
      <c r="QC5" s="389">
        <f t="shared" si="128"/>
        <v>57745369</v>
      </c>
      <c r="QD5" s="389">
        <f t="shared" ref="QD5:QE5" si="129">+QD6+QD24+QD39+QD53+QD64</f>
        <v>6441567</v>
      </c>
      <c r="QE5" s="389">
        <f t="shared" si="129"/>
        <v>5621250</v>
      </c>
      <c r="QF5" s="388">
        <f t="shared" ref="QF5:QP5" si="130">+QF6+QF24+QF39+QF53+QF64</f>
        <v>9083245</v>
      </c>
      <c r="QG5" s="531">
        <f t="shared" ref="QG5:QK5" si="131">+QG6+QG24+QG39+QG53+QG64</f>
        <v>81684557</v>
      </c>
      <c r="QH5" s="389">
        <f t="shared" si="131"/>
        <v>60162283</v>
      </c>
      <c r="QI5" s="389">
        <f t="shared" si="131"/>
        <v>6967775</v>
      </c>
      <c r="QJ5" s="389">
        <f t="shared" si="131"/>
        <v>6264593</v>
      </c>
      <c r="QK5" s="388">
        <f t="shared" si="131"/>
        <v>10004645</v>
      </c>
      <c r="QL5" s="531">
        <f t="shared" si="130"/>
        <v>84048303</v>
      </c>
      <c r="QM5" s="389">
        <f t="shared" si="130"/>
        <v>61413842</v>
      </c>
      <c r="QN5" s="389">
        <f t="shared" si="130"/>
        <v>7272463</v>
      </c>
      <c r="QO5" s="389">
        <f t="shared" si="130"/>
        <v>6576392</v>
      </c>
      <c r="QP5" s="388">
        <f t="shared" si="130"/>
        <v>10376329</v>
      </c>
      <c r="QQ5" s="534">
        <f t="shared" ref="QQ5:QZ5" si="132">+QQ6+QQ24+QQ39+QQ53+QQ64</f>
        <v>86594118</v>
      </c>
      <c r="QR5" s="388">
        <f t="shared" si="132"/>
        <v>62882160</v>
      </c>
      <c r="QS5" s="388">
        <f t="shared" si="132"/>
        <v>7582647</v>
      </c>
      <c r="QT5" s="388">
        <f t="shared" si="132"/>
        <v>7003567</v>
      </c>
      <c r="QU5" s="388">
        <f t="shared" si="132"/>
        <v>10853820</v>
      </c>
      <c r="QV5" s="334">
        <f t="shared" si="132"/>
        <v>89526674</v>
      </c>
      <c r="QW5" s="186">
        <f t="shared" si="132"/>
        <v>64396222</v>
      </c>
      <c r="QX5" s="186">
        <f t="shared" si="132"/>
        <v>7904470</v>
      </c>
      <c r="QY5" s="186">
        <f t="shared" si="132"/>
        <v>7556224</v>
      </c>
      <c r="QZ5" s="186">
        <f t="shared" si="132"/>
        <v>11767349</v>
      </c>
      <c r="RA5" s="334">
        <f t="shared" ref="RA5:RJ5" si="133">+RA6+RA24+RA39+RA53+RA64</f>
        <v>91928137</v>
      </c>
      <c r="RB5" s="186">
        <f t="shared" si="133"/>
        <v>0</v>
      </c>
      <c r="RC5" s="186">
        <f t="shared" si="133"/>
        <v>0</v>
      </c>
      <c r="RD5" s="186">
        <f t="shared" si="133"/>
        <v>0</v>
      </c>
      <c r="RE5" s="186">
        <f t="shared" si="133"/>
        <v>0</v>
      </c>
      <c r="RF5" s="334">
        <f t="shared" si="133"/>
        <v>93883588</v>
      </c>
      <c r="RG5" s="186">
        <f t="shared" si="133"/>
        <v>66417800</v>
      </c>
      <c r="RH5" s="186">
        <f t="shared" si="133"/>
        <v>8543869</v>
      </c>
      <c r="RI5" s="186">
        <f t="shared" si="133"/>
        <v>8544363</v>
      </c>
      <c r="RJ5" s="186">
        <f t="shared" si="133"/>
        <v>12782293</v>
      </c>
      <c r="RK5" s="334">
        <f t="shared" ref="RK5:RO5" si="134">+RK6+RK24+RK39+RK53+RK64</f>
        <v>99875698</v>
      </c>
      <c r="RL5" s="186">
        <f t="shared" si="134"/>
        <v>68405635</v>
      </c>
      <c r="RM5" s="186">
        <f t="shared" si="134"/>
        <v>8896439</v>
      </c>
      <c r="RN5" s="186">
        <f t="shared" si="134"/>
        <v>9816182</v>
      </c>
      <c r="RO5" s="186">
        <f t="shared" si="134"/>
        <v>20692214</v>
      </c>
      <c r="RP5" s="186">
        <f t="shared" ref="RP5:RT5" si="135">+RP6+RP24+RP39+RP53+RP64</f>
        <v>8645961</v>
      </c>
      <c r="RQ5" s="186">
        <f t="shared" si="135"/>
        <v>81304</v>
      </c>
      <c r="RR5" s="186">
        <f t="shared" si="135"/>
        <v>468766</v>
      </c>
      <c r="RS5" s="186">
        <f t="shared" si="135"/>
        <v>8321954</v>
      </c>
      <c r="RT5" s="186">
        <f t="shared" si="135"/>
        <v>3174229</v>
      </c>
      <c r="RU5" s="186">
        <f>+RU6+RU24+RU39+RU53+RU64</f>
        <v>20832567</v>
      </c>
      <c r="RV5" s="186">
        <f t="shared" ref="RV5" si="136">+RV6+RV24+RV39+RV53+RV64</f>
        <v>18337917</v>
      </c>
      <c r="RW5" s="186">
        <f t="shared" ref="RW5" si="137">+RW6+RW24+RW39+RW53+RW64</f>
        <v>1261090</v>
      </c>
      <c r="RX5" s="186">
        <f t="shared" ref="RX5" si="138">+RX6+RX24+RX39+RX53+RX64</f>
        <v>658197</v>
      </c>
      <c r="RY5" s="187">
        <f t="shared" ref="RY5" si="139">+RY6+RY24+RY39+RY53+RY64</f>
        <v>1233560</v>
      </c>
      <c r="RZ5" s="186">
        <f>+RZ6+RZ24+RZ39+RZ53+RZ64</f>
        <v>28317792</v>
      </c>
      <c r="SA5" s="186">
        <f t="shared" ref="SA5" si="140">+SA6+SA24+SA39+SA53+SA64</f>
        <v>23734685</v>
      </c>
      <c r="SB5" s="186">
        <f t="shared" ref="SB5" si="141">+SB6+SB24+SB39+SB53+SB64</f>
        <v>1869240</v>
      </c>
      <c r="SC5" s="186">
        <f t="shared" ref="SC5" si="142">+SC6+SC24+SC39+SC53+SC64</f>
        <v>1202931</v>
      </c>
      <c r="SD5" s="186">
        <f t="shared" ref="SD5" si="143">+SD6+SD24+SD39+SD53+SD64</f>
        <v>2673172</v>
      </c>
      <c r="SE5" s="334">
        <f>+SE6+SE24+SE39+SE53+SE64</f>
        <v>11365675</v>
      </c>
      <c r="SF5" s="186">
        <f t="shared" ref="SF5:SI5" si="144">+SF6+SF24+SF39+SF53+SF64</f>
        <v>8590131</v>
      </c>
      <c r="SG5" s="186">
        <f t="shared" si="144"/>
        <v>1317220</v>
      </c>
      <c r="SH5" s="186">
        <f t="shared" si="144"/>
        <v>819575</v>
      </c>
      <c r="SI5" s="186">
        <f t="shared" si="144"/>
        <v>863176</v>
      </c>
      <c r="SJ5" s="186">
        <f>+SJ6+SJ24+SJ39+SJ53+SJ64</f>
        <v>35654477</v>
      </c>
      <c r="SK5" s="186">
        <f t="shared" ref="SK5:SN5" si="145">+SK6+SK24+SK39+SK53+SK64</f>
        <v>28811962</v>
      </c>
      <c r="SL5" s="186">
        <f t="shared" si="145"/>
        <v>2689108</v>
      </c>
      <c r="SM5" s="186">
        <f t="shared" si="145"/>
        <v>2358158</v>
      </c>
      <c r="SN5" s="186">
        <f t="shared" si="145"/>
        <v>4153407</v>
      </c>
      <c r="SO5" s="186">
        <f>+SO6+SO24+SO39+SO53+SO64</f>
        <v>36287839.023999996</v>
      </c>
      <c r="SP5" s="186">
        <f t="shared" ref="SP5:SX5" si="146">+SP6+SP24+SP39+SP53+SP64</f>
        <v>29266831.604000002</v>
      </c>
      <c r="SQ5" s="186">
        <f t="shared" si="146"/>
        <v>2748776.4449999998</v>
      </c>
      <c r="SR5" s="186">
        <f t="shared" si="146"/>
        <v>2444532.5970000005</v>
      </c>
      <c r="SS5" s="186">
        <f t="shared" si="146"/>
        <v>4272230.9750000006</v>
      </c>
      <c r="ST5" s="531">
        <f t="shared" si="146"/>
        <v>37090877</v>
      </c>
      <c r="SU5" s="389">
        <f t="shared" si="146"/>
        <v>28023748</v>
      </c>
      <c r="SV5" s="389">
        <f t="shared" si="146"/>
        <v>2830700</v>
      </c>
      <c r="SW5" s="389">
        <f t="shared" si="146"/>
        <v>2575716</v>
      </c>
      <c r="SX5" s="389">
        <f t="shared" si="146"/>
        <v>4369889</v>
      </c>
      <c r="SY5" s="186">
        <f t="shared" ref="SY5:SZ5" si="147">+SY6+SY24+SY39+SY53+SY64</f>
        <v>37970801</v>
      </c>
      <c r="SZ5" s="186">
        <f t="shared" si="147"/>
        <v>28528394</v>
      </c>
      <c r="TA5" s="186">
        <f t="shared" ref="TA5:TB5" si="148">+TA6+TA24+TA39+TA53+TA64</f>
        <v>2923977</v>
      </c>
      <c r="TB5" s="186">
        <f t="shared" si="148"/>
        <v>2714933</v>
      </c>
      <c r="TC5" s="186">
        <f t="shared" ref="TC5:TM5" si="149">+TC6+TC24+TC39+TC53+TC64</f>
        <v>4547197</v>
      </c>
      <c r="TD5" s="186">
        <f t="shared" ref="TD5:TI5" si="150">+TD6+TD24+TD39+TD53+TD64</f>
        <v>39778380</v>
      </c>
      <c r="TE5" s="186">
        <f t="shared" si="150"/>
        <v>29565556</v>
      </c>
      <c r="TF5" s="186">
        <f t="shared" si="150"/>
        <v>3109794</v>
      </c>
      <c r="TG5" s="186">
        <f t="shared" si="150"/>
        <v>3025296</v>
      </c>
      <c r="TH5" s="186">
        <f t="shared" si="150"/>
        <v>4996516</v>
      </c>
      <c r="TI5" s="186">
        <f t="shared" si="150"/>
        <v>41152388</v>
      </c>
      <c r="TJ5" s="186">
        <f t="shared" si="149"/>
        <v>30240653</v>
      </c>
      <c r="TK5" s="186">
        <f t="shared" si="149"/>
        <v>3265857</v>
      </c>
      <c r="TL5" s="186">
        <f t="shared" si="149"/>
        <v>3222634</v>
      </c>
      <c r="TM5" s="186">
        <f t="shared" si="149"/>
        <v>5297281</v>
      </c>
      <c r="TN5" s="186">
        <f t="shared" ref="TN5:TW5" si="151">+TN6+TN24+TN39+TN53+TN64</f>
        <v>42242395</v>
      </c>
      <c r="TO5" s="186">
        <f t="shared" si="151"/>
        <v>30914492</v>
      </c>
      <c r="TP5" s="186">
        <f t="shared" si="151"/>
        <v>3392749</v>
      </c>
      <c r="TQ5" s="186">
        <f t="shared" si="151"/>
        <v>3385826</v>
      </c>
      <c r="TR5" s="186">
        <f t="shared" si="151"/>
        <v>5485393</v>
      </c>
      <c r="TS5" s="334">
        <f t="shared" si="151"/>
        <v>43585028</v>
      </c>
      <c r="TT5" s="186">
        <f t="shared" si="151"/>
        <v>31581120</v>
      </c>
      <c r="TU5" s="186">
        <f t="shared" si="151"/>
        <v>3529858</v>
      </c>
      <c r="TV5" s="186">
        <f t="shared" si="151"/>
        <v>3683671</v>
      </c>
      <c r="TW5" s="186">
        <f t="shared" si="151"/>
        <v>5817819</v>
      </c>
      <c r="TX5" s="334">
        <f t="shared" ref="TX5:UG5" si="152">+TX6+TX24+TX39+TX53+TX64</f>
        <v>44599186</v>
      </c>
      <c r="TY5" s="186">
        <f t="shared" si="152"/>
        <v>0</v>
      </c>
      <c r="TZ5" s="186">
        <f t="shared" si="152"/>
        <v>0</v>
      </c>
      <c r="UA5" s="186">
        <f t="shared" si="152"/>
        <v>0</v>
      </c>
      <c r="UB5" s="186">
        <f t="shared" si="152"/>
        <v>0</v>
      </c>
      <c r="UC5" s="334">
        <f t="shared" si="152"/>
        <v>45730479</v>
      </c>
      <c r="UD5" s="186">
        <f t="shared" si="152"/>
        <v>32609577</v>
      </c>
      <c r="UE5" s="186">
        <f t="shared" si="152"/>
        <v>3808583</v>
      </c>
      <c r="UF5" s="186">
        <f t="shared" si="152"/>
        <v>4199607</v>
      </c>
      <c r="UG5" s="186">
        <f t="shared" si="152"/>
        <v>6299370</v>
      </c>
      <c r="UH5" s="334">
        <f t="shared" ref="UH5:UL5" si="153">+UH6+UH24+UH39+UH53+UH64</f>
        <v>48482060</v>
      </c>
      <c r="UI5" s="186">
        <f t="shared" si="153"/>
        <v>33523876</v>
      </c>
      <c r="UJ5" s="186">
        <f t="shared" si="153"/>
        <v>3971241</v>
      </c>
      <c r="UK5" s="186">
        <f t="shared" si="153"/>
        <v>4811904</v>
      </c>
      <c r="UL5" s="186">
        <f t="shared" si="153"/>
        <v>10083684</v>
      </c>
      <c r="UM5" s="186">
        <f t="shared" ref="UM5:UQ5" si="154">+UM6+UM24+UM39+UM53+UM64</f>
        <v>4215789</v>
      </c>
      <c r="UN5" s="186">
        <f t="shared" si="154"/>
        <v>38362</v>
      </c>
      <c r="UO5" s="186">
        <f t="shared" si="154"/>
        <v>206232</v>
      </c>
      <c r="UP5" s="186">
        <f t="shared" si="154"/>
        <v>4072462</v>
      </c>
      <c r="UQ5" s="186">
        <f t="shared" si="154"/>
        <v>2264283</v>
      </c>
      <c r="UR5" s="209">
        <f t="shared" ref="UR5:UW5" si="155">+UR6+UR24+UR39+UR53+UR64</f>
        <v>7278920</v>
      </c>
      <c r="US5" s="209">
        <f t="shared" si="155"/>
        <v>4476723</v>
      </c>
      <c r="UT5" s="209">
        <f t="shared" si="155"/>
        <v>2802197</v>
      </c>
      <c r="UU5" s="209">
        <f t="shared" si="155"/>
        <v>347429</v>
      </c>
      <c r="UV5" s="209">
        <f t="shared" si="155"/>
        <v>163310</v>
      </c>
      <c r="UW5" s="209">
        <f t="shared" si="155"/>
        <v>184119</v>
      </c>
      <c r="UX5" s="208">
        <f t="shared" ref="UX5" si="156">+UX6+UX24+UX39+UX53+UX64</f>
        <v>11405835</v>
      </c>
      <c r="UY5" s="209">
        <f t="shared" ref="UY5" si="157">+UY6+UY24+UY39+UY53+UY64</f>
        <v>6833500</v>
      </c>
      <c r="UZ5" s="209">
        <f t="shared" ref="UZ5" si="158">+UZ6+UZ24+UZ39+UZ53+UZ64</f>
        <v>4572335</v>
      </c>
      <c r="VA5" s="209">
        <f t="shared" ref="VA5" si="159">+VA6+VA24+VA39+VA53+VA64</f>
        <v>10721545</v>
      </c>
      <c r="VB5" s="209">
        <f t="shared" ref="VB5" si="160">+VB6+VB24+VB39+VB53+VB64</f>
        <v>6492633</v>
      </c>
      <c r="VC5" s="209">
        <f t="shared" ref="VC5" si="161">+VC6+VC24+VC39+VC53+VC64</f>
        <v>4228912</v>
      </c>
      <c r="VD5" s="209">
        <f t="shared" ref="VD5" si="162">+VD6+VD24+VD39+VD53+VD64</f>
        <v>450964</v>
      </c>
      <c r="VE5" s="209">
        <f t="shared" ref="VE5" si="163">+VE6+VE24+VE39+VE53+VE64</f>
        <v>193257</v>
      </c>
      <c r="VF5" s="209">
        <f t="shared" ref="VF5" si="164">+VF6+VF24+VF39+VF53+VF64</f>
        <v>257707</v>
      </c>
      <c r="VG5" s="209">
        <f t="shared" ref="VG5" si="165">+VG6+VG24+VG39+VG53+VG64</f>
        <v>233326</v>
      </c>
      <c r="VH5" s="209">
        <f t="shared" ref="VH5" si="166">+VH6+VH24+VH39+VH53+VH64</f>
        <v>147610</v>
      </c>
      <c r="VI5" s="209">
        <f t="shared" ref="VI5" si="167">+VI6+VI24+VI39+VI53+VI64</f>
        <v>85716</v>
      </c>
      <c r="VJ5" s="208">
        <f t="shared" ref="VJ5" si="168">+VJ6+VJ24+VJ39+VJ53+VJ64</f>
        <v>21558480</v>
      </c>
      <c r="VK5" s="209">
        <f t="shared" ref="VK5" si="169">+VK6+VK24+VK39+VK53+VK64</f>
        <v>12524713</v>
      </c>
      <c r="VL5" s="209">
        <f t="shared" ref="VL5" si="170">+VL6+VL24+VL39+VL53+VL64</f>
        <v>9033767</v>
      </c>
      <c r="VM5" s="210">
        <f t="shared" ref="VM5" si="171">+VM6+VM24+VM39+VM53+VM64</f>
        <v>19593574</v>
      </c>
      <c r="VN5" s="209">
        <f t="shared" ref="VN5" si="172">+VN6+VN24+VN39+VN53+VN64</f>
        <v>11298163</v>
      </c>
      <c r="VO5" s="209">
        <f t="shared" ref="VO5" si="173">+VO6+VO24+VO39+VO53+VO64</f>
        <v>7894891</v>
      </c>
      <c r="VP5" s="209">
        <f t="shared" ref="VP5" si="174">+VP6+VP24+VP39+VP53+VP64</f>
        <v>1226550</v>
      </c>
      <c r="VQ5" s="209">
        <f t="shared" ref="VQ5" si="175">+VQ6+VQ24+VQ39+VQ53+VQ64</f>
        <v>1138876</v>
      </c>
      <c r="VR5" s="210">
        <f t="shared" ref="VR5" si="176">+VR6+VR24+VR39+VR53+VR64</f>
        <v>1091552</v>
      </c>
      <c r="VS5" s="209">
        <f t="shared" ref="VS5" si="177">+VS6+VS24+VS39+VS53+VS64</f>
        <v>491466</v>
      </c>
      <c r="VT5" s="209">
        <f t="shared" ref="VT5" si="178">+VT6+VT24+VT39+VT53+VT64</f>
        <v>600086</v>
      </c>
      <c r="VU5" s="210">
        <f t="shared" ref="VU5" si="179">+VU6+VU24+VU39+VU53+VU64</f>
        <v>514747</v>
      </c>
      <c r="VV5" s="209">
        <f t="shared" ref="VV5" si="180">+VV6+VV24+VV39+VV53+VV64</f>
        <v>304242</v>
      </c>
      <c r="VW5" s="209">
        <f t="shared" ref="VW5" si="181">+VW6+VW24+VW39+VW53+VW64</f>
        <v>210505</v>
      </c>
      <c r="VX5" s="209">
        <f t="shared" ref="VX5" si="182">+VX6+VX24+VX39+VX53+VX64</f>
        <v>759127</v>
      </c>
      <c r="VY5" s="209">
        <f t="shared" ref="VY5" si="183">+VY6+VY24+VY39+VY53+VY64</f>
        <v>430842</v>
      </c>
      <c r="VZ5" s="209">
        <f t="shared" ref="VZ5" si="184">+VZ6+VZ24+VZ39+VZ53+VZ64</f>
        <v>328285</v>
      </c>
      <c r="WA5" s="209">
        <f t="shared" ref="WA5" si="185">+WA6+WA24+WA39+WA53+WA64</f>
        <v>24263</v>
      </c>
      <c r="WB5" s="209">
        <f t="shared" ref="WB5" si="186">+WB6+WB24+WB39+WB53+WB64</f>
        <v>15778</v>
      </c>
      <c r="WC5" s="209">
        <f t="shared" ref="WC5" si="187">+WC6+WC24+WC39+WC53+WC64</f>
        <v>8485</v>
      </c>
      <c r="WD5" s="209">
        <f t="shared" ref="WD5" si="188">+WD6+WD24+WD39+WD53+WD64</f>
        <v>734864</v>
      </c>
      <c r="WE5" s="209">
        <f t="shared" ref="WE5" si="189">+WE6+WE24+WE39+WE53+WE64</f>
        <v>415064</v>
      </c>
      <c r="WF5" s="209">
        <f t="shared" ref="WF5" si="190">+WF6+WF24+WF39+WF53+WF64</f>
        <v>319800</v>
      </c>
      <c r="WG5" s="190">
        <f t="shared" ref="WG5" si="191">+WG6+WG24+WG39+WG53+WG64</f>
        <v>28567925</v>
      </c>
      <c r="WH5" s="209">
        <f t="shared" ref="WH5" si="192">+WH6+WH24+WH39+WH53+WH64</f>
        <v>17554647</v>
      </c>
      <c r="WI5" s="209">
        <f t="shared" ref="WI5" si="193">+WI6+WI24+WI39+WI53+WI64</f>
        <v>14755606</v>
      </c>
      <c r="WJ5" s="191">
        <f t="shared" ref="WJ5" si="194">+WJ6+WJ24+WJ39+WJ53+WJ64</f>
        <v>18390895</v>
      </c>
      <c r="WK5" s="185">
        <f t="shared" ref="WK5" si="195">+WK6+WK24+WK39+WK53+WK64</f>
        <v>27744576</v>
      </c>
      <c r="WL5" s="209">
        <f t="shared" ref="WL5" si="196">+WL6+WL24+WL39+WL53+WL64</f>
        <v>15292021</v>
      </c>
      <c r="WM5" s="209">
        <f t="shared" ref="WM5" si="197">+WM6+WM24+WM39+WM53+WM64</f>
        <v>12452555</v>
      </c>
      <c r="WN5" s="209">
        <f t="shared" ref="WN5" si="198">+WN6+WN24+WN39+WN53+WN64</f>
        <v>2262626</v>
      </c>
      <c r="WO5" s="209">
        <f t="shared" ref="WO5" si="199">+WO6+WO24+WO39+WO53+WO64</f>
        <v>2303051</v>
      </c>
      <c r="WP5" s="191">
        <f t="shared" ref="WP5" si="200">+WP6+WP24+WP39+WP53+WP64</f>
        <v>1573884</v>
      </c>
      <c r="WQ5" s="185">
        <f t="shared" ref="WQ5" si="201">+WQ6+WQ24+WQ39+WQ53+WQ64</f>
        <v>1873462</v>
      </c>
      <c r="WR5" s="209">
        <f t="shared" ref="WR5" si="202">+WR6+WR24+WR39+WR53+WR64</f>
        <v>806722</v>
      </c>
      <c r="WS5" s="209">
        <f t="shared" ref="WS5" si="203">+WS6+WS24+WS39+WS53+WS64</f>
        <v>1066740</v>
      </c>
      <c r="WT5" s="191">
        <f t="shared" ref="WT5" si="204">+WT6+WT24+WT39+WT53+WT64</f>
        <v>1028759</v>
      </c>
      <c r="WU5" s="209">
        <f t="shared" ref="WU5" si="205">+WU6+WU24+WU39+WU53+WU64</f>
        <v>557874</v>
      </c>
      <c r="WV5" s="209">
        <f t="shared" ref="WV5" si="206">+WV6+WV24+WV39+WV53+WV64</f>
        <v>470885</v>
      </c>
      <c r="WW5" s="192">
        <f t="shared" ref="WW5" si="207">+WW6+WW24+WW39+WW53+WW64</f>
        <v>3497843</v>
      </c>
      <c r="WX5" s="211">
        <f t="shared" ref="WX5" si="208">+WX6+WX24+WX39+WX53+WX64</f>
        <v>898030</v>
      </c>
      <c r="WY5" s="211">
        <f t="shared" ref="WY5" si="209">+WY6+WY24+WY39+WY53+WY64</f>
        <v>765426</v>
      </c>
      <c r="WZ5" s="211">
        <f t="shared" ref="WZ5" si="210">+WZ6+WZ24+WZ39+WZ53+WZ64</f>
        <v>17006</v>
      </c>
      <c r="XA5" s="211">
        <f t="shared" ref="XA5" si="211">+XA6+XA24+XA39+XA53+XA64</f>
        <v>7689</v>
      </c>
      <c r="XB5" s="211">
        <f t="shared" ref="XB5" si="212">+XB6+XB24+XB39+XB53+XB64</f>
        <v>9317</v>
      </c>
      <c r="XC5" s="211">
        <f t="shared" ref="XC5" si="213">+XC6+XC24+XC39+XC53+XC64</f>
        <v>1646450</v>
      </c>
      <c r="XD5" s="211">
        <f t="shared" ref="XD5" si="214">+XD6+XD24+XD39+XD53+XD64</f>
        <v>890341</v>
      </c>
      <c r="XE5" s="211">
        <f t="shared" ref="XE5" si="215">+XE6+XE24+XE39+XE53+XE64</f>
        <v>756109</v>
      </c>
      <c r="XF5" s="209">
        <f t="shared" ref="XF5" si="216">+XF6+XF24+XF39+XF53+XF64</f>
        <v>49086</v>
      </c>
      <c r="XG5" s="209">
        <f t="shared" ref="XG5" si="217">+XG6+XG24+XG39+XG53+XG64</f>
        <v>46160</v>
      </c>
      <c r="XH5" s="209">
        <f t="shared" ref="XH5" si="218">+XH6+XH24+XH39+XH53+XH64</f>
        <v>841255</v>
      </c>
      <c r="XI5" s="209">
        <f t="shared" ref="XI5" si="219">+XI6+XI24+XI39+XI53+XI64</f>
        <v>709949</v>
      </c>
      <c r="XJ5" s="212">
        <f t="shared" ref="XJ5" si="220">+XJ6+XJ24+XJ39+XJ53+XJ64</f>
        <v>44462605</v>
      </c>
      <c r="XK5" s="209">
        <f t="shared" ref="XK5" si="221">+XK6+XK24+XK39+XK53+XK64</f>
        <v>22725125</v>
      </c>
      <c r="XL5" s="209">
        <f t="shared" ref="XL5" si="222">+XL6+XL24+XL39+XL53+XL64</f>
        <v>21737480</v>
      </c>
      <c r="XM5" s="193">
        <f t="shared" ref="XM5" si="223">+XM6+XM24+XM39+XM53+XM64</f>
        <v>37291563</v>
      </c>
      <c r="XN5" s="193">
        <f t="shared" ref="XN5" si="224">+XN6+XN24+XN39+XN53+XN64</f>
        <v>19346754</v>
      </c>
      <c r="XO5" s="193">
        <f t="shared" ref="XO5" si="225">+XO6+XO24+XO39+XO53+XO64</f>
        <v>17944809</v>
      </c>
      <c r="XP5" s="193">
        <f t="shared" ref="XP5" si="226">+XP6+XP24+XP39+XP53+XP64</f>
        <v>36060622</v>
      </c>
      <c r="XQ5" s="209">
        <f t="shared" ref="XQ5" si="227">+XQ6+XQ24+XQ39+XQ53+XQ64</f>
        <v>18737073</v>
      </c>
      <c r="XR5" s="209">
        <f t="shared" ref="XR5" si="228">+XR6+XR24+XR39+XR53+XR64</f>
        <v>17323549</v>
      </c>
      <c r="XS5" s="193">
        <f t="shared" ref="XS5" si="229">+XS6+XS24+XS39+XS53+XS64</f>
        <v>2831269</v>
      </c>
      <c r="XT5" s="209">
        <f t="shared" ref="XT5" si="230">+XT6+XT24+XT39+XT53+XT64</f>
        <v>1176692</v>
      </c>
      <c r="XU5" s="209">
        <f t="shared" ref="XU5" si="231">+XU6+XU24+XU39+XU53+XU64</f>
        <v>1654577</v>
      </c>
      <c r="XV5" s="193">
        <f t="shared" ref="XV5" si="232">+XV6+XV24+XV39+XV53+XV64</f>
        <v>1908039</v>
      </c>
      <c r="XW5" s="209">
        <f t="shared" ref="XW5" si="233">+XW6+XW24+XW39+XW53+XW64</f>
        <v>933014</v>
      </c>
      <c r="XX5" s="209">
        <f t="shared" ref="XX5" si="234">+XX6+XX24+XX39+XX53+XX64</f>
        <v>975025</v>
      </c>
      <c r="XY5" s="193">
        <f t="shared" ref="XY5" si="235">+XY6+XY24+XY39+XY53+XY64</f>
        <v>4339773</v>
      </c>
      <c r="XZ5" s="193">
        <f t="shared" ref="XZ5" si="236">+XZ6+XZ24+XZ39+XZ53+XZ64</f>
        <v>2201679</v>
      </c>
      <c r="YA5" s="193">
        <f t="shared" ref="YA5" si="237">+YA6+YA24+YA39+YA53+YA64</f>
        <v>2138094</v>
      </c>
      <c r="YB5" s="213">
        <f t="shared" ref="YB5" si="238">+YB6+YB24+YB39+YB53+YB64</f>
        <v>52859997</v>
      </c>
      <c r="YC5" s="209">
        <f t="shared" ref="YC5" si="239">+YC6+YC24+YC39+YC53+YC64</f>
        <v>41256937</v>
      </c>
      <c r="YD5" s="209">
        <f t="shared" ref="YD5" si="240">+YD6+YD24+YD39+YD53+YD64</f>
        <v>3673632</v>
      </c>
      <c r="YE5" s="209">
        <f t="shared" ref="YE5" si="241">+YE6+YE24+YE39+YE53+YE64</f>
        <v>2942378</v>
      </c>
      <c r="YF5" s="193">
        <f t="shared" ref="YF5" si="242">+YF6+YF24+YF39+YF53+YF64</f>
        <v>6084775</v>
      </c>
      <c r="YG5" s="194">
        <f t="shared" ref="YG5" si="243">+YG6+YG24+YG39+YG53+YG64</f>
        <v>54221942</v>
      </c>
      <c r="YH5" s="185">
        <f t="shared" ref="YH5" si="244">+YH6+YH24+YH39+YH53+YH64</f>
        <v>44163351</v>
      </c>
      <c r="YI5" s="185">
        <f t="shared" ref="YI5" si="245">+YI6+YI24+YI39+YI53+YI64</f>
        <v>3820189</v>
      </c>
      <c r="YJ5" s="214">
        <f t="shared" ref="YJ5" si="246">+YJ6+YJ24+YJ39+YJ53+YJ64</f>
        <v>6238402</v>
      </c>
      <c r="YK5" s="185">
        <f t="shared" ref="YK5" si="247">+YK6+YK24+YK39+YK53+YK64</f>
        <v>3118016</v>
      </c>
      <c r="YL5" s="208">
        <f t="shared" ref="YL5" si="248">+YL6+YL24+YL39+YL53+YL64</f>
        <v>55491484</v>
      </c>
      <c r="YM5" s="209">
        <f t="shared" ref="YM5" si="249">+YM6+YM24+YM39+YM53+YM64</f>
        <v>45207721</v>
      </c>
      <c r="YN5" s="209">
        <f t="shared" ref="YN5" si="250">+YN6+YN24+YN39+YN53+YN64</f>
        <v>3950515</v>
      </c>
      <c r="YO5" s="209">
        <f t="shared" ref="YO5" si="251">+YO6+YO24+YO39+YO53+YO64</f>
        <v>6333248</v>
      </c>
      <c r="YP5" s="209">
        <f t="shared" ref="YP5:YQ5" si="252">+YP6+YP24+YP39+YP53+YP64</f>
        <v>3212087</v>
      </c>
      <c r="YQ5" s="208">
        <f t="shared" si="252"/>
        <v>56589087</v>
      </c>
      <c r="YR5" s="209">
        <f t="shared" ref="YR5:YU5" si="253">+YR6+YR24+YR39+YR53+YR64</f>
        <v>45728587</v>
      </c>
      <c r="YS5" s="209">
        <f t="shared" si="253"/>
        <v>4125522</v>
      </c>
      <c r="YT5" s="209">
        <f>+YT6+YT24+YT39+YT53+YT64</f>
        <v>6734978</v>
      </c>
      <c r="YU5" s="209">
        <f t="shared" si="253"/>
        <v>3447016</v>
      </c>
      <c r="YV5" s="334">
        <f>+YV6+YV24+YV39+YV53+YV64</f>
        <v>57720749.875</v>
      </c>
      <c r="YW5" s="186">
        <f t="shared" ref="YW5:YZ5" si="254">+YW6+YW24+YW39+YW53+YW64</f>
        <v>46568177.143000007</v>
      </c>
      <c r="YX5" s="186">
        <f t="shared" si="254"/>
        <v>4238436.8599999994</v>
      </c>
      <c r="YY5" s="186">
        <f t="shared" si="254"/>
        <v>3567013.5639999993</v>
      </c>
      <c r="YZ5" s="186">
        <f t="shared" si="254"/>
        <v>6914135.8720000004</v>
      </c>
      <c r="ZA5" s="186">
        <f t="shared" ref="ZA5:ZE5" si="255">+ZA6+ZA24+ZA39+ZA53+ZA64</f>
        <v>59163882</v>
      </c>
      <c r="ZB5" s="186">
        <f t="shared" si="255"/>
        <v>44853292</v>
      </c>
      <c r="ZC5" s="186">
        <f t="shared" si="255"/>
        <v>4388517</v>
      </c>
      <c r="ZD5" s="186">
        <f t="shared" si="255"/>
        <v>3764680</v>
      </c>
      <c r="ZE5" s="186">
        <f t="shared" si="255"/>
        <v>7156610</v>
      </c>
      <c r="ZF5" s="186">
        <f t="shared" ref="ZF5:ZG5" si="256">+ZF6+ZF24+ZF39+ZF53+ZF64</f>
        <v>60785108</v>
      </c>
      <c r="ZG5" s="186">
        <f t="shared" si="256"/>
        <v>45803800</v>
      </c>
      <c r="ZH5" s="186">
        <f t="shared" ref="ZH5:ZI5" si="257">+ZH6+ZH24+ZH39+ZH53+ZH64</f>
        <v>4570351</v>
      </c>
      <c r="ZI5" s="186">
        <f t="shared" si="257"/>
        <v>3965701</v>
      </c>
      <c r="ZJ5" s="186">
        <f t="shared" ref="ZJ5:ZT5" si="258">+ZJ6+ZJ24+ZJ39+ZJ53+ZJ64</f>
        <v>7489906</v>
      </c>
      <c r="ZK5" s="186">
        <f t="shared" ref="ZK5:ZO5" si="259">+ZK6+ZK24+ZK39+ZK53+ZK64</f>
        <v>64255026</v>
      </c>
      <c r="ZL5" s="186">
        <f t="shared" si="259"/>
        <v>47770112</v>
      </c>
      <c r="ZM5" s="186">
        <f t="shared" si="259"/>
        <v>4948646</v>
      </c>
      <c r="ZN5" s="186">
        <f t="shared" si="259"/>
        <v>4411315</v>
      </c>
      <c r="ZO5" s="186">
        <f t="shared" si="259"/>
        <v>8278563</v>
      </c>
      <c r="ZP5" s="186">
        <f t="shared" si="258"/>
        <v>66241553</v>
      </c>
      <c r="ZQ5" s="186">
        <f t="shared" si="258"/>
        <v>48823442</v>
      </c>
      <c r="ZR5" s="186">
        <f t="shared" si="258"/>
        <v>5172257</v>
      </c>
      <c r="ZS5" s="186">
        <f t="shared" si="258"/>
        <v>4677364</v>
      </c>
      <c r="ZT5" s="186">
        <f t="shared" si="258"/>
        <v>8630882</v>
      </c>
      <c r="ZU5" s="186">
        <f t="shared" ref="ZU5:AAI5" si="260">+ZU6+ZU24+ZU39+ZU53+ZU64</f>
        <v>68334277</v>
      </c>
      <c r="ZV5" s="186">
        <f t="shared" si="260"/>
        <v>50084339</v>
      </c>
      <c r="ZW5" s="186">
        <f t="shared" si="260"/>
        <v>5409510</v>
      </c>
      <c r="ZX5" s="186">
        <f t="shared" si="260"/>
        <v>4961751</v>
      </c>
      <c r="ZY5" s="186">
        <f t="shared" si="260"/>
        <v>9016231</v>
      </c>
      <c r="ZZ5" s="186">
        <f t="shared" ref="ZZ5:AAD5" si="261">+ZZ6+ZZ24+ZZ39+ZZ53+ZZ64</f>
        <v>6553064</v>
      </c>
      <c r="AAA5" s="186">
        <f t="shared" si="261"/>
        <v>36445</v>
      </c>
      <c r="AAB5" s="186">
        <f t="shared" si="261"/>
        <v>234617</v>
      </c>
      <c r="AAC5" s="186">
        <f t="shared" si="261"/>
        <v>1146518</v>
      </c>
      <c r="AAD5" s="186">
        <f t="shared" si="261"/>
        <v>1030301</v>
      </c>
      <c r="AAE5" s="334">
        <f t="shared" si="260"/>
        <v>70765915</v>
      </c>
      <c r="AAF5" s="186">
        <f t="shared" si="260"/>
        <v>51397177</v>
      </c>
      <c r="AAG5" s="186">
        <f t="shared" si="260"/>
        <v>5652468</v>
      </c>
      <c r="AAH5" s="186">
        <f t="shared" si="260"/>
        <v>5360591</v>
      </c>
      <c r="AAI5" s="186">
        <f t="shared" si="260"/>
        <v>9780454</v>
      </c>
      <c r="AAJ5" s="334">
        <f t="shared" ref="AAJ5:AAS5" si="262">+AAJ6+AAJ24+AAJ39+AAJ53+AAJ64</f>
        <v>72750461</v>
      </c>
      <c r="AAK5" s="186">
        <f t="shared" si="262"/>
        <v>0</v>
      </c>
      <c r="AAL5" s="186">
        <f t="shared" si="262"/>
        <v>0</v>
      </c>
      <c r="AAM5" s="186">
        <f t="shared" si="262"/>
        <v>0</v>
      </c>
      <c r="AAN5" s="186">
        <f t="shared" si="262"/>
        <v>0</v>
      </c>
      <c r="AAO5" s="334">
        <f t="shared" si="262"/>
        <v>74501651</v>
      </c>
      <c r="AAP5" s="186">
        <f t="shared" si="262"/>
        <v>53161917</v>
      </c>
      <c r="AAQ5" s="186">
        <f t="shared" si="262"/>
        <v>6160525</v>
      </c>
      <c r="AAR5" s="186">
        <f t="shared" si="262"/>
        <v>6164098</v>
      </c>
      <c r="AAS5" s="186">
        <f t="shared" si="262"/>
        <v>10683263</v>
      </c>
      <c r="AAT5" s="334">
        <f t="shared" ref="AAT5:AAX5" si="263">+AAT6+AAT24+AAT39+AAT53+AAT64</f>
        <v>79903463</v>
      </c>
      <c r="AAU5" s="186">
        <f t="shared" si="263"/>
        <v>55187801</v>
      </c>
      <c r="AAV5" s="186">
        <f t="shared" si="263"/>
        <v>6552229</v>
      </c>
      <c r="AAW5" s="186">
        <f t="shared" si="263"/>
        <v>7215066</v>
      </c>
      <c r="AAX5" s="186">
        <f t="shared" si="263"/>
        <v>16768505</v>
      </c>
      <c r="AAY5" s="186">
        <f t="shared" ref="AAY5:ABC5" si="264">+AAY6+AAY24+AAY39+AAY53+AAY64</f>
        <v>7735358</v>
      </c>
      <c r="AAZ5" s="186">
        <f t="shared" si="264"/>
        <v>52978</v>
      </c>
      <c r="ABA5" s="186">
        <f t="shared" si="264"/>
        <v>312794</v>
      </c>
      <c r="ABB5" s="186">
        <f t="shared" si="264"/>
        <v>6381290</v>
      </c>
      <c r="ABC5" s="186">
        <f t="shared" si="264"/>
        <v>2264283</v>
      </c>
      <c r="ABD5" s="186">
        <f>+ABD6+ABD24+ABD39+ABD53+ABD64</f>
        <v>16144813</v>
      </c>
      <c r="ABE5" s="186">
        <f t="shared" ref="ABE5" si="265">+ABE6+ABE24+ABE39+ABE53+ABE64</f>
        <v>13556878</v>
      </c>
      <c r="ABF5" s="186">
        <f t="shared" ref="ABF5" si="266">+ABF6+ABF24+ABF39+ABF53+ABF64</f>
        <v>949624</v>
      </c>
      <c r="ABG5" s="186">
        <f t="shared" ref="ABG5" si="267">+ABG6+ABG24+ABG39+ABG53+ABG64</f>
        <v>684265</v>
      </c>
      <c r="ABH5" s="186">
        <f t="shared" ref="ABH5:ABN5" si="268">+ABH6+ABH24+ABH39+ABH53+ABH64</f>
        <v>1616981</v>
      </c>
      <c r="ABI5" s="212">
        <f t="shared" si="268"/>
        <v>19384549</v>
      </c>
      <c r="ABJ5" s="209">
        <f t="shared" si="268"/>
        <v>15260770</v>
      </c>
      <c r="ABK5" s="209">
        <f t="shared" si="268"/>
        <v>1237309</v>
      </c>
      <c r="ABL5" s="209">
        <f t="shared" si="268"/>
        <v>926343</v>
      </c>
      <c r="ABM5" s="193">
        <f t="shared" si="268"/>
        <v>2270249</v>
      </c>
      <c r="ABN5" s="334">
        <f t="shared" si="268"/>
        <v>20934610</v>
      </c>
      <c r="ABO5" s="186">
        <f t="shared" ref="ABO5:ABS5" si="269">+ABO6+ABO24+ABO39+ABO53+ABO64</f>
        <v>16916625</v>
      </c>
      <c r="ABP5" s="186">
        <f t="shared" si="269"/>
        <v>1436414</v>
      </c>
      <c r="ABQ5" s="186">
        <f t="shared" si="269"/>
        <v>1088858</v>
      </c>
      <c r="ABR5" s="186">
        <f t="shared" si="269"/>
        <v>2581571</v>
      </c>
      <c r="ABS5" s="334">
        <f t="shared" si="269"/>
        <v>21432910.851</v>
      </c>
      <c r="ABT5" s="186">
        <f t="shared" ref="ABT5:ABW5" si="270">+ABT6+ABT24+ABT39+ABT53+ABT64</f>
        <v>17301345.539000001</v>
      </c>
      <c r="ABU5" s="186">
        <f t="shared" si="270"/>
        <v>1489660.415</v>
      </c>
      <c r="ABV5" s="186">
        <f t="shared" si="270"/>
        <v>1122480.9670000002</v>
      </c>
      <c r="ABW5" s="187">
        <f t="shared" si="270"/>
        <v>2641904.8969999999</v>
      </c>
      <c r="ABX5" s="186">
        <f t="shared" ref="ABX5:ABY5" si="271">+ABX6+ABX24+ABX39+ABX53+ABX64</f>
        <v>22073005</v>
      </c>
      <c r="ABY5" s="186">
        <f t="shared" si="271"/>
        <v>16829544</v>
      </c>
      <c r="ABZ5" s="186">
        <f t="shared" ref="ABZ5:ACA5" si="272">+ABZ6+ABZ24+ABZ39+ABZ53+ABZ64</f>
        <v>1557817</v>
      </c>
      <c r="ACA5" s="186">
        <f t="shared" si="272"/>
        <v>1188964</v>
      </c>
      <c r="ACB5" s="187">
        <f t="shared" ref="ACB5:ACC5" si="273">+ACB6+ACB24+ACB39+ACB53+ACB64</f>
        <v>2786721</v>
      </c>
      <c r="ACC5" s="187">
        <f t="shared" si="273"/>
        <v>22814307</v>
      </c>
      <c r="ACD5" s="187">
        <f t="shared" ref="ACD5:ACE5" si="274">+ACD6+ACD24+ACD39+ACD53+ACD64</f>
        <v>17275406</v>
      </c>
      <c r="ACE5" s="187">
        <f t="shared" si="274"/>
        <v>1646374</v>
      </c>
      <c r="ACF5" s="187">
        <f t="shared" ref="ACF5:ACL5" si="275">+ACF6+ACF24+ACF39+ACF53+ACF64</f>
        <v>1250768</v>
      </c>
      <c r="ACG5" s="187">
        <f t="shared" si="275"/>
        <v>2942709</v>
      </c>
      <c r="ACH5" s="187">
        <f t="shared" si="275"/>
        <v>24391012</v>
      </c>
      <c r="ACI5" s="187">
        <f t="shared" si="275"/>
        <v>18204556</v>
      </c>
      <c r="ACJ5" s="187">
        <f t="shared" si="275"/>
        <v>1838852</v>
      </c>
      <c r="ACK5" s="187">
        <f t="shared" si="275"/>
        <v>1386019</v>
      </c>
      <c r="ACL5" s="187">
        <f t="shared" si="275"/>
        <v>3282047</v>
      </c>
      <c r="ACM5" s="187">
        <f t="shared" ref="ACM5:ACQ5" si="276">+ACM6+ACM24+ACM39+ACM53+ACM64</f>
        <v>25089165</v>
      </c>
      <c r="ACN5" s="187">
        <f t="shared" si="276"/>
        <v>18582789</v>
      </c>
      <c r="ACO5" s="187">
        <f t="shared" si="276"/>
        <v>1906400</v>
      </c>
      <c r="ACP5" s="187">
        <f t="shared" si="276"/>
        <v>1454730</v>
      </c>
      <c r="ACQ5" s="187">
        <f t="shared" si="276"/>
        <v>3495061</v>
      </c>
      <c r="ACR5" s="187">
        <f t="shared" ref="ACR5:ADF5" si="277">+ACR6+ACR24+ACR39+ACR53+ACR64</f>
        <v>26091882</v>
      </c>
      <c r="ACS5" s="187">
        <f t="shared" si="277"/>
        <v>19169847</v>
      </c>
      <c r="ACT5" s="187">
        <f t="shared" si="277"/>
        <v>2016761</v>
      </c>
      <c r="ACU5" s="187">
        <f t="shared" si="277"/>
        <v>1575925</v>
      </c>
      <c r="ACV5" s="186">
        <f t="shared" si="277"/>
        <v>3706916</v>
      </c>
      <c r="ACW5" s="186"/>
      <c r="ACX5" s="186"/>
      <c r="ACY5" s="186"/>
      <c r="ACZ5" s="186"/>
      <c r="ADA5" s="186"/>
      <c r="ADB5" s="334">
        <f t="shared" si="277"/>
        <v>27180887</v>
      </c>
      <c r="ADC5" s="186">
        <f t="shared" si="277"/>
        <v>19816057</v>
      </c>
      <c r="ADD5" s="186">
        <f t="shared" si="277"/>
        <v>2122610</v>
      </c>
      <c r="ADE5" s="186">
        <f t="shared" si="277"/>
        <v>1676920</v>
      </c>
      <c r="ADF5" s="186">
        <f t="shared" si="277"/>
        <v>3962635</v>
      </c>
      <c r="ADG5" s="334">
        <f t="shared" ref="ADG5:ADP5" si="278">+ADG6+ADG24+ADG39+ADG53+ADG64</f>
        <v>28151275</v>
      </c>
      <c r="ADH5" s="186">
        <f t="shared" si="278"/>
        <v>0</v>
      </c>
      <c r="ADI5" s="186">
        <f t="shared" si="278"/>
        <v>0</v>
      </c>
      <c r="ADJ5" s="186">
        <f t="shared" si="278"/>
        <v>0</v>
      </c>
      <c r="ADK5" s="186">
        <f t="shared" si="278"/>
        <v>0</v>
      </c>
      <c r="ADL5" s="334">
        <f t="shared" si="278"/>
        <v>28771172</v>
      </c>
      <c r="ADM5" s="186">
        <f t="shared" si="278"/>
        <v>20552340</v>
      </c>
      <c r="ADN5" s="186">
        <f t="shared" si="278"/>
        <v>2351942</v>
      </c>
      <c r="ADO5" s="186">
        <f t="shared" si="278"/>
        <v>1964491</v>
      </c>
      <c r="ADP5" s="186">
        <f t="shared" si="278"/>
        <v>4384837</v>
      </c>
      <c r="ADQ5" s="334">
        <f t="shared" ref="ADQ5:ADU5" si="279">+ADQ6+ADQ24+ADQ39+ADQ53+ADQ64</f>
        <v>31421403</v>
      </c>
      <c r="ADR5" s="186">
        <f t="shared" si="279"/>
        <v>21663925</v>
      </c>
      <c r="ADS5" s="186">
        <f t="shared" si="279"/>
        <v>2580988</v>
      </c>
      <c r="ADT5" s="186">
        <f t="shared" si="279"/>
        <v>2403162</v>
      </c>
      <c r="ADU5" s="186">
        <f t="shared" si="279"/>
        <v>6688031</v>
      </c>
      <c r="ADV5" s="186">
        <f t="shared" ref="ADV5:ADZ5" si="280">+ADV6+ADV24+ADV39+ADV53+ADV64</f>
        <v>3541371</v>
      </c>
      <c r="ADW5" s="186">
        <f t="shared" si="280"/>
        <v>15757</v>
      </c>
      <c r="ADX5" s="186">
        <f t="shared" si="280"/>
        <v>107348</v>
      </c>
      <c r="ADY5" s="186">
        <f t="shared" si="280"/>
        <v>2308828</v>
      </c>
      <c r="ADZ5" s="186">
        <f t="shared" si="280"/>
        <v>714727</v>
      </c>
    </row>
    <row r="6" spans="1:806">
      <c r="A6" s="138" t="s">
        <v>6</v>
      </c>
      <c r="B6" s="172">
        <f>SUM(B8:B23)</f>
        <v>9738075</v>
      </c>
      <c r="C6" s="173">
        <f t="shared" ref="C6:K6" si="281">SUM(C8:C23)</f>
        <v>5995415</v>
      </c>
      <c r="D6" s="173">
        <f t="shared" si="281"/>
        <v>2715068</v>
      </c>
      <c r="E6" s="173">
        <f t="shared" si="281"/>
        <v>931469</v>
      </c>
      <c r="F6" s="173">
        <f t="shared" si="281"/>
        <v>90177</v>
      </c>
      <c r="G6" s="172">
        <f>SUM(G8:G23)</f>
        <v>6794920</v>
      </c>
      <c r="H6" s="173">
        <f t="shared" si="281"/>
        <v>4780029</v>
      </c>
      <c r="I6" s="173">
        <f t="shared" si="281"/>
        <v>1471663</v>
      </c>
      <c r="J6" s="173">
        <f t="shared" si="281"/>
        <v>1125155</v>
      </c>
      <c r="K6" s="173">
        <f t="shared" si="281"/>
        <v>543228</v>
      </c>
      <c r="L6" s="172">
        <f>SUM(L8:L23)</f>
        <v>5526318</v>
      </c>
      <c r="M6" s="173">
        <f t="shared" ref="M6:P6" si="282">SUM(M8:M23)</f>
        <v>3620101</v>
      </c>
      <c r="N6" s="173">
        <f t="shared" si="282"/>
        <v>1008783</v>
      </c>
      <c r="O6" s="173">
        <f t="shared" si="282"/>
        <v>1688685</v>
      </c>
      <c r="P6" s="173">
        <f t="shared" si="282"/>
        <v>897434</v>
      </c>
      <c r="Q6" s="172">
        <f>SUM(Q8:Q23)</f>
        <v>5085453</v>
      </c>
      <c r="R6" s="173">
        <f t="shared" ref="R6:U6" si="283">SUM(R8:R23)</f>
        <v>2072853</v>
      </c>
      <c r="S6" s="173">
        <f t="shared" si="283"/>
        <v>807432</v>
      </c>
      <c r="T6" s="173">
        <f t="shared" si="283"/>
        <v>2027110</v>
      </c>
      <c r="U6" s="173">
        <f t="shared" si="283"/>
        <v>976381</v>
      </c>
      <c r="V6" s="390">
        <f>SUM(V8:V23)</f>
        <v>5052500</v>
      </c>
      <c r="W6" s="199">
        <f t="shared" ref="W6:Z6" si="284">SUM(W8:W23)</f>
        <v>3371252</v>
      </c>
      <c r="X6" s="199">
        <f t="shared" si="284"/>
        <v>780302</v>
      </c>
      <c r="Y6" s="199">
        <f t="shared" si="284"/>
        <v>2190894</v>
      </c>
      <c r="Z6" s="199">
        <f t="shared" si="284"/>
        <v>900946</v>
      </c>
      <c r="AA6" s="390">
        <f>SUM(AA8:AA23)</f>
        <v>4912994</v>
      </c>
      <c r="AB6" s="199">
        <f t="shared" ref="AB6" si="285">SUM(AB8:AB23)</f>
        <v>1740148</v>
      </c>
      <c r="AC6" s="199">
        <f t="shared" ref="AC6" si="286">SUM(AC8:AC23)</f>
        <v>731073</v>
      </c>
      <c r="AD6" s="199">
        <f t="shared" ref="AD6" si="287">SUM(AD8:AD23)</f>
        <v>2230645</v>
      </c>
      <c r="AE6" s="199">
        <f t="shared" ref="AE6:AF6" si="288">SUM(AE8:AE23)</f>
        <v>861799</v>
      </c>
      <c r="AF6" s="218">
        <f t="shared" si="288"/>
        <v>4846309</v>
      </c>
      <c r="AG6" s="199">
        <f t="shared" ref="AG6:AH6" si="289">SUM(AG8:AG23)</f>
        <v>1680696</v>
      </c>
      <c r="AH6" s="199">
        <f t="shared" si="289"/>
        <v>707516</v>
      </c>
      <c r="AI6" s="199">
        <f t="shared" ref="AI6:AR6" si="290">SUM(AI8:AI23)</f>
        <v>2238949</v>
      </c>
      <c r="AJ6" s="199">
        <f t="shared" si="290"/>
        <v>832826</v>
      </c>
      <c r="AK6" s="199">
        <f t="shared" ref="AK6:AO6" si="291">SUM(AK8:AK23)</f>
        <v>4741518</v>
      </c>
      <c r="AL6" s="199">
        <f t="shared" si="291"/>
        <v>1559087</v>
      </c>
      <c r="AM6" s="199">
        <f t="shared" si="291"/>
        <v>660171</v>
      </c>
      <c r="AN6" s="199">
        <f t="shared" si="291"/>
        <v>2293072</v>
      </c>
      <c r="AO6" s="199">
        <f t="shared" si="291"/>
        <v>792892</v>
      </c>
      <c r="AP6" s="199">
        <f t="shared" si="290"/>
        <v>4710095</v>
      </c>
      <c r="AQ6" s="199">
        <f t="shared" si="290"/>
        <v>1483447</v>
      </c>
      <c r="AR6" s="199">
        <f t="shared" si="290"/>
        <v>664779</v>
      </c>
      <c r="AS6" s="199">
        <f t="shared" ref="AS6:AW6" si="292">SUM(AS8:AS23)</f>
        <v>2327146</v>
      </c>
      <c r="AT6" s="199">
        <f t="shared" si="292"/>
        <v>825560</v>
      </c>
      <c r="AU6" s="218">
        <f t="shared" si="292"/>
        <v>4593325</v>
      </c>
      <c r="AV6" s="199">
        <f t="shared" si="292"/>
        <v>1440782</v>
      </c>
      <c r="AW6" s="199">
        <f t="shared" si="292"/>
        <v>638709</v>
      </c>
      <c r="AX6" s="199">
        <f t="shared" ref="AX6:BG6" si="293">SUM(AX8:AX23)</f>
        <v>2272465</v>
      </c>
      <c r="AY6" s="199">
        <f t="shared" si="293"/>
        <v>841312</v>
      </c>
      <c r="AZ6" s="199">
        <f t="shared" ref="AZ6:BD6" si="294">SUM(AZ8:AZ23)</f>
        <v>196881</v>
      </c>
      <c r="BA6" s="199">
        <f t="shared" si="294"/>
        <v>2160</v>
      </c>
      <c r="BB6" s="199">
        <f t="shared" si="294"/>
        <v>41751</v>
      </c>
      <c r="BC6" s="199">
        <f t="shared" si="294"/>
        <v>67075</v>
      </c>
      <c r="BD6" s="199">
        <f t="shared" si="294"/>
        <v>533445</v>
      </c>
      <c r="BE6" s="218">
        <f t="shared" si="293"/>
        <v>4385508</v>
      </c>
      <c r="BF6" s="199">
        <f t="shared" si="293"/>
        <v>1309992</v>
      </c>
      <c r="BG6" s="199">
        <f t="shared" si="293"/>
        <v>595056</v>
      </c>
      <c r="BH6" s="199">
        <f t="shared" ref="BH6:BL6" si="295">SUM(BH8:BH23)</f>
        <v>2235850</v>
      </c>
      <c r="BI6" s="199">
        <f t="shared" si="295"/>
        <v>839457</v>
      </c>
      <c r="BJ6" s="218">
        <f t="shared" si="295"/>
        <v>4325412</v>
      </c>
      <c r="BK6" s="199">
        <f t="shared" si="295"/>
        <v>0</v>
      </c>
      <c r="BL6" s="199">
        <f t="shared" si="295"/>
        <v>0</v>
      </c>
      <c r="BM6" s="199">
        <f t="shared" ref="BM6:BQ6" si="296">SUM(BM8:BM23)</f>
        <v>0</v>
      </c>
      <c r="BN6" s="199">
        <f t="shared" si="296"/>
        <v>0</v>
      </c>
      <c r="BO6" s="218">
        <f t="shared" si="296"/>
        <v>4281975</v>
      </c>
      <c r="BP6" s="199">
        <f t="shared" si="296"/>
        <v>1241746</v>
      </c>
      <c r="BQ6" s="199">
        <f t="shared" si="296"/>
        <v>544399</v>
      </c>
      <c r="BR6" s="199">
        <f t="shared" ref="BR6:BV6" si="297">SUM(BR8:BR23)</f>
        <v>2247260</v>
      </c>
      <c r="BS6" s="199">
        <f t="shared" si="297"/>
        <v>902336</v>
      </c>
      <c r="BT6" s="218">
        <f t="shared" si="297"/>
        <v>4171254</v>
      </c>
      <c r="BU6" s="199">
        <f t="shared" si="297"/>
        <v>1099953</v>
      </c>
      <c r="BV6" s="199">
        <f t="shared" si="297"/>
        <v>518947</v>
      </c>
      <c r="BW6" s="199">
        <f t="shared" ref="BW6:CB6" si="298">SUM(BW8:BW23)</f>
        <v>2223918</v>
      </c>
      <c r="BX6" s="199">
        <f t="shared" si="298"/>
        <v>225317</v>
      </c>
      <c r="BY6" s="199">
        <f t="shared" si="298"/>
        <v>1147</v>
      </c>
      <c r="BZ6" s="199">
        <f t="shared" si="298"/>
        <v>70377</v>
      </c>
      <c r="CA6" s="199">
        <f t="shared" si="298"/>
        <v>1085098</v>
      </c>
      <c r="CB6" s="199">
        <f t="shared" si="298"/>
        <v>895171</v>
      </c>
      <c r="CC6" s="172">
        <f>SUM(CC8:CC23)</f>
        <v>8707077</v>
      </c>
      <c r="CD6" s="173">
        <f t="shared" ref="CD6:CG6" si="299">SUM(CD8:CD23)</f>
        <v>6357912</v>
      </c>
      <c r="CE6" s="173">
        <f t="shared" si="299"/>
        <v>2013351</v>
      </c>
      <c r="CF6" s="173">
        <f t="shared" si="299"/>
        <v>2223918</v>
      </c>
      <c r="CG6" s="173">
        <f t="shared" si="299"/>
        <v>335814</v>
      </c>
      <c r="CH6" s="172">
        <f>SUM(CH8:CH23)</f>
        <v>8845118</v>
      </c>
      <c r="CI6" s="173">
        <f t="shared" ref="CI6:FL6" si="300">SUM(CI8:CI23)</f>
        <v>5977603</v>
      </c>
      <c r="CJ6" s="173">
        <f t="shared" si="300"/>
        <v>2143225</v>
      </c>
      <c r="CK6" s="173">
        <f t="shared" si="300"/>
        <v>1157592</v>
      </c>
      <c r="CL6" s="173">
        <f t="shared" si="300"/>
        <v>724290</v>
      </c>
      <c r="CM6" s="172">
        <f>SUM(CM8:CM23)</f>
        <v>7779818</v>
      </c>
      <c r="CN6" s="173">
        <f t="shared" ref="CN6:CQ6" si="301">SUM(CN8:CN23)</f>
        <v>4382419</v>
      </c>
      <c r="CO6" s="173">
        <f t="shared" si="301"/>
        <v>1858293</v>
      </c>
      <c r="CP6" s="173">
        <f t="shared" si="301"/>
        <v>1303701</v>
      </c>
      <c r="CQ6" s="173">
        <f t="shared" si="301"/>
        <v>742772</v>
      </c>
      <c r="CR6" s="173">
        <f>SUM(CR8:CR23)</f>
        <v>7224483</v>
      </c>
      <c r="CS6" s="173">
        <f t="shared" ref="CS6:CV6" si="302">SUM(CS8:CS23)</f>
        <v>4812676</v>
      </c>
      <c r="CT6" s="173">
        <f t="shared" si="302"/>
        <v>1756497</v>
      </c>
      <c r="CU6" s="173">
        <f t="shared" si="302"/>
        <v>1417122</v>
      </c>
      <c r="CV6" s="173">
        <f t="shared" si="302"/>
        <v>655310</v>
      </c>
      <c r="CW6" s="173">
        <f t="shared" ref="CW6:EY6" si="303">SUM(CW8:CW23)</f>
        <v>7089820</v>
      </c>
      <c r="CX6" s="173">
        <f t="shared" si="303"/>
        <v>3641948</v>
      </c>
      <c r="CY6" s="173">
        <f t="shared" si="303"/>
        <v>1723086</v>
      </c>
      <c r="CZ6" s="173">
        <f t="shared" si="303"/>
        <v>1480072</v>
      </c>
      <c r="DA6" s="173">
        <f t="shared" si="303"/>
        <v>639368</v>
      </c>
      <c r="DB6" s="173">
        <f t="shared" ref="DB6:DC6" si="304">SUM(DB8:DB23)</f>
        <v>6964416</v>
      </c>
      <c r="DC6" s="173">
        <f t="shared" si="304"/>
        <v>3538223</v>
      </c>
      <c r="DD6" s="173">
        <f t="shared" ref="DD6:DE6" si="305">SUM(DD8:DD23)</f>
        <v>1691910</v>
      </c>
      <c r="DE6" s="173">
        <f t="shared" si="305"/>
        <v>1492953</v>
      </c>
      <c r="DF6" s="173">
        <f t="shared" ref="DF6:DO6" si="306">SUM(DF8:DF23)</f>
        <v>616259</v>
      </c>
      <c r="DG6" s="173">
        <f t="shared" ref="DG6:DK6" si="307">SUM(DG8:DG23)</f>
        <v>6765699</v>
      </c>
      <c r="DH6" s="173">
        <f t="shared" si="307"/>
        <v>3327901</v>
      </c>
      <c r="DI6" s="173">
        <f t="shared" si="307"/>
        <v>1662542</v>
      </c>
      <c r="DJ6" s="173">
        <f t="shared" si="307"/>
        <v>1518788</v>
      </c>
      <c r="DK6" s="173">
        <f t="shared" si="307"/>
        <v>602689</v>
      </c>
      <c r="DL6" s="173">
        <f t="shared" si="306"/>
        <v>6720165</v>
      </c>
      <c r="DM6" s="173">
        <f t="shared" si="306"/>
        <v>3276132</v>
      </c>
      <c r="DN6" s="173">
        <f t="shared" si="306"/>
        <v>1647230</v>
      </c>
      <c r="DO6" s="173">
        <f t="shared" si="306"/>
        <v>1544407</v>
      </c>
      <c r="DP6" s="173">
        <f t="shared" ref="DP6:DT6" si="308">SUM(DP8:DP23)</f>
        <v>592632</v>
      </c>
      <c r="DQ6" s="173">
        <f t="shared" si="308"/>
        <v>6721098</v>
      </c>
      <c r="DR6" s="173">
        <f t="shared" si="308"/>
        <v>3258626</v>
      </c>
      <c r="DS6" s="173">
        <f t="shared" si="308"/>
        <v>1624820</v>
      </c>
      <c r="DT6" s="173">
        <f t="shared" si="308"/>
        <v>1568241</v>
      </c>
      <c r="DU6" s="173">
        <f t="shared" ref="DU6:DY6" si="309">SUM(DU8:DU23)</f>
        <v>642455</v>
      </c>
      <c r="DV6" s="195">
        <f t="shared" si="309"/>
        <v>6519375</v>
      </c>
      <c r="DW6" s="173">
        <f t="shared" si="309"/>
        <v>3097128</v>
      </c>
      <c r="DX6" s="173">
        <f t="shared" si="309"/>
        <v>1579570</v>
      </c>
      <c r="DY6" s="173">
        <f t="shared" si="309"/>
        <v>1582103</v>
      </c>
      <c r="DZ6" s="173">
        <f t="shared" ref="DZ6:ED6" si="310">SUM(DZ8:DZ23)</f>
        <v>649159</v>
      </c>
      <c r="EA6" s="195">
        <f t="shared" si="310"/>
        <v>6420533</v>
      </c>
      <c r="EB6" s="173">
        <f t="shared" si="310"/>
        <v>0</v>
      </c>
      <c r="EC6" s="173">
        <f t="shared" si="310"/>
        <v>0</v>
      </c>
      <c r="ED6" s="173">
        <f t="shared" si="310"/>
        <v>0</v>
      </c>
      <c r="EE6" s="173">
        <f t="shared" ref="EE6:EI6" si="311">SUM(EE8:EE23)</f>
        <v>0</v>
      </c>
      <c r="EF6" s="195">
        <f t="shared" si="311"/>
        <v>6380429</v>
      </c>
      <c r="EG6" s="173">
        <f t="shared" si="311"/>
        <v>2980043</v>
      </c>
      <c r="EH6" s="173">
        <f t="shared" si="311"/>
        <v>1516620</v>
      </c>
      <c r="EI6" s="173">
        <f t="shared" si="311"/>
        <v>1616281</v>
      </c>
      <c r="EJ6" s="173">
        <f t="shared" ref="EJ6:EN6" si="312">SUM(EJ8:EJ23)</f>
        <v>666960</v>
      </c>
      <c r="EK6" s="195">
        <f t="shared" si="312"/>
        <v>6380429</v>
      </c>
      <c r="EL6" s="173">
        <f t="shared" si="312"/>
        <v>2980043</v>
      </c>
      <c r="EM6" s="173">
        <f t="shared" si="312"/>
        <v>1516620</v>
      </c>
      <c r="EN6" s="173">
        <f t="shared" si="312"/>
        <v>1616281</v>
      </c>
      <c r="EO6" s="173">
        <f t="shared" ref="EO6:ES6" si="313">SUM(EO8:EO23)</f>
        <v>666960</v>
      </c>
      <c r="EP6" s="195">
        <f t="shared" si="313"/>
        <v>5750703</v>
      </c>
      <c r="EQ6" s="173">
        <f t="shared" si="313"/>
        <v>2541095</v>
      </c>
      <c r="ER6" s="173">
        <f t="shared" si="313"/>
        <v>1326813</v>
      </c>
      <c r="ES6" s="173">
        <f t="shared" si="313"/>
        <v>1506946</v>
      </c>
      <c r="ET6" s="173">
        <f t="shared" ref="ET6:EX6" si="314">SUM(ET8:ET23)</f>
        <v>154651</v>
      </c>
      <c r="EU6" s="173">
        <f t="shared" si="314"/>
        <v>1421</v>
      </c>
      <c r="EV6" s="173">
        <f t="shared" si="314"/>
        <v>67183</v>
      </c>
      <c r="EW6" s="173">
        <f t="shared" si="314"/>
        <v>916050</v>
      </c>
      <c r="EX6" s="173">
        <f t="shared" si="314"/>
        <v>495544</v>
      </c>
      <c r="EY6" s="195">
        <f t="shared" si="303"/>
        <v>12170148</v>
      </c>
      <c r="EZ6" s="173">
        <f t="shared" ref="EZ6:FC6" si="315">SUM(EZ8:EZ23)</f>
        <v>8111647</v>
      </c>
      <c r="FA6" s="173">
        <f t="shared" si="315"/>
        <v>2494163</v>
      </c>
      <c r="FB6" s="173">
        <f t="shared" si="315"/>
        <v>3682387</v>
      </c>
      <c r="FC6" s="173">
        <f t="shared" si="315"/>
        <v>1564338</v>
      </c>
      <c r="FD6" s="195">
        <f>SUM(FD8:FD23)</f>
        <v>4072893</v>
      </c>
      <c r="FE6" s="173">
        <f t="shared" si="300"/>
        <v>6292090</v>
      </c>
      <c r="FF6" s="173">
        <f t="shared" si="300"/>
        <v>9997417</v>
      </c>
      <c r="FG6" s="173">
        <f t="shared" si="300"/>
        <v>14790732</v>
      </c>
      <c r="FH6" s="172">
        <f>SUM(FH8:FH23)</f>
        <v>26045603</v>
      </c>
      <c r="FI6" s="173">
        <f t="shared" si="300"/>
        <v>21678999.625999998</v>
      </c>
      <c r="FJ6" s="173">
        <f t="shared" si="300"/>
        <v>2895346.4440000001</v>
      </c>
      <c r="FK6" s="173">
        <f t="shared" si="300"/>
        <v>908591.29700000002</v>
      </c>
      <c r="FL6" s="173">
        <f t="shared" si="300"/>
        <v>307511.52200000006</v>
      </c>
      <c r="FM6" s="172">
        <f>SUM(FM8:FM23)</f>
        <v>38424457</v>
      </c>
      <c r="FN6" s="173">
        <f t="shared" ref="FN6:FQ6" si="316">SUM(FN8:FN23)</f>
        <v>32208884</v>
      </c>
      <c r="FO6" s="173">
        <f t="shared" si="316"/>
        <v>4996875</v>
      </c>
      <c r="FP6" s="173">
        <f t="shared" si="316"/>
        <v>1796611</v>
      </c>
      <c r="FQ6" s="173">
        <f t="shared" si="316"/>
        <v>1218698</v>
      </c>
      <c r="FR6" s="172">
        <f>SUM(FR8:FR23)</f>
        <v>50165562</v>
      </c>
      <c r="FS6" s="173">
        <f t="shared" ref="FS6:FV6" si="317">SUM(FS8:FS23)</f>
        <v>39797423</v>
      </c>
      <c r="FT6" s="173">
        <f t="shared" si="317"/>
        <v>7464519</v>
      </c>
      <c r="FU6" s="173">
        <f t="shared" si="317"/>
        <v>3346601</v>
      </c>
      <c r="FV6" s="173">
        <f t="shared" si="317"/>
        <v>2903620</v>
      </c>
      <c r="FW6" s="312">
        <f>SUM(FW8:FW23)</f>
        <v>57888206</v>
      </c>
      <c r="FX6" s="173">
        <f t="shared" ref="FX6:GA6" si="318">SUM(FX8:FX23)</f>
        <v>41096715</v>
      </c>
      <c r="FY6" s="173">
        <f t="shared" si="318"/>
        <v>10229909</v>
      </c>
      <c r="FZ6" s="173">
        <f t="shared" si="318"/>
        <v>6441356</v>
      </c>
      <c r="GA6" s="173">
        <f t="shared" si="318"/>
        <v>5137655</v>
      </c>
      <c r="GB6" s="172">
        <f>SUM(GB8:GB23)</f>
        <v>59200533</v>
      </c>
      <c r="GC6" s="173">
        <f t="shared" ref="GC6:GF6" si="319">SUM(GC8:GC23)</f>
        <v>45524676</v>
      </c>
      <c r="GD6" s="173">
        <f t="shared" si="319"/>
        <v>9609281</v>
      </c>
      <c r="GE6" s="173">
        <f t="shared" si="319"/>
        <v>4066576</v>
      </c>
      <c r="GF6" s="173">
        <f t="shared" si="319"/>
        <v>5399587</v>
      </c>
      <c r="GG6" s="172">
        <f>SUM(GG8:GG23)</f>
        <v>60351009</v>
      </c>
      <c r="GH6" s="173">
        <f t="shared" ref="GH6:GK6" si="320">SUM(GH8:GH23)</f>
        <v>46369819</v>
      </c>
      <c r="GI6" s="173">
        <f t="shared" si="320"/>
        <v>9944061</v>
      </c>
      <c r="GJ6" s="173">
        <f t="shared" si="320"/>
        <v>4037129</v>
      </c>
      <c r="GK6" s="173">
        <f t="shared" si="320"/>
        <v>5603707</v>
      </c>
      <c r="GL6" s="195">
        <f>SUM(GL8:GL23)</f>
        <v>61863790</v>
      </c>
      <c r="GM6" s="173">
        <f t="shared" ref="GM6:GP6" si="321">SUM(GM8:GM23)</f>
        <v>47374240</v>
      </c>
      <c r="GN6" s="173">
        <f t="shared" si="321"/>
        <v>10340409</v>
      </c>
      <c r="GO6" s="173">
        <f t="shared" si="321"/>
        <v>6075792</v>
      </c>
      <c r="GP6" s="173">
        <f t="shared" si="321"/>
        <v>3350252</v>
      </c>
      <c r="GQ6" s="195">
        <f>SUM(GQ8:GQ23)</f>
        <v>63019593.373999998</v>
      </c>
      <c r="GR6" s="173">
        <f t="shared" ref="GR6:GU6" si="322">SUM(GR8:GR23)</f>
        <v>48124399.611000001</v>
      </c>
      <c r="GS6" s="173">
        <f t="shared" si="322"/>
        <v>10621223.862000002</v>
      </c>
      <c r="GT6" s="173">
        <f t="shared" si="322"/>
        <v>6363433.8280000016</v>
      </c>
      <c r="GU6" s="198">
        <f t="shared" si="322"/>
        <v>4273969.9010000015</v>
      </c>
      <c r="GV6" s="198">
        <f t="shared" ref="GV6" si="323">SUM(GV8:GV23)</f>
        <v>64211904</v>
      </c>
      <c r="GW6" s="173">
        <f t="shared" ref="GW6:GX6" si="324">SUM(GW8:GW23)</f>
        <v>43706833</v>
      </c>
      <c r="GX6" s="173">
        <f t="shared" si="324"/>
        <v>10907710</v>
      </c>
      <c r="GY6" s="173">
        <f t="shared" ref="GY6:GZ6" si="325">SUM(GY8:GY23)</f>
        <v>6676166</v>
      </c>
      <c r="GZ6" s="173">
        <f t="shared" si="325"/>
        <v>4341160</v>
      </c>
      <c r="HA6" s="173">
        <f t="shared" ref="HA6:HB6" si="326">SUM(HA8:HA23)</f>
        <v>65399021</v>
      </c>
      <c r="HB6" s="173">
        <f t="shared" si="326"/>
        <v>44169488</v>
      </c>
      <c r="HC6" s="173">
        <f t="shared" ref="HC6:HD6" si="327">SUM(HC8:HC23)</f>
        <v>11192709</v>
      </c>
      <c r="HD6" s="173">
        <f t="shared" si="327"/>
        <v>6976687</v>
      </c>
      <c r="HE6" s="173">
        <f t="shared" ref="HE6:HO6" si="328">SUM(HE8:HE23)</f>
        <v>4500328</v>
      </c>
      <c r="HF6" s="173">
        <f t="shared" ref="HF6:HJ6" si="329">SUM(HF8:HF23)</f>
        <v>67902659</v>
      </c>
      <c r="HG6" s="173">
        <f t="shared" si="329"/>
        <v>45131852</v>
      </c>
      <c r="HH6" s="173">
        <f t="shared" si="329"/>
        <v>11857248</v>
      </c>
      <c r="HI6" s="173">
        <f t="shared" si="329"/>
        <v>7581299</v>
      </c>
      <c r="HJ6" s="173">
        <f t="shared" si="329"/>
        <v>4786941</v>
      </c>
      <c r="HK6" s="173">
        <f t="shared" si="328"/>
        <v>69281715</v>
      </c>
      <c r="HL6" s="173">
        <f t="shared" si="328"/>
        <v>45658917</v>
      </c>
      <c r="HM6" s="173">
        <f t="shared" si="328"/>
        <v>12150967</v>
      </c>
      <c r="HN6" s="173">
        <f t="shared" si="328"/>
        <v>7926382</v>
      </c>
      <c r="HO6" s="173">
        <f t="shared" si="328"/>
        <v>4954020</v>
      </c>
      <c r="HP6" s="195">
        <f t="shared" ref="HP6:ID6" si="330">SUM(HP8:HP23)</f>
        <v>70471115</v>
      </c>
      <c r="HQ6" s="173">
        <f t="shared" si="330"/>
        <v>46077742</v>
      </c>
      <c r="HR6" s="173">
        <f t="shared" si="330"/>
        <v>12457491</v>
      </c>
      <c r="HS6" s="173">
        <f t="shared" si="330"/>
        <v>8265378</v>
      </c>
      <c r="HT6" s="173">
        <f t="shared" si="330"/>
        <v>5214914</v>
      </c>
      <c r="HU6" s="173">
        <f t="shared" si="330"/>
        <v>2425014</v>
      </c>
      <c r="HV6" s="173">
        <f t="shared" si="330"/>
        <v>28227</v>
      </c>
      <c r="HW6" s="173">
        <f t="shared" si="330"/>
        <v>406910</v>
      </c>
      <c r="HX6" s="173">
        <f t="shared" si="330"/>
        <v>1015499</v>
      </c>
      <c r="HY6" s="173">
        <f t="shared" si="330"/>
        <v>1339264</v>
      </c>
      <c r="HZ6" s="195">
        <f t="shared" si="330"/>
        <v>72087006</v>
      </c>
      <c r="IA6" s="173">
        <f t="shared" si="330"/>
        <v>46585129</v>
      </c>
      <c r="IB6" s="173">
        <f t="shared" si="330"/>
        <v>12826326</v>
      </c>
      <c r="IC6" s="173">
        <f t="shared" si="330"/>
        <v>8787365</v>
      </c>
      <c r="ID6" s="173">
        <f t="shared" si="330"/>
        <v>5653378</v>
      </c>
      <c r="IE6" s="218">
        <f t="shared" ref="IE6:IN6" si="331">SUM(IE8:IE23)</f>
        <v>73306044</v>
      </c>
      <c r="IF6" s="199">
        <f t="shared" si="331"/>
        <v>0</v>
      </c>
      <c r="IG6" s="199">
        <f t="shared" si="331"/>
        <v>0</v>
      </c>
      <c r="IH6" s="199">
        <f t="shared" si="331"/>
        <v>0</v>
      </c>
      <c r="II6" s="199">
        <f t="shared" si="331"/>
        <v>0</v>
      </c>
      <c r="IJ6" s="195">
        <f t="shared" si="331"/>
        <v>74328190</v>
      </c>
      <c r="IK6" s="173">
        <f t="shared" si="331"/>
        <v>47236102</v>
      </c>
      <c r="IL6" s="173">
        <f t="shared" si="331"/>
        <v>13510636</v>
      </c>
      <c r="IM6" s="173">
        <f t="shared" si="331"/>
        <v>9456796</v>
      </c>
      <c r="IN6" s="173">
        <f t="shared" si="331"/>
        <v>6101310</v>
      </c>
      <c r="IO6" s="195">
        <f t="shared" ref="IO6:IS6" si="332">SUM(IO8:IO23)</f>
        <v>76442242</v>
      </c>
      <c r="IP6" s="173">
        <f t="shared" si="332"/>
        <v>47105667</v>
      </c>
      <c r="IQ6" s="173">
        <f t="shared" si="332"/>
        <v>13285332</v>
      </c>
      <c r="IR6" s="173">
        <f t="shared" si="332"/>
        <v>10220656</v>
      </c>
      <c r="IS6" s="173">
        <f t="shared" si="332"/>
        <v>14021734</v>
      </c>
      <c r="IT6" s="173">
        <f t="shared" ref="IT6:IX6" si="333">SUM(IT8:IT23)</f>
        <v>2841112</v>
      </c>
      <c r="IU6" s="173">
        <f t="shared" si="333"/>
        <v>23616</v>
      </c>
      <c r="IV6" s="173">
        <f t="shared" si="333"/>
        <v>446627</v>
      </c>
      <c r="IW6" s="173">
        <f t="shared" si="333"/>
        <v>7945599</v>
      </c>
      <c r="IX6" s="173">
        <f t="shared" si="333"/>
        <v>2764780</v>
      </c>
      <c r="IY6" s="390">
        <f>SUM(IY8:IY23)</f>
        <v>6187696</v>
      </c>
      <c r="IZ6" s="199">
        <f t="shared" ref="IZ6:JC6" si="334">SUM(IZ8:IZ23)</f>
        <v>5170230</v>
      </c>
      <c r="JA6" s="199">
        <f t="shared" si="334"/>
        <v>698211</v>
      </c>
      <c r="JB6" s="199">
        <f t="shared" si="334"/>
        <v>242770</v>
      </c>
      <c r="JC6" s="199">
        <f t="shared" si="334"/>
        <v>70559</v>
      </c>
      <c r="JD6" s="390">
        <f>SUM(JD8:JD23)</f>
        <v>12734835</v>
      </c>
      <c r="JE6" s="199">
        <f t="shared" ref="JE6:JH6" si="335">SUM(JE8:JE23)</f>
        <v>10576488</v>
      </c>
      <c r="JF6" s="199">
        <f t="shared" si="335"/>
        <v>1752812</v>
      </c>
      <c r="JG6" s="199">
        <f t="shared" si="335"/>
        <v>676325</v>
      </c>
      <c r="JH6" s="199">
        <f t="shared" si="335"/>
        <v>405535</v>
      </c>
      <c r="JI6" s="390">
        <f>SUM(JI8:JI23)</f>
        <v>17128355</v>
      </c>
      <c r="JJ6" s="199">
        <f t="shared" ref="JJ6:JR6" si="336">SUM(JJ8:JJ23)</f>
        <v>13387528</v>
      </c>
      <c r="JK6" s="199">
        <f t="shared" si="336"/>
        <v>2784593</v>
      </c>
      <c r="JL6" s="199">
        <f t="shared" si="336"/>
        <v>1233192</v>
      </c>
      <c r="JM6" s="199">
        <f t="shared" si="336"/>
        <v>956234</v>
      </c>
      <c r="JN6" s="199">
        <f t="shared" si="336"/>
        <v>18701397</v>
      </c>
      <c r="JO6" s="199">
        <f t="shared" si="336"/>
        <v>13167858</v>
      </c>
      <c r="JP6" s="199">
        <f t="shared" si="336"/>
        <v>3257920</v>
      </c>
      <c r="JQ6" s="199">
        <f t="shared" si="336"/>
        <v>1657265</v>
      </c>
      <c r="JR6" s="199">
        <f t="shared" si="336"/>
        <v>1180224</v>
      </c>
      <c r="JS6" s="390">
        <f t="shared" ref="JS6:JW6" si="337">SUM(JS8:JS23)</f>
        <v>21147709</v>
      </c>
      <c r="JT6" s="199">
        <f t="shared" si="337"/>
        <v>15916317</v>
      </c>
      <c r="JU6" s="199">
        <f t="shared" si="337"/>
        <v>3967091</v>
      </c>
      <c r="JV6" s="199">
        <f t="shared" si="337"/>
        <v>2135214</v>
      </c>
      <c r="JW6" s="199">
        <f t="shared" si="337"/>
        <v>1264301</v>
      </c>
      <c r="JX6" s="390">
        <f t="shared" ref="JX6:KB6" si="338">SUM(JX8:JX23)</f>
        <v>21516735.212000001</v>
      </c>
      <c r="JY6" s="199">
        <f t="shared" si="338"/>
        <v>16130813.506999997</v>
      </c>
      <c r="JZ6" s="199">
        <f t="shared" si="338"/>
        <v>4082336.139</v>
      </c>
      <c r="KA6" s="199">
        <f t="shared" si="338"/>
        <v>2236603.4169999999</v>
      </c>
      <c r="KB6" s="199">
        <f t="shared" si="338"/>
        <v>1303585.5660000008</v>
      </c>
      <c r="KC6" s="199">
        <f t="shared" ref="KC6:KD6" si="339">SUM(KC8:KC23)</f>
        <v>21929977</v>
      </c>
      <c r="KD6" s="199">
        <f t="shared" si="339"/>
        <v>14550754</v>
      </c>
      <c r="KE6" s="199">
        <f t="shared" ref="KE6:KF6" si="340">SUM(KE8:KE23)</f>
        <v>4207045</v>
      </c>
      <c r="KF6" s="199">
        <f t="shared" si="340"/>
        <v>2346651</v>
      </c>
      <c r="KG6" s="199">
        <f t="shared" ref="KG6:KH6" si="341">SUM(KG8:KG23)</f>
        <v>1332207</v>
      </c>
      <c r="KH6" s="199">
        <f t="shared" si="341"/>
        <v>22318861</v>
      </c>
      <c r="KI6" s="199">
        <f t="shared" ref="KI6:KJ6" si="342">SUM(KI8:KI23)</f>
        <v>14696699</v>
      </c>
      <c r="KJ6" s="199">
        <f t="shared" si="342"/>
        <v>4327209</v>
      </c>
      <c r="KK6" s="199">
        <f t="shared" ref="KK6:KV6" si="343">SUM(KK8:KK23)</f>
        <v>2446183</v>
      </c>
      <c r="KL6" s="199">
        <f t="shared" si="343"/>
        <v>1361253</v>
      </c>
      <c r="KM6" s="199">
        <f t="shared" ref="KM6:KQ6" si="344">SUM(KM8:KM23)</f>
        <v>23037462</v>
      </c>
      <c r="KN6" s="199">
        <f t="shared" si="344"/>
        <v>14958230</v>
      </c>
      <c r="KO6" s="199">
        <f t="shared" si="344"/>
        <v>4538930</v>
      </c>
      <c r="KP6" s="199">
        <f t="shared" si="344"/>
        <v>2663373</v>
      </c>
      <c r="KQ6" s="199">
        <f t="shared" si="344"/>
        <v>1403860</v>
      </c>
      <c r="KR6" s="199">
        <f t="shared" si="343"/>
        <v>23300502</v>
      </c>
      <c r="KS6" s="199">
        <f t="shared" si="343"/>
        <v>15055493</v>
      </c>
      <c r="KT6" s="199">
        <f t="shared" si="343"/>
        <v>4630002</v>
      </c>
      <c r="KU6" s="199">
        <f t="shared" si="343"/>
        <v>2709061</v>
      </c>
      <c r="KV6" s="199">
        <f t="shared" si="343"/>
        <v>1437979</v>
      </c>
      <c r="KW6" s="218">
        <f t="shared" ref="KW6:LA6" si="345">SUM(KW8:KW23)</f>
        <v>23721395</v>
      </c>
      <c r="KX6" s="199">
        <f t="shared" si="345"/>
        <v>15213892</v>
      </c>
      <c r="KY6" s="199">
        <f t="shared" si="345"/>
        <v>4711930</v>
      </c>
      <c r="KZ6" s="199">
        <f t="shared" si="345"/>
        <v>2843141</v>
      </c>
      <c r="LA6" s="199">
        <f t="shared" si="345"/>
        <v>1547107</v>
      </c>
      <c r="LB6" s="649">
        <f t="shared" ref="LB6:LF6" si="346">SUM(LB8:LB23)</f>
        <v>24032194</v>
      </c>
      <c r="LC6" s="663">
        <f t="shared" si="346"/>
        <v>15192066</v>
      </c>
      <c r="LD6" s="663">
        <f t="shared" si="346"/>
        <v>4818205</v>
      </c>
      <c r="LE6" s="663">
        <f t="shared" si="346"/>
        <v>3020524</v>
      </c>
      <c r="LF6" s="663">
        <f t="shared" si="346"/>
        <v>1614785</v>
      </c>
      <c r="LG6" s="664">
        <f t="shared" ref="LG6:LK6" si="347">SUM(LG8:LG23)</f>
        <v>24257022</v>
      </c>
      <c r="LH6" s="663">
        <f t="shared" si="347"/>
        <v>0</v>
      </c>
      <c r="LI6" s="173">
        <f t="shared" si="347"/>
        <v>0</v>
      </c>
      <c r="LJ6" s="173">
        <f t="shared" si="347"/>
        <v>0</v>
      </c>
      <c r="LK6" s="173">
        <f t="shared" si="347"/>
        <v>0</v>
      </c>
      <c r="LL6" s="664">
        <f t="shared" ref="LL6:LP6" si="348">SUM(LL8:LL23)</f>
        <v>24401125</v>
      </c>
      <c r="LM6" s="663">
        <f t="shared" si="348"/>
        <v>15240202</v>
      </c>
      <c r="LN6" s="173">
        <f t="shared" si="348"/>
        <v>4979335</v>
      </c>
      <c r="LO6" s="173">
        <f t="shared" si="348"/>
        <v>3148842</v>
      </c>
      <c r="LP6" s="173">
        <f t="shared" si="348"/>
        <v>1706118</v>
      </c>
      <c r="LQ6" s="664">
        <f t="shared" ref="LQ6:LU6" si="349">SUM(LQ8:LQ23)</f>
        <v>24320307</v>
      </c>
      <c r="LR6" s="663">
        <f t="shared" si="349"/>
        <v>14678455</v>
      </c>
      <c r="LS6" s="173">
        <f t="shared" si="349"/>
        <v>4736377</v>
      </c>
      <c r="LT6" s="173">
        <f t="shared" si="349"/>
        <v>3339686</v>
      </c>
      <c r="LU6" s="173">
        <f t="shared" si="349"/>
        <v>4197756</v>
      </c>
      <c r="LV6" s="173">
        <f t="shared" ref="LV6:LZ6" si="350">SUM(LV8:LV23)</f>
        <v>499089</v>
      </c>
      <c r="LW6" s="173">
        <f t="shared" si="350"/>
        <v>10626</v>
      </c>
      <c r="LX6" s="173">
        <f t="shared" si="350"/>
        <v>170775</v>
      </c>
      <c r="LY6" s="173">
        <f t="shared" si="350"/>
        <v>2622178</v>
      </c>
      <c r="LZ6" s="173">
        <f t="shared" si="350"/>
        <v>895088</v>
      </c>
      <c r="MA6" s="195">
        <f>SUM(MA8:MA23)</f>
        <v>2870950</v>
      </c>
      <c r="MB6" s="173">
        <f t="shared" ref="MB6:ME6" si="351">SUM(MB8:MB23)</f>
        <v>2381689</v>
      </c>
      <c r="MC6" s="173">
        <f t="shared" si="351"/>
        <v>382009</v>
      </c>
      <c r="MD6" s="173">
        <f t="shared" si="351"/>
        <v>170565</v>
      </c>
      <c r="ME6" s="173">
        <f t="shared" si="351"/>
        <v>107252</v>
      </c>
      <c r="MF6" s="172">
        <f>SUM(MF8:MF23)</f>
        <v>3627173</v>
      </c>
      <c r="MG6" s="173">
        <f t="shared" ref="MG6:MJ6" si="352">SUM(MG8:MG23)</f>
        <v>2862109</v>
      </c>
      <c r="MH6" s="173">
        <f t="shared" si="352"/>
        <v>542138</v>
      </c>
      <c r="MI6" s="173">
        <f t="shared" si="352"/>
        <v>268873</v>
      </c>
      <c r="MJ6" s="173">
        <f t="shared" si="352"/>
        <v>222926</v>
      </c>
      <c r="MK6" s="173">
        <f>SUM(MK8:MK23)</f>
        <v>4822863</v>
      </c>
      <c r="ML6" s="173">
        <f t="shared" ref="ML6:MO6" si="353">SUM(ML8:ML23)</f>
        <v>3372780</v>
      </c>
      <c r="MM6" s="173">
        <f t="shared" si="353"/>
        <v>809496</v>
      </c>
      <c r="MN6" s="173">
        <f t="shared" si="353"/>
        <v>455771</v>
      </c>
      <c r="MO6" s="173">
        <f t="shared" si="353"/>
        <v>329418</v>
      </c>
      <c r="MP6" s="172">
        <f>SUM(MP8:MP23)</f>
        <v>5209298</v>
      </c>
      <c r="MQ6" s="173">
        <f t="shared" ref="MQ6:MT6" si="354">SUM(MQ8:MQ23)</f>
        <v>3977715</v>
      </c>
      <c r="MR6" s="173">
        <f t="shared" si="354"/>
        <v>902062</v>
      </c>
      <c r="MS6" s="173">
        <f t="shared" si="354"/>
        <v>540734</v>
      </c>
      <c r="MT6" s="173">
        <f t="shared" si="354"/>
        <v>329521</v>
      </c>
      <c r="MU6" s="172">
        <f>SUM(MU8:MU23)</f>
        <v>0</v>
      </c>
      <c r="MV6" s="173">
        <f t="shared" ref="MV6:OX6" si="355">SUM(MV8:MV23)</f>
        <v>0</v>
      </c>
      <c r="MW6" s="173">
        <f t="shared" si="355"/>
        <v>0</v>
      </c>
      <c r="MX6" s="173">
        <f t="shared" si="355"/>
        <v>0</v>
      </c>
      <c r="MY6" s="198">
        <f t="shared" si="355"/>
        <v>0</v>
      </c>
      <c r="MZ6" s="198">
        <f t="shared" ref="MZ6:ND6" si="356">SUM(MZ8:MZ23)</f>
        <v>5548086</v>
      </c>
      <c r="NA6" s="198">
        <f t="shared" si="356"/>
        <v>3739654</v>
      </c>
      <c r="NB6" s="198">
        <f t="shared" si="356"/>
        <v>966909</v>
      </c>
      <c r="NC6" s="198">
        <f t="shared" si="356"/>
        <v>598859</v>
      </c>
      <c r="ND6" s="198">
        <f t="shared" si="356"/>
        <v>361457</v>
      </c>
      <c r="NE6" s="198">
        <f t="shared" ref="NE6:NF6" si="357">SUM(NE8:NE23)</f>
        <v>5735384</v>
      </c>
      <c r="NF6" s="198">
        <f t="shared" si="357"/>
        <v>3844961</v>
      </c>
      <c r="NG6" s="198">
        <f t="shared" ref="NG6:NH6" si="358">SUM(NG8:NG23)</f>
        <v>1009813</v>
      </c>
      <c r="NH6" s="198">
        <f t="shared" si="358"/>
        <v>629831</v>
      </c>
      <c r="NI6" s="198">
        <f t="shared" ref="NI6:NS6" si="359">SUM(NI8:NI23)</f>
        <v>374258</v>
      </c>
      <c r="NJ6" s="198">
        <f t="shared" ref="NJ6:NN6" si="360">SUM(NJ8:NJ23)</f>
        <v>6104787</v>
      </c>
      <c r="NK6" s="198">
        <f t="shared" si="360"/>
        <v>4034271</v>
      </c>
      <c r="NL6" s="198">
        <f t="shared" si="360"/>
        <v>1092320</v>
      </c>
      <c r="NM6" s="198">
        <f t="shared" si="360"/>
        <v>712500</v>
      </c>
      <c r="NN6" s="198">
        <f t="shared" si="360"/>
        <v>2439062</v>
      </c>
      <c r="NO6" s="198">
        <f t="shared" si="359"/>
        <v>6350971</v>
      </c>
      <c r="NP6" s="198">
        <f t="shared" si="359"/>
        <v>4176556</v>
      </c>
      <c r="NQ6" s="198">
        <f t="shared" si="359"/>
        <v>1155993</v>
      </c>
      <c r="NR6" s="198">
        <f t="shared" si="359"/>
        <v>740377</v>
      </c>
      <c r="NS6" s="198">
        <f t="shared" si="359"/>
        <v>423455</v>
      </c>
      <c r="NT6" s="173">
        <f t="shared" ref="NT6:NX6" si="361">SUM(NT8:NT23)</f>
        <v>6592376</v>
      </c>
      <c r="NU6" s="173">
        <f t="shared" si="361"/>
        <v>4282096</v>
      </c>
      <c r="NV6" s="173">
        <f t="shared" si="361"/>
        <v>1208925</v>
      </c>
      <c r="NW6" s="173">
        <f t="shared" si="361"/>
        <v>809153</v>
      </c>
      <c r="NX6" s="173">
        <f t="shared" si="361"/>
        <v>454577</v>
      </c>
      <c r="NY6" s="195">
        <f t="shared" ref="NY6:OC6" si="362">SUM(NY8:NY23)</f>
        <v>6832976</v>
      </c>
      <c r="NZ6" s="173">
        <f t="shared" si="362"/>
        <v>4372221</v>
      </c>
      <c r="OA6" s="173">
        <f t="shared" si="362"/>
        <v>1262011</v>
      </c>
      <c r="OB6" s="173">
        <f t="shared" si="362"/>
        <v>865556</v>
      </c>
      <c r="OC6" s="173">
        <f t="shared" si="362"/>
        <v>501569</v>
      </c>
      <c r="OD6" s="195">
        <f t="shared" ref="OD6:OM6" si="363">SUM(OD8:OD23)</f>
        <v>6989559</v>
      </c>
      <c r="OE6" s="173">
        <f t="shared" si="363"/>
        <v>0</v>
      </c>
      <c r="OF6" s="173">
        <f t="shared" si="363"/>
        <v>0</v>
      </c>
      <c r="OG6" s="173">
        <f t="shared" si="363"/>
        <v>0</v>
      </c>
      <c r="OH6" s="173">
        <f t="shared" si="363"/>
        <v>0</v>
      </c>
      <c r="OI6" s="195">
        <f t="shared" si="363"/>
        <v>7183820</v>
      </c>
      <c r="OJ6" s="173">
        <f t="shared" si="363"/>
        <v>4535047</v>
      </c>
      <c r="OK6" s="173">
        <f t="shared" si="363"/>
        <v>1367178</v>
      </c>
      <c r="OL6" s="173">
        <f t="shared" si="363"/>
        <v>937263</v>
      </c>
      <c r="OM6" s="173">
        <f t="shared" si="363"/>
        <v>544295</v>
      </c>
      <c r="ON6" s="195">
        <f t="shared" ref="ON6:OR6" si="364">SUM(ON8:ON23)</f>
        <v>7397586</v>
      </c>
      <c r="OO6" s="173">
        <f t="shared" si="364"/>
        <v>4498129</v>
      </c>
      <c r="OP6" s="173">
        <f t="shared" si="364"/>
        <v>1351353</v>
      </c>
      <c r="OQ6" s="173">
        <f t="shared" si="364"/>
        <v>1038605</v>
      </c>
      <c r="OR6" s="173">
        <f t="shared" si="364"/>
        <v>277705</v>
      </c>
      <c r="OS6" s="173">
        <f t="shared" ref="OS6:OW6" si="365">SUM(OS8:OS23)</f>
        <v>190725</v>
      </c>
      <c r="OT6" s="173">
        <f t="shared" si="365"/>
        <v>3546</v>
      </c>
      <c r="OU6" s="173">
        <f t="shared" si="365"/>
        <v>48775</v>
      </c>
      <c r="OV6" s="173">
        <f t="shared" si="365"/>
        <v>817597</v>
      </c>
      <c r="OW6" s="173">
        <f t="shared" si="365"/>
        <v>277705</v>
      </c>
      <c r="OX6" s="172">
        <f t="shared" si="355"/>
        <v>11353444</v>
      </c>
      <c r="OY6" s="173">
        <f t="shared" ref="OY6:PG6" si="366">SUM(OY8:OY23)</f>
        <v>8142549</v>
      </c>
      <c r="OZ6" s="173">
        <f t="shared" si="366"/>
        <v>1091494</v>
      </c>
      <c r="PA6" s="173">
        <f t="shared" si="366"/>
        <v>3084096</v>
      </c>
      <c r="PB6" s="173">
        <f t="shared" si="366"/>
        <v>1019649</v>
      </c>
      <c r="PC6" s="172">
        <f t="shared" si="366"/>
        <v>18112798</v>
      </c>
      <c r="PD6" s="173">
        <f t="shared" si="366"/>
        <v>14927326</v>
      </c>
      <c r="PE6" s="173">
        <f t="shared" si="366"/>
        <v>1992280</v>
      </c>
      <c r="PF6" s="173">
        <f t="shared" si="366"/>
        <v>1033061</v>
      </c>
      <c r="PG6" s="173">
        <f t="shared" si="366"/>
        <v>1193192</v>
      </c>
      <c r="PH6" s="172">
        <f>SUM(PH8:PH23)</f>
        <v>20847575</v>
      </c>
      <c r="PI6" s="173">
        <f t="shared" ref="PI6:PL6" si="367">SUM(PI8:PI23)</f>
        <v>16570602</v>
      </c>
      <c r="PJ6" s="173">
        <f t="shared" si="367"/>
        <v>2639218</v>
      </c>
      <c r="PK6" s="173">
        <f t="shared" si="367"/>
        <v>1727654</v>
      </c>
      <c r="PL6" s="173">
        <f t="shared" si="367"/>
        <v>1637755</v>
      </c>
      <c r="PM6" s="173">
        <f>SUM(PM8:PM23)</f>
        <v>22367424</v>
      </c>
      <c r="PN6" s="173">
        <f t="shared" ref="PN6:PQ6" si="368">SUM(PN8:PN23)</f>
        <v>16699714</v>
      </c>
      <c r="PO6" s="173">
        <f t="shared" si="368"/>
        <v>2731682</v>
      </c>
      <c r="PP6" s="173">
        <f t="shared" si="368"/>
        <v>1646103</v>
      </c>
      <c r="PQ6" s="173">
        <f t="shared" si="368"/>
        <v>1758328</v>
      </c>
      <c r="PR6" s="390">
        <f>SUM(PR8:PR23)</f>
        <v>0</v>
      </c>
      <c r="PS6" s="199">
        <f t="shared" ref="PS6:PV6" si="369">SUM(PS8:PS23)</f>
        <v>0</v>
      </c>
      <c r="PT6" s="199">
        <f t="shared" si="369"/>
        <v>0</v>
      </c>
      <c r="PU6" s="199">
        <f t="shared" si="369"/>
        <v>0</v>
      </c>
      <c r="PV6" s="199">
        <f t="shared" si="369"/>
        <v>0</v>
      </c>
      <c r="PW6" s="199">
        <f t="shared" ref="PW6:QA6" si="370">SUM(PW8:PW23)</f>
        <v>25617944</v>
      </c>
      <c r="PX6" s="199">
        <f t="shared" si="370"/>
        <v>18401523</v>
      </c>
      <c r="PY6" s="199">
        <f t="shared" si="370"/>
        <v>3368256</v>
      </c>
      <c r="PZ6" s="199">
        <f t="shared" si="370"/>
        <v>2154744</v>
      </c>
      <c r="QA6" s="487">
        <f t="shared" si="370"/>
        <v>2084741</v>
      </c>
      <c r="QB6" s="199">
        <f>SUM(QB8:QB23)</f>
        <v>26458404</v>
      </c>
      <c r="QC6" s="199">
        <f t="shared" ref="QC6" si="371">SUM(QC8:QC23)</f>
        <v>18863911</v>
      </c>
      <c r="QD6" s="199">
        <f t="shared" ref="QD6:QE6" si="372">SUM(QD8:QD23)</f>
        <v>3528009</v>
      </c>
      <c r="QE6" s="199">
        <f t="shared" si="372"/>
        <v>2271111</v>
      </c>
      <c r="QF6" s="199">
        <f t="shared" ref="QF6:QP6" si="373">SUM(QF8:QF23)</f>
        <v>2203313</v>
      </c>
      <c r="QG6" s="218">
        <f t="shared" ref="QG6:QK6" si="374">SUM(QG8:QG23)</f>
        <v>28115908</v>
      </c>
      <c r="QH6" s="199">
        <f t="shared" si="374"/>
        <v>19744280</v>
      </c>
      <c r="QI6" s="199">
        <f t="shared" si="374"/>
        <v>3820575</v>
      </c>
      <c r="QJ6" s="199">
        <f t="shared" si="374"/>
        <v>2542683</v>
      </c>
      <c r="QK6" s="199">
        <f t="shared" si="374"/>
        <v>2439062</v>
      </c>
      <c r="QL6" s="218">
        <f t="shared" si="373"/>
        <v>29258267</v>
      </c>
      <c r="QM6" s="199">
        <f t="shared" si="373"/>
        <v>20362021</v>
      </c>
      <c r="QN6" s="199">
        <f t="shared" si="373"/>
        <v>4032384</v>
      </c>
      <c r="QO6" s="199">
        <f t="shared" si="373"/>
        <v>2699244</v>
      </c>
      <c r="QP6" s="199">
        <f t="shared" si="373"/>
        <v>2555661</v>
      </c>
      <c r="QQ6" s="218">
        <f t="shared" ref="QQ6:QZ6" si="375">SUM(QQ8:QQ23)</f>
        <v>30239431</v>
      </c>
      <c r="QR6" s="199">
        <f t="shared" si="375"/>
        <v>20850280</v>
      </c>
      <c r="QS6" s="199">
        <f t="shared" si="375"/>
        <v>4238468</v>
      </c>
      <c r="QT6" s="199">
        <f t="shared" si="375"/>
        <v>2897262</v>
      </c>
      <c r="QU6" s="199">
        <f t="shared" si="375"/>
        <v>2695968</v>
      </c>
      <c r="QV6" s="195">
        <f t="shared" si="375"/>
        <v>31429879</v>
      </c>
      <c r="QW6" s="173">
        <f t="shared" si="375"/>
        <v>21465929</v>
      </c>
      <c r="QX6" s="173">
        <f t="shared" si="375"/>
        <v>4414167</v>
      </c>
      <c r="QY6" s="173">
        <f t="shared" si="375"/>
        <v>3119814</v>
      </c>
      <c r="QZ6" s="173">
        <f t="shared" si="375"/>
        <v>2981801</v>
      </c>
      <c r="RA6" s="195">
        <f t="shared" ref="RA6:RJ6" si="376">SUM(RA8:RA23)</f>
        <v>32433012</v>
      </c>
      <c r="RB6" s="173">
        <f t="shared" si="376"/>
        <v>0</v>
      </c>
      <c r="RC6" s="173">
        <f t="shared" si="376"/>
        <v>0</v>
      </c>
      <c r="RD6" s="173">
        <f t="shared" si="376"/>
        <v>0</v>
      </c>
      <c r="RE6" s="173">
        <f t="shared" si="376"/>
        <v>0</v>
      </c>
      <c r="RF6" s="195">
        <f t="shared" si="376"/>
        <v>33311913</v>
      </c>
      <c r="RG6" s="173">
        <f t="shared" si="376"/>
        <v>22305686</v>
      </c>
      <c r="RH6" s="173">
        <f t="shared" si="376"/>
        <v>4848867</v>
      </c>
      <c r="RI6" s="173">
        <f t="shared" si="376"/>
        <v>3530820</v>
      </c>
      <c r="RJ6" s="173">
        <f t="shared" si="376"/>
        <v>3290371</v>
      </c>
      <c r="RK6" s="195">
        <f t="shared" ref="RK6:RO6" si="377">SUM(RK8:RK23)</f>
        <v>35830290</v>
      </c>
      <c r="RL6" s="173">
        <f t="shared" si="377"/>
        <v>23199624</v>
      </c>
      <c r="RM6" s="173">
        <f t="shared" si="377"/>
        <v>5087463</v>
      </c>
      <c r="RN6" s="173">
        <f t="shared" si="377"/>
        <v>4049636</v>
      </c>
      <c r="RO6" s="173">
        <f t="shared" si="377"/>
        <v>6726700</v>
      </c>
      <c r="RP6" s="173">
        <f t="shared" ref="RP6:RT6" si="378">SUM(RP8:RP23)</f>
        <v>2100137</v>
      </c>
      <c r="RQ6" s="173">
        <f t="shared" si="378"/>
        <v>10733</v>
      </c>
      <c r="RR6" s="173">
        <f t="shared" si="378"/>
        <v>157546</v>
      </c>
      <c r="RS6" s="173">
        <f t="shared" si="378"/>
        <v>3488296</v>
      </c>
      <c r="RT6" s="173">
        <f t="shared" si="378"/>
        <v>969988</v>
      </c>
      <c r="RU6" s="172">
        <f>SUM(RU8:RU23)</f>
        <v>6573082</v>
      </c>
      <c r="RV6" s="173">
        <f t="shared" ref="RV6:RY6" si="379">SUM(RV8:RV23)</f>
        <v>5753449</v>
      </c>
      <c r="RW6" s="173">
        <f t="shared" si="379"/>
        <v>599921</v>
      </c>
      <c r="RX6" s="173">
        <f t="shared" si="379"/>
        <v>242832</v>
      </c>
      <c r="RY6" s="173">
        <f t="shared" si="379"/>
        <v>219712</v>
      </c>
      <c r="RZ6" s="172">
        <f>SUM(RZ8:RZ23)</f>
        <v>9336380</v>
      </c>
      <c r="SA6" s="173">
        <f t="shared" ref="SA6:SD6" si="380">SUM(SA8:SA23)</f>
        <v>7778900</v>
      </c>
      <c r="SB6" s="173">
        <f t="shared" si="380"/>
        <v>980391</v>
      </c>
      <c r="SC6" s="173">
        <f t="shared" si="380"/>
        <v>483313</v>
      </c>
      <c r="SD6" s="173">
        <f t="shared" si="380"/>
        <v>577089</v>
      </c>
      <c r="SE6" s="195">
        <f>SUM(SE8:SE23)</f>
        <v>11284471</v>
      </c>
      <c r="SF6" s="173">
        <f t="shared" ref="SF6:SI6" si="381">SUM(SF8:SF23)</f>
        <v>8543615</v>
      </c>
      <c r="SG6" s="173">
        <f t="shared" si="381"/>
        <v>1291916</v>
      </c>
      <c r="SH6" s="173">
        <f t="shared" si="381"/>
        <v>815605</v>
      </c>
      <c r="SI6" s="173">
        <f t="shared" si="381"/>
        <v>863176</v>
      </c>
      <c r="SJ6" s="172">
        <f>SUM(SJ8:SJ23)</f>
        <v>12184080</v>
      </c>
      <c r="SK6" s="173">
        <f t="shared" ref="SK6:SN6" si="382">SUM(SK8:SK23)</f>
        <v>9776798</v>
      </c>
      <c r="SL6" s="173">
        <f t="shared" si="382"/>
        <v>1461251</v>
      </c>
      <c r="SM6" s="173">
        <f t="shared" si="382"/>
        <v>970553</v>
      </c>
      <c r="SN6" s="173">
        <f t="shared" si="382"/>
        <v>946031</v>
      </c>
      <c r="SO6" s="172">
        <f>SUM(SO8:SO23)</f>
        <v>12438148.312999999</v>
      </c>
      <c r="SP6" s="173">
        <f t="shared" ref="SP6:SX6" si="383">SUM(SP8:SP23)</f>
        <v>9947738.6849999987</v>
      </c>
      <c r="SQ6" s="173">
        <f t="shared" si="383"/>
        <v>1511822.335</v>
      </c>
      <c r="SR6" s="173">
        <f t="shared" si="383"/>
        <v>1010565.547</v>
      </c>
      <c r="SS6" s="173">
        <f t="shared" si="383"/>
        <v>978587.29299999983</v>
      </c>
      <c r="ST6" s="218">
        <f t="shared" si="383"/>
        <v>12757069</v>
      </c>
      <c r="SU6" s="199">
        <f t="shared" si="383"/>
        <v>9307048</v>
      </c>
      <c r="SV6" s="199">
        <f t="shared" si="383"/>
        <v>1563030</v>
      </c>
      <c r="SW6" s="199">
        <f t="shared" si="383"/>
        <v>1073583</v>
      </c>
      <c r="SX6" s="487">
        <f t="shared" si="383"/>
        <v>1008335</v>
      </c>
      <c r="SY6" s="173">
        <f t="shared" ref="SY6:SZ6" si="384">SUM(SY8:SY23)</f>
        <v>13126723</v>
      </c>
      <c r="SZ6" s="173">
        <f t="shared" si="384"/>
        <v>9506503</v>
      </c>
      <c r="TA6" s="173">
        <f t="shared" ref="TA6:TB6" si="385">SUM(TA8:TA23)</f>
        <v>1621229</v>
      </c>
      <c r="TB6" s="173">
        <f t="shared" si="385"/>
        <v>1131815</v>
      </c>
      <c r="TC6" s="173">
        <f t="shared" ref="TC6:TM6" si="386">SUM(TC8:TC23)</f>
        <v>1068523</v>
      </c>
      <c r="TD6" s="173">
        <f t="shared" ref="TD6:TI6" si="387">SUM(TD8:TD23)</f>
        <v>13800711</v>
      </c>
      <c r="TE6" s="173">
        <f t="shared" si="387"/>
        <v>9859430</v>
      </c>
      <c r="TF6" s="173">
        <f t="shared" si="387"/>
        <v>1730545</v>
      </c>
      <c r="TG6" s="173">
        <f t="shared" si="387"/>
        <v>1256682</v>
      </c>
      <c r="TH6" s="173">
        <f t="shared" si="387"/>
        <v>1169738</v>
      </c>
      <c r="TI6" s="173">
        <f t="shared" si="387"/>
        <v>14385701</v>
      </c>
      <c r="TJ6" s="173">
        <f t="shared" si="386"/>
        <v>10164169</v>
      </c>
      <c r="TK6" s="173">
        <f t="shared" si="386"/>
        <v>1818916</v>
      </c>
      <c r="TL6" s="173">
        <f t="shared" si="386"/>
        <v>1355775</v>
      </c>
      <c r="TM6" s="173">
        <f t="shared" si="386"/>
        <v>1263029</v>
      </c>
      <c r="TN6" s="173">
        <f t="shared" ref="TN6:TW6" si="388">SUM(TN8:TN23)</f>
        <v>14767273</v>
      </c>
      <c r="TO6" s="173">
        <f t="shared" si="388"/>
        <v>10369917</v>
      </c>
      <c r="TP6" s="173">
        <f t="shared" si="388"/>
        <v>1902244</v>
      </c>
      <c r="TQ6" s="173">
        <f t="shared" si="388"/>
        <v>1423603</v>
      </c>
      <c r="TR6" s="173">
        <f t="shared" si="388"/>
        <v>1318770</v>
      </c>
      <c r="TS6" s="195">
        <f t="shared" si="388"/>
        <v>15341256</v>
      </c>
      <c r="TT6" s="173">
        <f t="shared" si="388"/>
        <v>10683255</v>
      </c>
      <c r="TU6" s="173">
        <f t="shared" si="388"/>
        <v>1965429</v>
      </c>
      <c r="TV6" s="173">
        <f t="shared" si="388"/>
        <v>1561843</v>
      </c>
      <c r="TW6" s="173">
        <f t="shared" si="388"/>
        <v>1406951</v>
      </c>
      <c r="TX6" s="195">
        <f t="shared" ref="TX6:UG6" si="389">SUM(TX8:TX23)</f>
        <v>15779358</v>
      </c>
      <c r="TY6" s="173">
        <f t="shared" si="389"/>
        <v>0</v>
      </c>
      <c r="TZ6" s="173">
        <f t="shared" si="389"/>
        <v>0</v>
      </c>
      <c r="UA6" s="173">
        <f t="shared" si="389"/>
        <v>0</v>
      </c>
      <c r="UB6" s="173">
        <f t="shared" si="389"/>
        <v>0</v>
      </c>
      <c r="UC6" s="195">
        <f t="shared" si="389"/>
        <v>16168152</v>
      </c>
      <c r="UD6" s="173">
        <f t="shared" si="389"/>
        <v>11039006</v>
      </c>
      <c r="UE6" s="173">
        <f t="shared" si="389"/>
        <v>2137264</v>
      </c>
      <c r="UF6" s="173">
        <f t="shared" si="389"/>
        <v>1767947</v>
      </c>
      <c r="UG6" s="173">
        <f t="shared" si="389"/>
        <v>1548446</v>
      </c>
      <c r="UH6" s="195">
        <f t="shared" ref="UH6:UL6" si="390">SUM(UH8:UH23)</f>
        <v>17415218</v>
      </c>
      <c r="UI6" s="173">
        <f t="shared" si="390"/>
        <v>11516156</v>
      </c>
      <c r="UJ6" s="173">
        <f t="shared" si="390"/>
        <v>2260249</v>
      </c>
      <c r="UK6" s="173">
        <f t="shared" si="390"/>
        <v>2015007</v>
      </c>
      <c r="UL6" s="173">
        <f t="shared" si="390"/>
        <v>3243445</v>
      </c>
      <c r="UM6" s="173">
        <f t="shared" ref="UM6:UQ6" si="391">SUM(UM8:UM23)</f>
        <v>959371</v>
      </c>
      <c r="UN6" s="173">
        <f t="shared" si="391"/>
        <v>5567</v>
      </c>
      <c r="UO6" s="173">
        <f t="shared" si="391"/>
        <v>72538</v>
      </c>
      <c r="UP6" s="173">
        <f t="shared" si="391"/>
        <v>1733059</v>
      </c>
      <c r="UQ6" s="173">
        <f t="shared" si="391"/>
        <v>692685</v>
      </c>
      <c r="UR6" s="173">
        <f t="shared" ref="UR6:UW6" si="392">SUM(UR8:UR23)</f>
        <v>1829425</v>
      </c>
      <c r="US6" s="215">
        <f t="shared" si="392"/>
        <v>1094198</v>
      </c>
      <c r="UT6" s="215">
        <f t="shared" si="392"/>
        <v>735227</v>
      </c>
      <c r="UU6" s="173">
        <f t="shared" si="392"/>
        <v>150514</v>
      </c>
      <c r="UV6" s="215">
        <f t="shared" si="392"/>
        <v>57175</v>
      </c>
      <c r="UW6" s="173">
        <f t="shared" si="392"/>
        <v>93339</v>
      </c>
      <c r="UX6" s="195">
        <f t="shared" ref="UX6:VF6" si="393">SUM(UX8:UX23)</f>
        <v>3254997</v>
      </c>
      <c r="UY6" s="215">
        <f t="shared" si="393"/>
        <v>1906132</v>
      </c>
      <c r="UZ6" s="215">
        <f t="shared" si="393"/>
        <v>1348865</v>
      </c>
      <c r="VA6" s="173">
        <f t="shared" si="393"/>
        <v>2948971</v>
      </c>
      <c r="VB6" s="215">
        <f t="shared" si="393"/>
        <v>1768699</v>
      </c>
      <c r="VC6" s="215">
        <f t="shared" si="393"/>
        <v>1180272</v>
      </c>
      <c r="VD6" s="173">
        <f t="shared" si="393"/>
        <v>218029</v>
      </c>
      <c r="VE6" s="215">
        <f t="shared" si="393"/>
        <v>81789</v>
      </c>
      <c r="VF6" s="173">
        <f t="shared" si="393"/>
        <v>136240</v>
      </c>
      <c r="VG6" s="173">
        <f t="shared" ref="VG6:WF6" si="394">SUM(VG8:VG23)</f>
        <v>87997</v>
      </c>
      <c r="VH6" s="173">
        <f t="shared" si="394"/>
        <v>55644</v>
      </c>
      <c r="VI6" s="173">
        <f t="shared" si="394"/>
        <v>32353</v>
      </c>
      <c r="VJ6" s="195">
        <f t="shared" si="394"/>
        <v>6428016</v>
      </c>
      <c r="VK6" s="173">
        <f t="shared" si="394"/>
        <v>3697041</v>
      </c>
      <c r="VL6" s="173">
        <f t="shared" si="394"/>
        <v>2730975</v>
      </c>
      <c r="VM6" s="216">
        <f t="shared" si="394"/>
        <v>6000640</v>
      </c>
      <c r="VN6" s="215">
        <f t="shared" si="394"/>
        <v>3302917</v>
      </c>
      <c r="VO6" s="215">
        <f t="shared" si="394"/>
        <v>2297203</v>
      </c>
      <c r="VP6" s="215">
        <f t="shared" si="394"/>
        <v>394124</v>
      </c>
      <c r="VQ6" s="215">
        <f t="shared" si="394"/>
        <v>433772</v>
      </c>
      <c r="VR6" s="216">
        <f t="shared" si="394"/>
        <v>518716</v>
      </c>
      <c r="VS6" s="215">
        <f t="shared" si="394"/>
        <v>214440</v>
      </c>
      <c r="VT6" s="215">
        <f t="shared" si="394"/>
        <v>304276</v>
      </c>
      <c r="VU6" s="216">
        <f t="shared" si="394"/>
        <v>185511</v>
      </c>
      <c r="VV6" s="215">
        <f t="shared" si="394"/>
        <v>107545</v>
      </c>
      <c r="VW6" s="215">
        <f t="shared" si="394"/>
        <v>77966</v>
      </c>
      <c r="VX6" s="215">
        <f t="shared" si="394"/>
        <v>123669</v>
      </c>
      <c r="VY6" s="215">
        <f t="shared" si="394"/>
        <v>72139</v>
      </c>
      <c r="VZ6" s="215">
        <f t="shared" si="394"/>
        <v>51530</v>
      </c>
      <c r="WA6" s="215">
        <f t="shared" si="394"/>
        <v>7662</v>
      </c>
      <c r="WB6" s="215">
        <f t="shared" si="394"/>
        <v>5371</v>
      </c>
      <c r="WC6" s="215">
        <f t="shared" si="394"/>
        <v>2291</v>
      </c>
      <c r="WD6" s="215">
        <f t="shared" si="394"/>
        <v>116007</v>
      </c>
      <c r="WE6" s="215">
        <f t="shared" si="394"/>
        <v>66768</v>
      </c>
      <c r="WF6" s="215">
        <f t="shared" si="394"/>
        <v>49239</v>
      </c>
      <c r="WG6" s="195">
        <f t="shared" ref="WG6:YP6" si="395">SUM(WG8:WG23)</f>
        <v>8482494</v>
      </c>
      <c r="WH6" s="173">
        <f t="shared" si="395"/>
        <v>5439263</v>
      </c>
      <c r="WI6" s="173">
        <f t="shared" si="395"/>
        <v>4601074</v>
      </c>
      <c r="WJ6" s="173">
        <f t="shared" si="395"/>
        <v>5760860</v>
      </c>
      <c r="WK6" s="196">
        <f t="shared" si="395"/>
        <v>8484760</v>
      </c>
      <c r="WL6" s="215">
        <f t="shared" si="395"/>
        <v>4713398</v>
      </c>
      <c r="WM6" s="215">
        <f t="shared" si="395"/>
        <v>3771362</v>
      </c>
      <c r="WN6" s="215">
        <f t="shared" si="395"/>
        <v>725865</v>
      </c>
      <c r="WO6" s="215">
        <f t="shared" si="395"/>
        <v>829712</v>
      </c>
      <c r="WP6" s="173">
        <f t="shared" si="395"/>
        <v>709485</v>
      </c>
      <c r="WQ6" s="196">
        <f t="shared" si="395"/>
        <v>884585</v>
      </c>
      <c r="WR6" s="215">
        <f t="shared" si="395"/>
        <v>358619</v>
      </c>
      <c r="WS6" s="215">
        <f t="shared" si="395"/>
        <v>525966</v>
      </c>
      <c r="WT6" s="197">
        <f t="shared" si="395"/>
        <v>377623</v>
      </c>
      <c r="WU6" s="173">
        <f t="shared" si="395"/>
        <v>203698</v>
      </c>
      <c r="WV6" s="215">
        <f t="shared" si="395"/>
        <v>173925</v>
      </c>
      <c r="WW6" s="198">
        <f t="shared" si="395"/>
        <v>912397</v>
      </c>
      <c r="WX6" s="217">
        <f t="shared" si="395"/>
        <v>163548</v>
      </c>
      <c r="WY6" s="217">
        <f t="shared" si="395"/>
        <v>129821</v>
      </c>
      <c r="WZ6" s="217">
        <f t="shared" si="395"/>
        <v>3090</v>
      </c>
      <c r="XA6" s="217">
        <f t="shared" si="395"/>
        <v>1699</v>
      </c>
      <c r="XB6" s="217">
        <f t="shared" si="395"/>
        <v>1391</v>
      </c>
      <c r="XC6" s="217">
        <f t="shared" si="395"/>
        <v>290279</v>
      </c>
      <c r="XD6" s="217">
        <f t="shared" si="395"/>
        <v>161849</v>
      </c>
      <c r="XE6" s="217">
        <f t="shared" si="395"/>
        <v>128430</v>
      </c>
      <c r="XF6" s="215">
        <f t="shared" si="395"/>
        <v>19119</v>
      </c>
      <c r="XG6" s="215">
        <f t="shared" si="395"/>
        <v>16403</v>
      </c>
      <c r="XH6" s="215">
        <f t="shared" si="395"/>
        <v>142730</v>
      </c>
      <c r="XI6" s="215">
        <f t="shared" si="395"/>
        <v>112027</v>
      </c>
      <c r="XJ6" s="218">
        <f t="shared" si="395"/>
        <v>14485625</v>
      </c>
      <c r="XK6" s="173">
        <f t="shared" si="395"/>
        <v>7387571</v>
      </c>
      <c r="XL6" s="215">
        <f t="shared" si="395"/>
        <v>7098054</v>
      </c>
      <c r="XM6" s="199">
        <f t="shared" si="395"/>
        <v>12065217</v>
      </c>
      <c r="XN6" s="199">
        <f t="shared" si="395"/>
        <v>6305850</v>
      </c>
      <c r="XO6" s="199">
        <f t="shared" si="395"/>
        <v>5759367</v>
      </c>
      <c r="XP6" s="200">
        <f t="shared" si="395"/>
        <v>11493413</v>
      </c>
      <c r="XQ6" s="215">
        <f t="shared" si="395"/>
        <v>6020933</v>
      </c>
      <c r="XR6" s="215">
        <f t="shared" si="395"/>
        <v>5472480</v>
      </c>
      <c r="XS6" s="200">
        <f t="shared" si="395"/>
        <v>1450142</v>
      </c>
      <c r="XT6" s="173">
        <f t="shared" si="395"/>
        <v>580771</v>
      </c>
      <c r="XU6" s="215">
        <f t="shared" si="395"/>
        <v>869371</v>
      </c>
      <c r="XV6" s="200">
        <f t="shared" si="395"/>
        <v>764188</v>
      </c>
      <c r="XW6" s="215">
        <f t="shared" si="395"/>
        <v>378295</v>
      </c>
      <c r="XX6" s="173">
        <f t="shared" si="395"/>
        <v>385893</v>
      </c>
      <c r="XY6" s="200">
        <f t="shared" si="395"/>
        <v>970266</v>
      </c>
      <c r="XZ6" s="200">
        <f t="shared" si="395"/>
        <v>500950</v>
      </c>
      <c r="YA6" s="200">
        <f t="shared" si="395"/>
        <v>469316</v>
      </c>
      <c r="YB6" s="219">
        <f t="shared" si="395"/>
        <v>17544561</v>
      </c>
      <c r="YC6" s="173">
        <f t="shared" si="395"/>
        <v>13326934</v>
      </c>
      <c r="YD6" s="215">
        <f t="shared" si="395"/>
        <v>1922186</v>
      </c>
      <c r="YE6" s="215">
        <f t="shared" si="395"/>
        <v>1190332</v>
      </c>
      <c r="YF6" s="199">
        <f t="shared" si="395"/>
        <v>1428910</v>
      </c>
      <c r="YG6" s="195">
        <f t="shared" si="395"/>
        <v>18087547</v>
      </c>
      <c r="YH6" s="173">
        <f t="shared" si="395"/>
        <v>14599833</v>
      </c>
      <c r="YI6" s="173">
        <f t="shared" si="395"/>
        <v>2017001</v>
      </c>
      <c r="YJ6" s="201">
        <f t="shared" si="395"/>
        <v>1470713</v>
      </c>
      <c r="YK6" s="173">
        <f t="shared" si="395"/>
        <v>1267014</v>
      </c>
      <c r="YL6" s="195">
        <f t="shared" si="395"/>
        <v>18565217</v>
      </c>
      <c r="YM6" s="173">
        <f t="shared" si="395"/>
        <v>14962982</v>
      </c>
      <c r="YN6" s="173">
        <f t="shared" si="395"/>
        <v>2099292</v>
      </c>
      <c r="YO6" s="173">
        <f t="shared" si="395"/>
        <v>1502943</v>
      </c>
      <c r="YP6" s="173">
        <f t="shared" si="395"/>
        <v>1306464</v>
      </c>
      <c r="YQ6" s="195">
        <f t="shared" ref="YQ6:YU6" si="396">SUM(YQ8:YQ23)</f>
        <v>19043404</v>
      </c>
      <c r="YR6" s="173">
        <f t="shared" si="396"/>
        <v>15211913</v>
      </c>
      <c r="YS6" s="173">
        <f t="shared" si="396"/>
        <v>2219508</v>
      </c>
      <c r="YT6" s="173">
        <f>SUM(YT8:YT23)</f>
        <v>1611983</v>
      </c>
      <c r="YU6" s="173">
        <f t="shared" si="396"/>
        <v>1414066</v>
      </c>
      <c r="YV6" s="172">
        <f>SUM(YV8:YV23)</f>
        <v>19497608.986000001</v>
      </c>
      <c r="YW6" s="362">
        <f t="shared" ref="YW6:YZ6" si="397">SUM(YW8:YW23)</f>
        <v>15533325.210000003</v>
      </c>
      <c r="YX6" s="362">
        <f t="shared" si="397"/>
        <v>2306118.3089999999</v>
      </c>
      <c r="YY6" s="362">
        <f t="shared" si="397"/>
        <v>1469405.8239999998</v>
      </c>
      <c r="YZ6" s="362">
        <f t="shared" si="397"/>
        <v>1658165.4669999999</v>
      </c>
      <c r="ZA6" s="362">
        <f t="shared" ref="ZA6:ZE6" si="398">SUM(ZA8:ZA23)</f>
        <v>20069858</v>
      </c>
      <c r="ZB6" s="362">
        <f t="shared" si="398"/>
        <v>14661869</v>
      </c>
      <c r="ZC6" s="362">
        <f t="shared" si="398"/>
        <v>2401347</v>
      </c>
      <c r="ZD6" s="362">
        <f t="shared" si="398"/>
        <v>1555885</v>
      </c>
      <c r="ZE6" s="362">
        <f t="shared" si="398"/>
        <v>1723284</v>
      </c>
      <c r="ZF6" s="362">
        <f t="shared" ref="ZF6:ZG6" si="399">SUM(ZF8:ZF23)</f>
        <v>20723020</v>
      </c>
      <c r="ZG6" s="362">
        <f t="shared" si="399"/>
        <v>15018950</v>
      </c>
      <c r="ZH6" s="362">
        <f t="shared" ref="ZH6:ZI6" si="400">SUM(ZH8:ZH23)</f>
        <v>2518196</v>
      </c>
      <c r="ZI6" s="362">
        <f t="shared" si="400"/>
        <v>1641280</v>
      </c>
      <c r="ZJ6" s="362">
        <f t="shared" ref="ZJ6:ZT6" si="401">SUM(ZJ8:ZJ23)</f>
        <v>1829055</v>
      </c>
      <c r="ZK6" s="362">
        <f t="shared" ref="ZK6:ZO6" si="402">SUM(ZK8:ZK23)</f>
        <v>22011121</v>
      </c>
      <c r="ZL6" s="362">
        <f t="shared" si="402"/>
        <v>15710009</v>
      </c>
      <c r="ZM6" s="362">
        <f t="shared" si="402"/>
        <v>2728255</v>
      </c>
      <c r="ZN6" s="362">
        <f t="shared" si="402"/>
        <v>1830183</v>
      </c>
      <c r="ZO6" s="362">
        <f t="shared" si="402"/>
        <v>2043841</v>
      </c>
      <c r="ZP6" s="362">
        <f t="shared" si="401"/>
        <v>22907296</v>
      </c>
      <c r="ZQ6" s="362">
        <f t="shared" si="401"/>
        <v>16185465</v>
      </c>
      <c r="ZR6" s="362">
        <f t="shared" si="401"/>
        <v>2876391</v>
      </c>
      <c r="ZS6" s="362">
        <f t="shared" si="401"/>
        <v>1958867</v>
      </c>
      <c r="ZT6" s="362">
        <f t="shared" si="401"/>
        <v>2147415</v>
      </c>
      <c r="ZU6" s="173">
        <f t="shared" ref="ZU6:AAI6" si="403">SUM(ZU8:ZU23)</f>
        <v>23647055</v>
      </c>
      <c r="ZV6" s="173">
        <f t="shared" si="403"/>
        <v>16568184</v>
      </c>
      <c r="ZW6" s="173">
        <f t="shared" si="403"/>
        <v>3029543</v>
      </c>
      <c r="ZX6" s="173">
        <f t="shared" si="403"/>
        <v>2088109</v>
      </c>
      <c r="ZY6" s="173">
        <f t="shared" si="403"/>
        <v>2254622</v>
      </c>
      <c r="ZZ6" s="173">
        <f t="shared" ref="ZZ6:AAD6" si="404">SUM(ZZ8:ZZ23)</f>
        <v>1545494</v>
      </c>
      <c r="AAA6" s="173">
        <f t="shared" si="404"/>
        <v>3833</v>
      </c>
      <c r="AAB6" s="173">
        <f t="shared" si="404"/>
        <v>85455</v>
      </c>
      <c r="AAC6" s="173">
        <f t="shared" si="404"/>
        <v>341949</v>
      </c>
      <c r="AAD6" s="173">
        <f t="shared" si="404"/>
        <v>274833</v>
      </c>
      <c r="AAE6" s="195">
        <f t="shared" si="403"/>
        <v>24596903</v>
      </c>
      <c r="AAF6" s="173">
        <f t="shared" si="403"/>
        <v>17093708</v>
      </c>
      <c r="AAG6" s="173">
        <f t="shared" si="403"/>
        <v>3152156</v>
      </c>
      <c r="AAH6" s="173">
        <f t="shared" si="403"/>
        <v>2254258</v>
      </c>
      <c r="AAI6" s="173">
        <f t="shared" si="403"/>
        <v>2480232</v>
      </c>
      <c r="AAJ6" s="195">
        <f t="shared" ref="AAJ6:AAS6" si="405">SUM(AAJ8:AAJ23)</f>
        <v>25443453</v>
      </c>
      <c r="AAK6" s="173">
        <f t="shared" si="405"/>
        <v>0</v>
      </c>
      <c r="AAL6" s="173">
        <f t="shared" si="405"/>
        <v>0</v>
      </c>
      <c r="AAM6" s="173">
        <f t="shared" si="405"/>
        <v>0</v>
      </c>
      <c r="AAN6" s="173">
        <f t="shared" si="405"/>
        <v>0</v>
      </c>
      <c r="AAO6" s="195">
        <f t="shared" si="405"/>
        <v>26128093</v>
      </c>
      <c r="AAP6" s="173">
        <f t="shared" si="405"/>
        <v>17770639</v>
      </c>
      <c r="AAQ6" s="173">
        <f t="shared" si="405"/>
        <v>3481689</v>
      </c>
      <c r="AAR6" s="173">
        <f t="shared" si="405"/>
        <v>2593557</v>
      </c>
      <c r="AAS6" s="173">
        <f t="shared" si="405"/>
        <v>2746513</v>
      </c>
      <c r="AAT6" s="195">
        <f t="shared" ref="AAT6:AAX6" si="406">SUM(AAT8:AAT23)</f>
        <v>28432704</v>
      </c>
      <c r="AAU6" s="173">
        <f t="shared" si="406"/>
        <v>18701495</v>
      </c>
      <c r="AAV6" s="173">
        <f t="shared" si="406"/>
        <v>3736110</v>
      </c>
      <c r="AAW6" s="173">
        <f t="shared" si="406"/>
        <v>3011031</v>
      </c>
      <c r="AAX6" s="173">
        <f t="shared" si="406"/>
        <v>5389771</v>
      </c>
      <c r="AAY6" s="173">
        <f t="shared" ref="AAY6:ABC6" si="407">SUM(AAY8:AAY23)</f>
        <v>1909412</v>
      </c>
      <c r="AAZ6" s="173">
        <f t="shared" si="407"/>
        <v>7411</v>
      </c>
      <c r="ABA6" s="173">
        <f t="shared" si="407"/>
        <v>109564</v>
      </c>
      <c r="ABB6" s="173">
        <f t="shared" si="407"/>
        <v>2670699</v>
      </c>
      <c r="ABC6" s="173">
        <f t="shared" si="407"/>
        <v>692685</v>
      </c>
      <c r="ABD6" s="172">
        <f t="shared" ref="ABD6:ABN6" si="408">SUM(ABD8:ABD23)</f>
        <v>5149245</v>
      </c>
      <c r="ABE6" s="173">
        <f t="shared" si="408"/>
        <v>4286317</v>
      </c>
      <c r="ABF6" s="173">
        <f t="shared" si="408"/>
        <v>469751</v>
      </c>
      <c r="ABG6" s="173">
        <f t="shared" si="408"/>
        <v>280875</v>
      </c>
      <c r="ABH6" s="173">
        <f t="shared" si="408"/>
        <v>393177</v>
      </c>
      <c r="ABI6" s="218">
        <f t="shared" si="408"/>
        <v>6260090</v>
      </c>
      <c r="ABJ6" s="173">
        <f t="shared" si="408"/>
        <v>4783319</v>
      </c>
      <c r="ABK6" s="215">
        <f t="shared" si="408"/>
        <v>630270</v>
      </c>
      <c r="ABL6" s="215">
        <f t="shared" si="408"/>
        <v>374727</v>
      </c>
      <c r="ABM6" s="199">
        <f t="shared" si="408"/>
        <v>565734</v>
      </c>
      <c r="ABN6" s="195">
        <f t="shared" si="408"/>
        <v>6859324</v>
      </c>
      <c r="ABO6" s="362">
        <f t="shared" ref="ABO6:ABS6" si="409">SUM(ABO8:ABO23)</f>
        <v>5435115</v>
      </c>
      <c r="ABP6" s="362">
        <f t="shared" si="409"/>
        <v>758257</v>
      </c>
      <c r="ABQ6" s="362">
        <f t="shared" si="409"/>
        <v>443513</v>
      </c>
      <c r="ABR6" s="362">
        <f t="shared" si="409"/>
        <v>665952</v>
      </c>
      <c r="ABS6" s="195">
        <f t="shared" si="409"/>
        <v>7059460.6730000004</v>
      </c>
      <c r="ABT6" s="362">
        <f t="shared" ref="ABT6:ABW6" si="410">SUM(ABT8:ABT23)</f>
        <v>5585586.5249999994</v>
      </c>
      <c r="ABU6" s="362">
        <f t="shared" si="410"/>
        <v>794295.97400000005</v>
      </c>
      <c r="ABV6" s="362">
        <f t="shared" si="410"/>
        <v>458840.27700000006</v>
      </c>
      <c r="ABW6" s="415">
        <f t="shared" si="410"/>
        <v>679578.17399999977</v>
      </c>
      <c r="ABX6" s="362">
        <f t="shared" ref="ABX6:ABY6" si="411">SUM(ABX8:ABX23)</f>
        <v>7312789</v>
      </c>
      <c r="ABY6" s="362">
        <f t="shared" si="411"/>
        <v>5354821</v>
      </c>
      <c r="ABZ6" s="362">
        <f t="shared" ref="ABZ6:ACA6" si="412">SUM(ABZ8:ABZ23)</f>
        <v>838317</v>
      </c>
      <c r="ACA6" s="362">
        <f t="shared" si="412"/>
        <v>482302</v>
      </c>
      <c r="ACB6" s="415">
        <f t="shared" ref="ACB6:ACC6" si="413">SUM(ACB8:ACB23)</f>
        <v>714949</v>
      </c>
      <c r="ACC6" s="415">
        <f t="shared" si="413"/>
        <v>7596297</v>
      </c>
      <c r="ACD6" s="415">
        <f t="shared" ref="ACD6:ACE6" si="414">SUM(ACD8:ACD23)</f>
        <v>5512447</v>
      </c>
      <c r="ACE6" s="415">
        <f t="shared" si="414"/>
        <v>896967</v>
      </c>
      <c r="ACF6" s="415">
        <f t="shared" ref="ACF6:ACL6" si="415">SUM(ACF8:ACF23)</f>
        <v>509465</v>
      </c>
      <c r="ACG6" s="415">
        <f t="shared" si="415"/>
        <v>760532</v>
      </c>
      <c r="ACH6" s="415">
        <f t="shared" si="415"/>
        <v>8210410</v>
      </c>
      <c r="ACI6" s="415">
        <f t="shared" si="415"/>
        <v>5850579</v>
      </c>
      <c r="ACJ6" s="415">
        <f t="shared" si="415"/>
        <v>997710</v>
      </c>
      <c r="ACK6" s="415">
        <f t="shared" si="415"/>
        <v>573501</v>
      </c>
      <c r="ACL6" s="415">
        <f t="shared" si="415"/>
        <v>874103</v>
      </c>
      <c r="ACM6" s="415">
        <f t="shared" ref="ACM6:ACQ6" si="416">SUM(ACM8:ACM23)</f>
        <v>8521595</v>
      </c>
      <c r="ACN6" s="415">
        <f t="shared" si="416"/>
        <v>6021296</v>
      </c>
      <c r="ACO6" s="415">
        <f t="shared" si="416"/>
        <v>1057475</v>
      </c>
      <c r="ACP6" s="415">
        <f t="shared" si="416"/>
        <v>603092</v>
      </c>
      <c r="ACQ6" s="415">
        <f t="shared" si="416"/>
        <v>938203</v>
      </c>
      <c r="ACR6" s="415">
        <f t="shared" ref="ACR6:ADF6" si="417">SUM(ACR8:ACR23)</f>
        <v>8879782</v>
      </c>
      <c r="ACS6" s="415">
        <f t="shared" si="417"/>
        <v>6198267</v>
      </c>
      <c r="ACT6" s="415">
        <f t="shared" si="417"/>
        <v>1127299</v>
      </c>
      <c r="ACU6" s="415">
        <f t="shared" si="417"/>
        <v>664506</v>
      </c>
      <c r="ACV6" s="362">
        <f t="shared" si="417"/>
        <v>993630</v>
      </c>
      <c r="ACW6" s="173"/>
      <c r="ACX6" s="173"/>
      <c r="ACY6" s="173"/>
      <c r="ACZ6" s="173"/>
      <c r="ADA6" s="173"/>
      <c r="ADB6" s="195">
        <f t="shared" si="417"/>
        <v>9255647</v>
      </c>
      <c r="ADC6" s="173">
        <f t="shared" si="417"/>
        <v>6410453</v>
      </c>
      <c r="ADD6" s="173">
        <f t="shared" si="417"/>
        <v>1186727</v>
      </c>
      <c r="ADE6" s="173">
        <f t="shared" si="417"/>
        <v>692415</v>
      </c>
      <c r="ADF6" s="173">
        <f t="shared" si="417"/>
        <v>1073281</v>
      </c>
      <c r="ADG6" s="195">
        <f t="shared" ref="ADG6:ADP6" si="418">SUM(ADG8:ADG23)</f>
        <v>9664095</v>
      </c>
      <c r="ADH6" s="173">
        <f t="shared" si="418"/>
        <v>0</v>
      </c>
      <c r="ADI6" s="173">
        <f t="shared" si="418"/>
        <v>0</v>
      </c>
      <c r="ADJ6" s="173">
        <f t="shared" si="418"/>
        <v>0</v>
      </c>
      <c r="ADK6" s="173">
        <f t="shared" si="418"/>
        <v>0</v>
      </c>
      <c r="ADL6" s="195">
        <f t="shared" si="418"/>
        <v>9959941</v>
      </c>
      <c r="ADM6" s="173">
        <f t="shared" si="418"/>
        <v>6731633</v>
      </c>
      <c r="ADN6" s="173">
        <f t="shared" si="418"/>
        <v>1344425</v>
      </c>
      <c r="ADO6" s="173">
        <f t="shared" si="418"/>
        <v>825610</v>
      </c>
      <c r="ADP6" s="173">
        <f t="shared" si="418"/>
        <v>1199011</v>
      </c>
      <c r="ADQ6" s="195">
        <f t="shared" ref="ADQ6:ADU6" si="419">SUM(ADQ8:ADQ23)</f>
        <v>11017486</v>
      </c>
      <c r="ADR6" s="173">
        <f t="shared" si="419"/>
        <v>7185339</v>
      </c>
      <c r="ADS6" s="173">
        <f t="shared" si="419"/>
        <v>1475861</v>
      </c>
      <c r="ADT6" s="173">
        <f t="shared" si="419"/>
        <v>996024</v>
      </c>
      <c r="ADU6" s="173">
        <f t="shared" si="419"/>
        <v>2148670</v>
      </c>
      <c r="ADV6" s="173">
        <f t="shared" ref="ADV6:ADZ6" si="420">SUM(ADV8:ADV23)</f>
        <v>950041</v>
      </c>
      <c r="ADW6" s="173">
        <f t="shared" si="420"/>
        <v>2119</v>
      </c>
      <c r="ADX6" s="173">
        <f t="shared" si="420"/>
        <v>37812</v>
      </c>
      <c r="ADY6" s="173">
        <f t="shared" si="420"/>
        <v>937640</v>
      </c>
      <c r="ADZ6" s="173">
        <f t="shared" si="420"/>
        <v>221058</v>
      </c>
    </row>
    <row r="7" spans="1:806">
      <c r="A7" s="142" t="s">
        <v>150</v>
      </c>
      <c r="B7" s="143"/>
      <c r="C7" s="220"/>
      <c r="D7" s="220"/>
      <c r="E7" s="220"/>
      <c r="F7" s="221"/>
      <c r="G7" s="220"/>
      <c r="H7" s="220"/>
      <c r="I7" s="220"/>
      <c r="J7" s="220"/>
      <c r="K7" s="221"/>
      <c r="L7" s="220"/>
      <c r="M7" s="220"/>
      <c r="N7" s="220"/>
      <c r="O7" s="220"/>
      <c r="P7" s="221"/>
      <c r="Q7" s="145"/>
      <c r="R7" s="145"/>
      <c r="S7" s="145"/>
      <c r="T7" s="145"/>
      <c r="U7" s="221"/>
      <c r="V7" s="227"/>
      <c r="W7" s="227"/>
      <c r="X7" s="227"/>
      <c r="Y7" s="227"/>
      <c r="Z7" s="405"/>
      <c r="AA7" s="229"/>
      <c r="AB7" s="229"/>
      <c r="AC7" s="229"/>
      <c r="AD7" s="229"/>
      <c r="AE7" s="229"/>
      <c r="AF7" s="398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398"/>
      <c r="AV7" s="229"/>
      <c r="AW7" s="229"/>
      <c r="AX7" s="229"/>
      <c r="AY7" s="229"/>
      <c r="BE7" s="398"/>
      <c r="BF7" s="229"/>
      <c r="BG7" s="229"/>
      <c r="BH7" s="229"/>
      <c r="BI7" s="229"/>
      <c r="BJ7" s="398"/>
      <c r="BK7" s="229"/>
      <c r="BL7" s="229"/>
      <c r="BM7" s="229"/>
      <c r="BN7" s="229"/>
      <c r="BO7" s="398"/>
      <c r="BP7" s="229"/>
      <c r="BQ7" s="229"/>
      <c r="BR7" s="229"/>
      <c r="BS7" s="229"/>
      <c r="BT7" s="398"/>
      <c r="BU7" s="229"/>
      <c r="BV7" s="229"/>
      <c r="BW7" s="229"/>
      <c r="BX7" s="229"/>
      <c r="CC7" s="143"/>
      <c r="CD7" s="220"/>
      <c r="CE7" s="220"/>
      <c r="CF7" s="220"/>
      <c r="CG7" s="221"/>
      <c r="CH7" s="220"/>
      <c r="CI7" s="220"/>
      <c r="CJ7" s="220"/>
      <c r="CK7" s="220"/>
      <c r="CL7" s="221"/>
      <c r="CM7" s="145"/>
      <c r="CN7" s="145"/>
      <c r="CO7" s="145"/>
      <c r="CP7" s="145"/>
      <c r="CQ7" s="221"/>
      <c r="CR7" s="220"/>
      <c r="CS7" s="220"/>
      <c r="CT7" s="220"/>
      <c r="CU7" s="220"/>
      <c r="CV7" s="221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3"/>
      <c r="DW7" s="145"/>
      <c r="DX7" s="145"/>
      <c r="DY7" s="145"/>
      <c r="DZ7" s="145"/>
      <c r="EA7" s="143"/>
      <c r="EB7" s="145"/>
      <c r="EC7" s="145"/>
      <c r="ED7" s="145"/>
      <c r="EE7" s="145"/>
      <c r="EF7" s="143"/>
      <c r="EG7" s="145"/>
      <c r="EH7" s="145"/>
      <c r="EI7" s="145"/>
      <c r="EJ7" s="145"/>
      <c r="EK7" s="143"/>
      <c r="EL7" s="145"/>
      <c r="EM7" s="145"/>
      <c r="EN7" s="145"/>
      <c r="EO7" s="145"/>
      <c r="EP7" s="143"/>
      <c r="EQ7" s="145"/>
      <c r="ER7" s="145"/>
      <c r="ES7" s="145"/>
      <c r="EY7" s="143"/>
      <c r="EZ7" s="220"/>
      <c r="FA7" s="220"/>
      <c r="FB7" s="220"/>
      <c r="FC7" s="381"/>
      <c r="FD7" s="143"/>
      <c r="FE7" s="220"/>
      <c r="FF7" s="220"/>
      <c r="FG7" s="220"/>
      <c r="FH7" s="143"/>
      <c r="FI7" s="220"/>
      <c r="FJ7" s="220"/>
      <c r="FK7" s="220"/>
      <c r="FL7" s="221"/>
      <c r="FM7" s="220"/>
      <c r="FN7" s="220"/>
      <c r="FO7" s="220"/>
      <c r="FP7" s="220"/>
      <c r="FQ7" s="221"/>
      <c r="FR7" s="220"/>
      <c r="FS7" s="220"/>
      <c r="FT7" s="220"/>
      <c r="FU7" s="220"/>
      <c r="FV7" s="220"/>
      <c r="FW7" s="222"/>
      <c r="FX7" s="220"/>
      <c r="FY7" s="220"/>
      <c r="FZ7" s="220"/>
      <c r="GA7" s="220"/>
      <c r="GB7" s="143"/>
      <c r="GC7" s="220"/>
      <c r="GD7" s="220"/>
      <c r="GE7" s="220"/>
      <c r="GF7" s="220"/>
      <c r="GG7" s="223"/>
      <c r="GH7" s="224"/>
      <c r="GI7" s="224"/>
      <c r="GJ7" s="224"/>
      <c r="GK7" s="224"/>
      <c r="GL7" s="143"/>
      <c r="GM7" s="220"/>
      <c r="GN7" s="220"/>
      <c r="GO7" s="220"/>
      <c r="GP7" s="220"/>
      <c r="GQ7" s="143"/>
      <c r="GR7" s="220"/>
      <c r="GS7" s="220"/>
      <c r="GT7" s="220"/>
      <c r="GU7" s="182"/>
      <c r="GV7" s="381"/>
      <c r="GW7" s="381"/>
      <c r="GX7" s="381"/>
      <c r="GY7" s="381"/>
      <c r="GZ7" s="381"/>
      <c r="HA7" s="381"/>
      <c r="HB7" s="381"/>
      <c r="HC7" s="381"/>
      <c r="HD7" s="381"/>
      <c r="HE7" s="381"/>
      <c r="HF7" s="381"/>
      <c r="HG7" s="381"/>
      <c r="HH7" s="381"/>
      <c r="HI7" s="381"/>
      <c r="HJ7" s="381"/>
      <c r="HK7" s="381"/>
      <c r="HL7" s="381"/>
      <c r="HM7" s="381"/>
      <c r="HN7" s="381"/>
      <c r="HO7" s="381"/>
      <c r="HP7" s="251"/>
      <c r="HQ7" s="381"/>
      <c r="HR7" s="381"/>
      <c r="HS7" s="381"/>
      <c r="HT7" s="381"/>
      <c r="HU7" s="229"/>
      <c r="HZ7" s="251"/>
      <c r="IA7" s="381"/>
      <c r="IB7" s="381"/>
      <c r="IC7" s="381"/>
      <c r="ID7" s="381"/>
      <c r="IE7" s="535"/>
      <c r="IF7" s="629"/>
      <c r="IG7" s="629"/>
      <c r="IH7" s="629"/>
      <c r="II7" s="629"/>
      <c r="IJ7" s="535"/>
      <c r="IK7" s="629"/>
      <c r="IL7" s="629"/>
      <c r="IM7" s="629"/>
      <c r="IN7" s="629"/>
      <c r="IO7" s="535"/>
      <c r="IP7" s="629"/>
      <c r="IQ7" s="629"/>
      <c r="IR7" s="629"/>
      <c r="IS7" s="629"/>
      <c r="IY7" s="398"/>
      <c r="IZ7" s="227"/>
      <c r="JA7" s="227"/>
      <c r="JB7" s="227"/>
      <c r="JC7" s="405"/>
      <c r="JD7" s="227"/>
      <c r="JE7" s="227"/>
      <c r="JF7" s="227"/>
      <c r="JG7" s="227"/>
      <c r="JH7" s="405"/>
      <c r="JI7" s="227"/>
      <c r="JJ7" s="227"/>
      <c r="JK7" s="227"/>
      <c r="JL7" s="227"/>
      <c r="JM7" s="405"/>
      <c r="JN7" s="229"/>
      <c r="JO7" s="229"/>
      <c r="JP7" s="229"/>
      <c r="JQ7" s="229"/>
      <c r="JR7" s="229"/>
      <c r="JS7" s="227"/>
      <c r="JT7" s="227"/>
      <c r="JU7" s="227"/>
      <c r="JV7" s="227"/>
      <c r="JW7" s="405"/>
      <c r="JX7" s="227"/>
      <c r="JY7" s="227"/>
      <c r="JZ7" s="227"/>
      <c r="KA7" s="227"/>
      <c r="KB7" s="405"/>
      <c r="KC7" s="229"/>
      <c r="KD7" s="229"/>
      <c r="KE7" s="229"/>
      <c r="KF7" s="229"/>
      <c r="KG7" s="229"/>
      <c r="KH7" s="229"/>
      <c r="KI7" s="229"/>
      <c r="KJ7" s="229"/>
      <c r="KK7" s="229"/>
      <c r="KL7" s="229"/>
      <c r="KM7" s="229"/>
      <c r="KN7" s="229"/>
      <c r="KO7" s="229"/>
      <c r="KP7" s="229"/>
      <c r="KQ7" s="229"/>
      <c r="KR7" s="229"/>
      <c r="KS7" s="229"/>
      <c r="KT7" s="229"/>
      <c r="KU7" s="229"/>
      <c r="KV7" s="229"/>
      <c r="KW7" s="398"/>
      <c r="KX7" s="229"/>
      <c r="KY7" s="229"/>
      <c r="KZ7" s="229"/>
      <c r="LA7" s="229"/>
      <c r="LB7" s="650"/>
      <c r="LC7" s="622"/>
      <c r="LD7" s="622"/>
      <c r="LE7" s="622"/>
      <c r="LF7" s="622"/>
      <c r="LG7" s="624"/>
      <c r="LH7" s="622"/>
      <c r="LI7" s="145"/>
      <c r="LJ7" s="145"/>
      <c r="LK7" s="145"/>
      <c r="LL7" s="650"/>
      <c r="LM7" s="651"/>
      <c r="LN7" s="651"/>
      <c r="LO7" s="651"/>
      <c r="LP7" s="651"/>
      <c r="LQ7" s="650"/>
      <c r="LR7" s="651"/>
      <c r="LS7" s="651"/>
      <c r="LT7" s="651"/>
      <c r="LU7" s="651"/>
      <c r="MA7" s="143"/>
      <c r="MB7" s="220"/>
      <c r="MC7" s="220"/>
      <c r="MD7" s="220"/>
      <c r="ME7" s="221"/>
      <c r="MF7" s="220"/>
      <c r="MG7" s="220"/>
      <c r="MH7" s="220"/>
      <c r="MI7" s="220"/>
      <c r="MJ7" s="221"/>
      <c r="MK7" s="145"/>
      <c r="ML7" s="145"/>
      <c r="MM7" s="145"/>
      <c r="MN7" s="145"/>
      <c r="MO7" s="145"/>
      <c r="MP7" s="335"/>
      <c r="MQ7" s="130"/>
      <c r="MR7" s="130"/>
      <c r="MS7" s="130"/>
      <c r="MT7" s="130"/>
      <c r="MU7" s="335"/>
      <c r="MV7" s="130"/>
      <c r="MW7" s="130"/>
      <c r="MX7" s="130"/>
      <c r="MY7" s="440"/>
      <c r="MZ7" s="130"/>
      <c r="NA7" s="130"/>
      <c r="NB7" s="130"/>
      <c r="NC7" s="130"/>
      <c r="ND7" s="130"/>
      <c r="NE7" s="130"/>
      <c r="NF7" s="130"/>
      <c r="NG7" s="130"/>
      <c r="NH7" s="130"/>
      <c r="NI7" s="130"/>
      <c r="NJ7" s="130"/>
      <c r="NK7" s="130"/>
      <c r="NL7" s="130"/>
      <c r="NM7" s="130"/>
      <c r="NN7" s="130"/>
      <c r="NO7" s="130"/>
      <c r="NP7" s="130"/>
      <c r="NQ7" s="130"/>
      <c r="NR7" s="130"/>
      <c r="NS7" s="130"/>
      <c r="NT7" s="130"/>
      <c r="NU7" s="130"/>
      <c r="NV7" s="130"/>
      <c r="NW7" s="130"/>
      <c r="NX7" s="130"/>
      <c r="NY7" s="335"/>
      <c r="NZ7" s="130"/>
      <c r="OA7" s="130"/>
      <c r="OB7" s="130"/>
      <c r="OC7" s="130"/>
      <c r="OD7" s="335"/>
      <c r="OE7" s="130"/>
      <c r="OF7" s="130"/>
      <c r="OG7" s="130"/>
      <c r="OH7" s="130"/>
      <c r="OI7" s="335"/>
      <c r="OJ7" s="130"/>
      <c r="OK7" s="130"/>
      <c r="OL7" s="130"/>
      <c r="OM7" s="130"/>
      <c r="ON7" s="335"/>
      <c r="OO7" s="130"/>
      <c r="OP7" s="130"/>
      <c r="OQ7" s="130"/>
      <c r="OR7" s="130"/>
      <c r="OX7" s="402"/>
      <c r="OY7" s="173"/>
      <c r="OZ7" s="173"/>
      <c r="PA7" s="173"/>
      <c r="PB7" s="173"/>
      <c r="PC7" s="195"/>
      <c r="PD7" s="173"/>
      <c r="PE7" s="173"/>
      <c r="PF7" s="173"/>
      <c r="PG7" s="173"/>
      <c r="PH7" s="335"/>
      <c r="PI7" s="130"/>
      <c r="PJ7" s="130"/>
      <c r="PK7" s="130"/>
      <c r="PL7" s="130"/>
      <c r="PM7" s="130"/>
      <c r="PN7" s="130"/>
      <c r="PO7" s="130"/>
      <c r="PP7" s="130"/>
      <c r="PQ7" s="130"/>
      <c r="PR7" s="391"/>
      <c r="PS7" s="392"/>
      <c r="PT7" s="392"/>
      <c r="PU7" s="392"/>
      <c r="PV7" s="392"/>
      <c r="PW7" s="392"/>
      <c r="PX7" s="392"/>
      <c r="PY7" s="392"/>
      <c r="PZ7" s="392"/>
      <c r="QA7" s="488"/>
      <c r="QB7" s="392"/>
      <c r="QC7" s="392"/>
      <c r="QD7" s="392"/>
      <c r="QE7" s="392"/>
      <c r="QF7" s="392"/>
      <c r="QG7" s="392"/>
      <c r="QH7" s="392"/>
      <c r="QI7" s="392"/>
      <c r="QJ7" s="392"/>
      <c r="QK7" s="392"/>
      <c r="QL7" s="391"/>
      <c r="QM7" s="392"/>
      <c r="QN7" s="392"/>
      <c r="QO7" s="392"/>
      <c r="QP7" s="392"/>
      <c r="QQ7" s="391"/>
      <c r="QR7" s="392"/>
      <c r="QS7" s="392"/>
      <c r="QT7" s="392"/>
      <c r="QU7" s="392"/>
      <c r="QV7" s="391"/>
      <c r="QW7" s="392"/>
      <c r="QX7" s="392"/>
      <c r="QY7" s="392"/>
      <c r="QZ7" s="392"/>
      <c r="RA7" s="391"/>
      <c r="RB7" s="392"/>
      <c r="RC7" s="392"/>
      <c r="RD7" s="392"/>
      <c r="RE7" s="392"/>
      <c r="RF7" s="392"/>
      <c r="RG7" s="392"/>
      <c r="RH7" s="392"/>
      <c r="RI7" s="392"/>
      <c r="RJ7" s="392"/>
      <c r="RK7" s="392"/>
      <c r="RL7" s="392"/>
      <c r="RM7" s="392"/>
      <c r="RN7" s="392"/>
      <c r="RO7" s="392"/>
      <c r="RU7" s="143"/>
      <c r="RV7" s="220"/>
      <c r="RW7" s="220"/>
      <c r="RX7" s="220"/>
      <c r="RY7" s="220"/>
      <c r="RZ7" s="143"/>
      <c r="SA7" s="220"/>
      <c r="SB7" s="220"/>
      <c r="SC7" s="220"/>
      <c r="SD7" s="145"/>
      <c r="SE7" s="143"/>
      <c r="SF7" s="145"/>
      <c r="SG7" s="145"/>
      <c r="SH7" s="145"/>
      <c r="SI7" s="145"/>
      <c r="SJ7" s="335"/>
      <c r="SK7" s="130"/>
      <c r="SL7" s="130"/>
      <c r="SM7" s="130"/>
      <c r="SN7" s="130"/>
      <c r="SO7" s="335"/>
      <c r="SP7" s="130"/>
      <c r="SQ7" s="130"/>
      <c r="SR7" s="130"/>
      <c r="SS7" s="130"/>
      <c r="ST7" s="335"/>
      <c r="SU7" s="130"/>
      <c r="SV7" s="130"/>
      <c r="SW7" s="130"/>
      <c r="SX7" s="130"/>
      <c r="SY7" s="130"/>
      <c r="SZ7" s="130"/>
      <c r="TA7" s="130"/>
      <c r="TB7" s="130"/>
      <c r="TC7" s="130"/>
      <c r="TD7" s="130"/>
      <c r="TE7" s="130"/>
      <c r="TF7" s="130"/>
      <c r="TG7" s="130"/>
      <c r="TH7" s="130"/>
      <c r="TI7" s="130"/>
      <c r="TJ7" s="130"/>
      <c r="TK7" s="130"/>
      <c r="TL7" s="130"/>
      <c r="TM7" s="130"/>
      <c r="TN7" s="130"/>
      <c r="TO7" s="130"/>
      <c r="TP7" s="130"/>
      <c r="TQ7" s="130"/>
      <c r="TR7" s="130"/>
      <c r="TS7" s="335"/>
      <c r="TT7" s="130"/>
      <c r="TU7" s="130"/>
      <c r="TV7" s="130"/>
      <c r="TW7" s="130"/>
      <c r="TX7" s="335"/>
      <c r="TY7" s="130"/>
      <c r="TZ7" s="130"/>
      <c r="UA7" s="130"/>
      <c r="UB7" s="130"/>
      <c r="UC7" s="335"/>
      <c r="UD7" s="130"/>
      <c r="UE7" s="130"/>
      <c r="UF7" s="130"/>
      <c r="UG7" s="130"/>
      <c r="UH7" s="335"/>
      <c r="UI7" s="130"/>
      <c r="UJ7" s="130"/>
      <c r="UK7" s="130"/>
      <c r="UL7" s="130"/>
      <c r="UR7" s="41"/>
      <c r="US7" s="41"/>
      <c r="UT7" s="41"/>
      <c r="UU7" s="41"/>
      <c r="UV7" s="41"/>
      <c r="UW7" s="40"/>
      <c r="UX7" s="41"/>
      <c r="UY7" s="41"/>
      <c r="UZ7" s="41"/>
      <c r="VA7" s="41"/>
      <c r="VB7" s="41"/>
      <c r="VC7" s="41"/>
      <c r="VD7" s="41"/>
      <c r="VE7" s="41"/>
      <c r="VF7" s="41"/>
      <c r="VG7" s="41"/>
      <c r="VH7" s="41"/>
      <c r="VI7" s="41"/>
      <c r="VJ7" s="41"/>
      <c r="VK7" s="41"/>
      <c r="VL7" s="41"/>
      <c r="VM7" s="220"/>
      <c r="VN7" s="41"/>
      <c r="VO7" s="41"/>
      <c r="VP7" s="41"/>
      <c r="VQ7" s="41"/>
      <c r="VR7" s="220"/>
      <c r="VS7" s="41"/>
      <c r="VT7" s="41"/>
      <c r="VU7" s="220"/>
      <c r="VV7" s="41"/>
      <c r="VW7" s="41"/>
      <c r="VX7" s="41"/>
      <c r="VY7" s="41"/>
      <c r="VZ7" s="41"/>
      <c r="WA7" s="225"/>
      <c r="WB7" s="225"/>
      <c r="WC7" s="225"/>
      <c r="WD7" s="41"/>
      <c r="WE7" s="41"/>
      <c r="WF7" s="41"/>
      <c r="WG7" s="143"/>
      <c r="WH7" s="41"/>
      <c r="WI7" s="41"/>
      <c r="WJ7" s="220"/>
      <c r="WK7" s="220"/>
      <c r="WL7" s="41"/>
      <c r="WM7" s="41"/>
      <c r="WN7" s="41"/>
      <c r="WO7" s="41"/>
      <c r="WP7" s="220"/>
      <c r="WQ7" s="220"/>
      <c r="WR7" s="41"/>
      <c r="WS7" s="41"/>
      <c r="WT7" s="220"/>
      <c r="WU7" s="40"/>
      <c r="WV7" s="41"/>
      <c r="WW7" s="221"/>
      <c r="WX7" s="585"/>
      <c r="WY7" s="585"/>
      <c r="WZ7" s="226"/>
      <c r="XA7" s="226"/>
      <c r="XB7" s="226"/>
      <c r="XC7" s="585"/>
      <c r="XD7" s="585"/>
      <c r="XE7" s="585"/>
      <c r="XF7" s="41"/>
      <c r="XG7" s="41"/>
      <c r="XH7" s="41"/>
      <c r="XI7" s="41"/>
      <c r="XJ7" s="586"/>
      <c r="XK7" s="41"/>
      <c r="XL7" s="41"/>
      <c r="XM7" s="227"/>
      <c r="XN7" s="227"/>
      <c r="XO7" s="227"/>
      <c r="XP7" s="228"/>
      <c r="XQ7" s="41"/>
      <c r="XR7" s="41"/>
      <c r="XS7" s="229"/>
      <c r="XT7" s="41"/>
      <c r="XU7" s="41"/>
      <c r="XV7" s="229"/>
      <c r="XW7" s="41"/>
      <c r="XX7" s="41"/>
      <c r="XY7" s="229"/>
      <c r="XZ7" s="40"/>
      <c r="YA7" s="40"/>
      <c r="YB7" s="587"/>
      <c r="YC7" s="41"/>
      <c r="YD7" s="41"/>
      <c r="YE7" s="41"/>
      <c r="YF7" s="227"/>
      <c r="YG7" s="143"/>
      <c r="YH7" s="220"/>
      <c r="YI7" s="220"/>
      <c r="YJ7" s="220"/>
      <c r="YK7" s="220"/>
      <c r="YL7" s="223"/>
      <c r="YM7" s="130"/>
      <c r="YN7" s="130"/>
      <c r="YO7" s="130"/>
      <c r="YP7" s="130"/>
      <c r="YQ7" s="335"/>
      <c r="YR7" s="130"/>
      <c r="YS7" s="130"/>
      <c r="YT7" s="130"/>
      <c r="YU7" s="130"/>
      <c r="YV7" s="143"/>
      <c r="YW7" s="220"/>
      <c r="YX7" s="220"/>
      <c r="YY7" s="220"/>
      <c r="YZ7" s="145"/>
      <c r="ZA7" s="145"/>
      <c r="ZB7" s="145"/>
      <c r="ZC7" s="145"/>
      <c r="ZD7" s="145"/>
      <c r="ZE7" s="145"/>
      <c r="ZF7" s="145"/>
      <c r="ZG7" s="145"/>
      <c r="ZH7" s="145"/>
      <c r="ZI7" s="145"/>
      <c r="ZJ7" s="145"/>
      <c r="ZK7" s="145"/>
      <c r="ZL7" s="145"/>
      <c r="ZM7" s="145"/>
      <c r="ZN7" s="145"/>
      <c r="ZO7" s="145"/>
      <c r="ZP7" s="145"/>
      <c r="ZQ7" s="145"/>
      <c r="ZR7" s="145"/>
      <c r="ZS7" s="145"/>
      <c r="ZT7" s="145"/>
      <c r="ZU7" s="145"/>
      <c r="ZV7" s="145"/>
      <c r="ZW7" s="145"/>
      <c r="ZX7" s="145"/>
      <c r="ZY7" s="145"/>
      <c r="ZZ7" s="229"/>
      <c r="AAE7" s="143"/>
      <c r="AAF7" s="145"/>
      <c r="AAG7" s="145"/>
      <c r="AAH7" s="145"/>
      <c r="AAI7" s="145"/>
      <c r="AAJ7" s="143"/>
      <c r="AAK7" s="145"/>
      <c r="AAL7" s="145"/>
      <c r="AAM7" s="145"/>
      <c r="AAN7" s="145"/>
      <c r="AAO7" s="624"/>
      <c r="AAP7" s="622"/>
      <c r="AAQ7" s="622"/>
      <c r="AAR7" s="622"/>
      <c r="AAS7" s="622"/>
      <c r="AAT7" s="624"/>
      <c r="AAU7" s="622"/>
      <c r="AAV7" s="622"/>
      <c r="AAW7" s="622"/>
      <c r="AAX7" s="622"/>
      <c r="ABD7" s="143"/>
      <c r="ABE7" s="220"/>
      <c r="ABF7" s="220"/>
      <c r="ABG7" s="220"/>
      <c r="ABH7" s="145"/>
      <c r="ABI7" s="143"/>
      <c r="ABJ7" s="145"/>
      <c r="ABK7" s="145"/>
      <c r="ABL7" s="145"/>
      <c r="ABM7" s="145"/>
      <c r="ABN7" s="143"/>
      <c r="ABO7" s="220"/>
      <c r="ABP7" s="220"/>
      <c r="ABQ7" s="220"/>
      <c r="ABR7" s="145"/>
      <c r="ABS7" s="143"/>
      <c r="ABT7" s="220"/>
      <c r="ABU7" s="220"/>
      <c r="ABV7" s="220"/>
      <c r="ABW7" s="221"/>
      <c r="ACB7" s="49"/>
      <c r="ADB7" s="50"/>
      <c r="ADG7" s="50"/>
    </row>
    <row r="8" spans="1:806" ht="14.1">
      <c r="A8" s="138" t="s">
        <v>8</v>
      </c>
      <c r="B8" s="118">
        <f>77648+122695+64035+64029+144819+80651</f>
        <v>553877</v>
      </c>
      <c r="C8" s="39">
        <f>39751+87956+50793+30784+97656+60823</f>
        <v>367763</v>
      </c>
      <c r="D8" s="39">
        <f>36649+33151+12618+32112+45049+18751</f>
        <v>178330</v>
      </c>
      <c r="E8" s="39">
        <f>951+1066+442+659+1386+720</f>
        <v>5224</v>
      </c>
      <c r="F8" s="207">
        <f>153+339+146+139+137+36+122+269+215+336+428+129</f>
        <v>2449</v>
      </c>
      <c r="G8" s="3">
        <v>348848</v>
      </c>
      <c r="H8" s="39">
        <v>235969</v>
      </c>
      <c r="I8" s="39">
        <v>109577</v>
      </c>
      <c r="J8" s="39">
        <v>1421</v>
      </c>
      <c r="K8" s="207">
        <v>3302</v>
      </c>
      <c r="L8" s="3">
        <v>240333</v>
      </c>
      <c r="M8" s="39">
        <v>159182</v>
      </c>
      <c r="N8" s="39">
        <v>71586</v>
      </c>
      <c r="O8" s="39">
        <v>8919</v>
      </c>
      <c r="P8" s="207">
        <v>9565</v>
      </c>
      <c r="Q8" s="39">
        <v>199377</v>
      </c>
      <c r="R8" s="39">
        <v>122921</v>
      </c>
      <c r="S8" s="39">
        <v>54400</v>
      </c>
      <c r="T8" s="39">
        <v>16793</v>
      </c>
      <c r="U8" s="207">
        <v>11213</v>
      </c>
      <c r="V8" s="5">
        <v>196368</v>
      </c>
      <c r="W8" s="394">
        <v>131140</v>
      </c>
      <c r="X8" s="394">
        <v>50373</v>
      </c>
      <c r="Y8" s="394">
        <v>27143</v>
      </c>
      <c r="Z8" s="406">
        <v>14855</v>
      </c>
      <c r="AA8" s="394">
        <v>183636</v>
      </c>
      <c r="AB8" s="1">
        <v>103689</v>
      </c>
      <c r="AC8" s="394">
        <v>46431</v>
      </c>
      <c r="AD8" s="394">
        <v>29152</v>
      </c>
      <c r="AE8" s="394">
        <v>15543</v>
      </c>
      <c r="AF8" s="393">
        <v>170230</v>
      </c>
      <c r="AG8" s="394">
        <v>97617</v>
      </c>
      <c r="AH8" s="394">
        <v>43547</v>
      </c>
      <c r="AI8" s="394">
        <v>24686</v>
      </c>
      <c r="AJ8" s="490">
        <v>15122</v>
      </c>
      <c r="AK8" s="490">
        <v>164748</v>
      </c>
      <c r="AL8" s="490">
        <v>91743</v>
      </c>
      <c r="AM8" s="685">
        <v>41996</v>
      </c>
      <c r="AN8" s="685">
        <v>26053</v>
      </c>
      <c r="AO8" s="490">
        <v>16972</v>
      </c>
      <c r="AP8" s="394">
        <v>158830</v>
      </c>
      <c r="AQ8" s="394">
        <v>92243</v>
      </c>
      <c r="AR8" s="394">
        <v>37171</v>
      </c>
      <c r="AS8" s="394">
        <v>24830</v>
      </c>
      <c r="AT8" s="394">
        <v>14192</v>
      </c>
      <c r="AU8" s="393">
        <v>157797</v>
      </c>
      <c r="AV8" s="394">
        <v>89540</v>
      </c>
      <c r="AW8" s="394">
        <v>36826</v>
      </c>
      <c r="AX8" s="394">
        <v>25284</v>
      </c>
      <c r="AY8" s="394">
        <v>16888</v>
      </c>
      <c r="AZ8" s="1">
        <v>3813</v>
      </c>
      <c r="BA8" s="1">
        <v>0</v>
      </c>
      <c r="BB8" s="1">
        <v>1287</v>
      </c>
      <c r="BC8" s="1">
        <v>1738</v>
      </c>
      <c r="BD8" s="1">
        <v>10050</v>
      </c>
      <c r="BE8" s="393">
        <v>137386</v>
      </c>
      <c r="BF8" s="394">
        <v>75255</v>
      </c>
      <c r="BG8" s="394">
        <v>35601</v>
      </c>
      <c r="BH8" s="394">
        <v>20627</v>
      </c>
      <c r="BI8" s="394">
        <v>16128</v>
      </c>
      <c r="BJ8" s="393">
        <v>131592</v>
      </c>
      <c r="BK8" s="394"/>
      <c r="BL8" s="394"/>
      <c r="BM8" s="394"/>
      <c r="BN8" s="394"/>
      <c r="BO8" s="393">
        <v>130320</v>
      </c>
      <c r="BP8" s="394">
        <v>69542</v>
      </c>
      <c r="BQ8" s="394">
        <v>29764</v>
      </c>
      <c r="BR8" s="394">
        <v>24882</v>
      </c>
      <c r="BS8" s="394">
        <v>17251</v>
      </c>
      <c r="BT8" s="393">
        <v>127052</v>
      </c>
      <c r="BU8" s="394">
        <v>68311</v>
      </c>
      <c r="BV8" s="394">
        <v>28944</v>
      </c>
      <c r="BW8" s="394">
        <v>23585</v>
      </c>
      <c r="BX8" s="394">
        <v>3664</v>
      </c>
      <c r="BY8" s="1">
        <v>0</v>
      </c>
      <c r="BZ8" s="1">
        <v>1614</v>
      </c>
      <c r="CA8" s="1">
        <v>7720</v>
      </c>
      <c r="CB8" s="1">
        <v>13756</v>
      </c>
      <c r="CC8" s="118">
        <v>494790</v>
      </c>
      <c r="CD8" s="39">
        <v>348248</v>
      </c>
      <c r="CE8" s="39">
        <v>142874</v>
      </c>
      <c r="CF8" s="39">
        <v>23585</v>
      </c>
      <c r="CG8" s="207">
        <v>3668</v>
      </c>
      <c r="CH8" s="3">
        <v>473748</v>
      </c>
      <c r="CI8" s="39">
        <v>316543</v>
      </c>
      <c r="CJ8" s="39">
        <v>145741</v>
      </c>
      <c r="CK8" s="39">
        <v>6795</v>
      </c>
      <c r="CL8" s="207">
        <v>11464</v>
      </c>
      <c r="CM8" s="1">
        <v>404661</v>
      </c>
      <c r="CN8" s="39">
        <v>260566</v>
      </c>
      <c r="CO8" s="39">
        <v>128728</v>
      </c>
      <c r="CP8" s="39">
        <v>7374</v>
      </c>
      <c r="CQ8" s="207">
        <v>11589</v>
      </c>
      <c r="CR8" s="3">
        <v>371325</v>
      </c>
      <c r="CS8" s="39">
        <v>241267</v>
      </c>
      <c r="CT8" s="39">
        <v>117987</v>
      </c>
      <c r="CU8" s="39">
        <v>13039</v>
      </c>
      <c r="CV8" s="207">
        <v>12071</v>
      </c>
      <c r="CW8" s="39">
        <v>360496</v>
      </c>
      <c r="CX8" s="39">
        <v>222219</v>
      </c>
      <c r="CY8" s="39">
        <v>116712</v>
      </c>
      <c r="CZ8" s="39">
        <v>13349</v>
      </c>
      <c r="DA8" s="39">
        <v>13421</v>
      </c>
      <c r="DB8" s="39">
        <v>351467</v>
      </c>
      <c r="DC8" s="39">
        <v>215886</v>
      </c>
      <c r="DD8" s="39">
        <v>114310</v>
      </c>
      <c r="DE8" s="39">
        <v>13561</v>
      </c>
      <c r="DF8" s="39">
        <v>12842</v>
      </c>
      <c r="DG8" s="39">
        <v>333011</v>
      </c>
      <c r="DH8" s="39">
        <v>196851</v>
      </c>
      <c r="DI8" s="39">
        <v>114098</v>
      </c>
      <c r="DJ8" s="39">
        <v>15131</v>
      </c>
      <c r="DK8" s="39">
        <v>13524</v>
      </c>
      <c r="DL8" s="39">
        <v>338052</v>
      </c>
      <c r="DM8" s="39">
        <v>198270</v>
      </c>
      <c r="DN8" s="39">
        <v>113629</v>
      </c>
      <c r="DO8" s="39">
        <v>16400</v>
      </c>
      <c r="DP8" s="39">
        <v>15920</v>
      </c>
      <c r="DQ8" s="39">
        <v>333897</v>
      </c>
      <c r="DR8" s="39">
        <v>199554</v>
      </c>
      <c r="DS8" s="39">
        <v>112244</v>
      </c>
      <c r="DT8" s="39">
        <v>15706</v>
      </c>
      <c r="DU8" s="39">
        <v>14975</v>
      </c>
      <c r="DV8" s="118">
        <v>309557</v>
      </c>
      <c r="DW8" s="39">
        <v>183518</v>
      </c>
      <c r="DX8" s="39">
        <v>104858</v>
      </c>
      <c r="DY8" s="39">
        <v>13323</v>
      </c>
      <c r="DZ8" s="39">
        <v>13086</v>
      </c>
      <c r="EA8" s="118">
        <v>316587</v>
      </c>
      <c r="EB8" s="39"/>
      <c r="EC8" s="39"/>
      <c r="ED8" s="39"/>
      <c r="EE8" s="39"/>
      <c r="EF8" s="118">
        <v>302753</v>
      </c>
      <c r="EG8" s="39">
        <v>181597</v>
      </c>
      <c r="EH8" s="39">
        <v>98001</v>
      </c>
      <c r="EI8" s="39">
        <v>15405</v>
      </c>
      <c r="EJ8" s="39">
        <v>15272</v>
      </c>
      <c r="EK8" s="118">
        <v>302753</v>
      </c>
      <c r="EL8" s="39">
        <v>181597</v>
      </c>
      <c r="EM8" s="39">
        <v>98001</v>
      </c>
      <c r="EN8" s="39">
        <v>15405</v>
      </c>
      <c r="EO8" s="39">
        <v>15272</v>
      </c>
      <c r="EP8" s="118">
        <v>289415</v>
      </c>
      <c r="EQ8" s="39">
        <v>164427</v>
      </c>
      <c r="ER8" s="39">
        <v>98272</v>
      </c>
      <c r="ES8" s="39">
        <v>13353</v>
      </c>
      <c r="ET8" s="1">
        <v>3019</v>
      </c>
      <c r="EU8" s="1">
        <v>0</v>
      </c>
      <c r="EV8" s="1">
        <v>1664</v>
      </c>
      <c r="EW8" s="1">
        <v>13024</v>
      </c>
      <c r="EX8" s="1">
        <v>6339</v>
      </c>
      <c r="EY8" s="10">
        <v>560877</v>
      </c>
      <c r="EZ8" s="39">
        <v>365535</v>
      </c>
      <c r="FA8" s="39">
        <v>166040</v>
      </c>
      <c r="FB8" s="39">
        <v>42691</v>
      </c>
      <c r="FC8" s="382">
        <f>EY8-EZ8-FA8</f>
        <v>29302</v>
      </c>
      <c r="FD8" s="230">
        <v>212672</v>
      </c>
      <c r="FE8" s="231">
        <v>328435</v>
      </c>
      <c r="FF8" s="231">
        <v>506507</v>
      </c>
      <c r="FG8" s="231">
        <v>746492</v>
      </c>
      <c r="FH8" s="10">
        <v>1252783</v>
      </c>
      <c r="FI8" s="39">
        <v>1039210.708</v>
      </c>
      <c r="FJ8" s="39">
        <v>198545.56800000003</v>
      </c>
      <c r="FK8" s="39">
        <v>7727.3480000000009</v>
      </c>
      <c r="FL8" s="207">
        <v>6723.5380000000005</v>
      </c>
      <c r="FM8" s="3">
        <v>1702331</v>
      </c>
      <c r="FN8" s="39">
        <v>1379566</v>
      </c>
      <c r="FO8" s="39">
        <v>304197</v>
      </c>
      <c r="FP8" s="39">
        <v>9110</v>
      </c>
      <c r="FQ8" s="207">
        <v>18568</v>
      </c>
      <c r="FR8" s="3">
        <v>2173319</v>
      </c>
      <c r="FS8" s="39">
        <v>1682209</v>
      </c>
      <c r="FT8" s="39">
        <v>439906</v>
      </c>
      <c r="FU8" s="39">
        <v>20772</v>
      </c>
      <c r="FV8" s="39">
        <v>51204</v>
      </c>
      <c r="FW8" s="232">
        <v>2411872</v>
      </c>
      <c r="FX8" s="39">
        <v>1803181</v>
      </c>
      <c r="FY8" s="39">
        <v>586309</v>
      </c>
      <c r="FZ8" s="39">
        <v>39467</v>
      </c>
      <c r="GA8" s="39">
        <v>32093</v>
      </c>
      <c r="GB8" s="118">
        <v>2468260</v>
      </c>
      <c r="GC8" s="39">
        <v>1858547</v>
      </c>
      <c r="GD8" s="39">
        <v>544093</v>
      </c>
      <c r="GE8" s="3">
        <v>65620</v>
      </c>
      <c r="GF8" s="39">
        <v>34148</v>
      </c>
      <c r="GG8" s="42">
        <v>2512780</v>
      </c>
      <c r="GH8" s="40">
        <v>1882304</v>
      </c>
      <c r="GI8" s="40">
        <v>558916</v>
      </c>
      <c r="GJ8" s="40">
        <v>71560</v>
      </c>
      <c r="GK8" s="40">
        <v>37972</v>
      </c>
      <c r="GL8" s="10">
        <v>2574611</v>
      </c>
      <c r="GM8" s="39">
        <v>1915041</v>
      </c>
      <c r="GN8" s="39">
        <v>580741</v>
      </c>
      <c r="GO8" s="39">
        <v>46174</v>
      </c>
      <c r="GP8" s="39">
        <v>54660</v>
      </c>
      <c r="GQ8" s="10">
        <v>2607918.2849999997</v>
      </c>
      <c r="GR8" s="39">
        <v>1931129.7599999998</v>
      </c>
      <c r="GS8" s="39">
        <v>592892.85</v>
      </c>
      <c r="GT8" s="39">
        <v>48920.274000000005</v>
      </c>
      <c r="GU8" s="410">
        <f>GQ8-GR8-GS8</f>
        <v>83895.67499999993</v>
      </c>
      <c r="GV8" s="39">
        <v>2647872</v>
      </c>
      <c r="GW8" s="39">
        <v>1922388</v>
      </c>
      <c r="GX8" s="39">
        <v>607417</v>
      </c>
      <c r="GY8" s="39">
        <v>52554</v>
      </c>
      <c r="GZ8" s="39">
        <v>82473</v>
      </c>
      <c r="HA8" s="39">
        <v>2691555</v>
      </c>
      <c r="HB8" s="39">
        <v>1943078</v>
      </c>
      <c r="HC8" s="39">
        <v>620869</v>
      </c>
      <c r="HD8" s="39">
        <v>57220</v>
      </c>
      <c r="HE8" s="39">
        <v>87850</v>
      </c>
      <c r="HF8" s="39">
        <v>2759007</v>
      </c>
      <c r="HG8" s="39">
        <v>1981301</v>
      </c>
      <c r="HH8" s="39">
        <v>647557</v>
      </c>
      <c r="HI8" s="39">
        <v>58232</v>
      </c>
      <c r="HJ8" s="39">
        <v>90169</v>
      </c>
      <c r="HK8" s="39">
        <v>2785370</v>
      </c>
      <c r="HL8" s="39">
        <v>1989189</v>
      </c>
      <c r="HM8" s="39">
        <v>665958</v>
      </c>
      <c r="HN8" s="39">
        <v>55544</v>
      </c>
      <c r="HO8" s="39">
        <v>90451</v>
      </c>
      <c r="HP8" s="118">
        <v>2809019</v>
      </c>
      <c r="HQ8" s="39">
        <v>1996769</v>
      </c>
      <c r="HR8" s="39">
        <v>676912</v>
      </c>
      <c r="HS8" s="39">
        <v>57299</v>
      </c>
      <c r="HT8" s="39">
        <v>97568</v>
      </c>
      <c r="HU8" s="394">
        <v>36248</v>
      </c>
      <c r="HV8" s="1">
        <v>0</v>
      </c>
      <c r="HW8" s="1">
        <v>14031</v>
      </c>
      <c r="HX8" s="1">
        <v>29909</v>
      </c>
      <c r="HY8" s="1">
        <v>17380</v>
      </c>
      <c r="HZ8" s="118">
        <v>2862664</v>
      </c>
      <c r="IA8" s="39">
        <v>2024688</v>
      </c>
      <c r="IB8" s="39">
        <v>692547</v>
      </c>
      <c r="IC8" s="39">
        <v>61641</v>
      </c>
      <c r="ID8" s="39">
        <v>103408</v>
      </c>
      <c r="IE8" s="393">
        <v>2889285</v>
      </c>
      <c r="IF8" s="394"/>
      <c r="IG8" s="394"/>
      <c r="IH8" s="394"/>
      <c r="II8" s="394"/>
      <c r="IJ8" s="393">
        <v>2926985</v>
      </c>
      <c r="IK8" s="394">
        <v>2048642</v>
      </c>
      <c r="IL8" s="394">
        <v>727720</v>
      </c>
      <c r="IM8" s="394">
        <v>63758</v>
      </c>
      <c r="IN8" s="394">
        <v>107498</v>
      </c>
      <c r="IO8" s="393">
        <v>3034741</v>
      </c>
      <c r="IP8" s="394">
        <v>2100060</v>
      </c>
      <c r="IQ8" s="394">
        <v>719012</v>
      </c>
      <c r="IR8" s="394">
        <v>76598</v>
      </c>
      <c r="IS8" s="394">
        <v>199093</v>
      </c>
      <c r="IT8" s="1">
        <v>42522</v>
      </c>
      <c r="IU8" s="1">
        <v>0</v>
      </c>
      <c r="IV8" s="1">
        <v>12051</v>
      </c>
      <c r="IW8" s="1">
        <v>112190</v>
      </c>
      <c r="IX8" s="1">
        <v>32330</v>
      </c>
      <c r="IY8" s="399">
        <f>141126+137079</f>
        <v>278205</v>
      </c>
      <c r="IZ8" s="394">
        <f>118474+108771</f>
        <v>227245</v>
      </c>
      <c r="JA8" s="394">
        <f>20734+26717</f>
        <v>47451</v>
      </c>
      <c r="JB8" s="394">
        <f>989+817</f>
        <v>1806</v>
      </c>
      <c r="JC8" s="406">
        <f>367+331+244+456</f>
        <v>1398</v>
      </c>
      <c r="JD8" s="5">
        <v>553512</v>
      </c>
      <c r="JE8" s="394">
        <v>439009</v>
      </c>
      <c r="JF8" s="394">
        <v>108703</v>
      </c>
      <c r="JG8" s="394">
        <v>3344</v>
      </c>
      <c r="JH8" s="406">
        <v>5800</v>
      </c>
      <c r="JI8" s="5">
        <v>746495</v>
      </c>
      <c r="JJ8" s="394">
        <v>564883</v>
      </c>
      <c r="JK8" s="394">
        <v>163437</v>
      </c>
      <c r="JL8" s="394">
        <v>7570</v>
      </c>
      <c r="JM8" s="406">
        <v>18175</v>
      </c>
      <c r="JN8" s="394">
        <v>801084</v>
      </c>
      <c r="JO8" s="394">
        <v>595656</v>
      </c>
      <c r="JP8" s="394">
        <v>180569</v>
      </c>
      <c r="JQ8" s="394">
        <v>9472</v>
      </c>
      <c r="JR8" s="394">
        <v>19274</v>
      </c>
      <c r="JS8" s="5">
        <v>900383</v>
      </c>
      <c r="JT8" s="394">
        <v>652737</v>
      </c>
      <c r="JU8" s="394">
        <v>223109</v>
      </c>
      <c r="JV8" s="394">
        <v>13499</v>
      </c>
      <c r="JW8" s="406">
        <v>24537</v>
      </c>
      <c r="JX8" s="5">
        <v>925288.1399999999</v>
      </c>
      <c r="JY8" s="394">
        <v>666699.55999999994</v>
      </c>
      <c r="JZ8" s="394">
        <v>230485.19999999998</v>
      </c>
      <c r="KA8" s="394">
        <v>15024.203999999998</v>
      </c>
      <c r="KB8" s="406">
        <v>28103.379999999976</v>
      </c>
      <c r="KC8" s="394">
        <v>936979</v>
      </c>
      <c r="KD8" s="394">
        <v>665394</v>
      </c>
      <c r="KE8" s="394">
        <v>234439</v>
      </c>
      <c r="KF8" s="394">
        <v>16135</v>
      </c>
      <c r="KG8" s="439">
        <v>25991</v>
      </c>
      <c r="KH8" s="439">
        <v>955715</v>
      </c>
      <c r="KI8" s="439">
        <v>673748</v>
      </c>
      <c r="KJ8" s="439">
        <v>241646</v>
      </c>
      <c r="KK8" s="439">
        <v>17114</v>
      </c>
      <c r="KL8" s="439">
        <v>28278</v>
      </c>
      <c r="KM8" s="439">
        <v>965935</v>
      </c>
      <c r="KN8" s="439">
        <v>676338</v>
      </c>
      <c r="KO8" s="439">
        <v>247857</v>
      </c>
      <c r="KP8" s="439">
        <v>19737</v>
      </c>
      <c r="KQ8" s="439">
        <v>28606</v>
      </c>
      <c r="KR8" s="439">
        <v>974431</v>
      </c>
      <c r="KS8" s="439">
        <v>677151</v>
      </c>
      <c r="KT8" s="439">
        <v>252793</v>
      </c>
      <c r="KU8" s="439">
        <v>16428</v>
      </c>
      <c r="KV8" s="439">
        <v>32184</v>
      </c>
      <c r="KW8" s="630">
        <v>982261</v>
      </c>
      <c r="KX8" s="439">
        <v>682174</v>
      </c>
      <c r="KY8" s="439">
        <v>256808</v>
      </c>
      <c r="KZ8" s="439">
        <v>19374</v>
      </c>
      <c r="LA8" s="439">
        <v>29854</v>
      </c>
      <c r="LB8" s="652">
        <v>987978</v>
      </c>
      <c r="LC8" s="653">
        <v>680339</v>
      </c>
      <c r="LD8" s="653">
        <v>262726</v>
      </c>
      <c r="LE8" s="653">
        <v>19069</v>
      </c>
      <c r="LF8" s="653">
        <v>31961</v>
      </c>
      <c r="LG8" s="652">
        <v>1010272</v>
      </c>
      <c r="LH8" s="653"/>
      <c r="LI8" s="439"/>
      <c r="LJ8" s="439"/>
      <c r="LK8" s="439"/>
      <c r="LL8" s="652">
        <v>1002387</v>
      </c>
      <c r="LM8" s="653">
        <v>697535</v>
      </c>
      <c r="LN8" s="653">
        <v>255223</v>
      </c>
      <c r="LO8" s="653">
        <v>22443</v>
      </c>
      <c r="LP8" s="653">
        <v>33657</v>
      </c>
      <c r="LQ8" s="652">
        <v>1008690</v>
      </c>
      <c r="LR8" s="653">
        <v>684400</v>
      </c>
      <c r="LS8" s="653">
        <v>253846</v>
      </c>
      <c r="LT8" s="653">
        <v>22979</v>
      </c>
      <c r="LU8" s="653">
        <v>65206</v>
      </c>
      <c r="LV8" s="1">
        <v>7601</v>
      </c>
      <c r="LW8" s="1">
        <v>0</v>
      </c>
      <c r="LX8" s="1">
        <v>5101</v>
      </c>
      <c r="LY8" s="1">
        <v>42302</v>
      </c>
      <c r="LZ8" s="1">
        <v>10202</v>
      </c>
      <c r="MA8" s="10">
        <v>126450</v>
      </c>
      <c r="MB8" s="39">
        <v>95690</v>
      </c>
      <c r="MC8" s="39">
        <v>29227</v>
      </c>
      <c r="MD8" s="39">
        <v>793</v>
      </c>
      <c r="ME8" s="207">
        <v>1533</v>
      </c>
      <c r="MF8" s="3">
        <v>155440</v>
      </c>
      <c r="MG8" s="39">
        <v>115166</v>
      </c>
      <c r="MH8" s="39">
        <v>35853</v>
      </c>
      <c r="MI8" s="39">
        <v>1602</v>
      </c>
      <c r="MJ8" s="207">
        <v>4421</v>
      </c>
      <c r="MK8" s="39">
        <v>199544</v>
      </c>
      <c r="ML8" s="39">
        <v>148424</v>
      </c>
      <c r="MM8" s="39">
        <v>44760</v>
      </c>
      <c r="MN8" s="39">
        <v>2190</v>
      </c>
      <c r="MO8" s="39">
        <v>5120</v>
      </c>
      <c r="MP8" s="118">
        <v>219390</v>
      </c>
      <c r="MQ8" s="39">
        <v>158887</v>
      </c>
      <c r="MR8" s="39">
        <v>53603</v>
      </c>
      <c r="MS8" s="39">
        <v>3124</v>
      </c>
      <c r="MT8" s="39">
        <v>6900</v>
      </c>
      <c r="MU8" s="118"/>
      <c r="MV8" s="39"/>
      <c r="MW8" s="39"/>
      <c r="MX8" s="39"/>
      <c r="MY8" s="207"/>
      <c r="MZ8" s="39">
        <v>234239</v>
      </c>
      <c r="NA8" s="39">
        <v>165273</v>
      </c>
      <c r="NB8" s="39">
        <v>58603</v>
      </c>
      <c r="NC8" s="39">
        <v>4057</v>
      </c>
      <c r="ND8" s="39">
        <v>7566</v>
      </c>
      <c r="NE8" s="39">
        <v>244391</v>
      </c>
      <c r="NF8" s="39">
        <v>170894</v>
      </c>
      <c r="NG8" s="39">
        <v>62355</v>
      </c>
      <c r="NH8" s="39">
        <v>4141</v>
      </c>
      <c r="NI8" s="39">
        <v>8172</v>
      </c>
      <c r="NJ8" s="39">
        <v>256777</v>
      </c>
      <c r="NK8" s="39">
        <v>178254</v>
      </c>
      <c r="NL8" s="39">
        <v>66738</v>
      </c>
      <c r="NM8" s="39">
        <v>5203</v>
      </c>
      <c r="NN8" s="39">
        <v>42720</v>
      </c>
      <c r="NO8" s="39">
        <v>266452</v>
      </c>
      <c r="NP8" s="39">
        <v>187897</v>
      </c>
      <c r="NQ8" s="39">
        <v>65758</v>
      </c>
      <c r="NR8" s="39">
        <v>4127</v>
      </c>
      <c r="NS8" s="39">
        <v>10344</v>
      </c>
      <c r="NT8" s="39">
        <v>271030</v>
      </c>
      <c r="NU8" s="39">
        <v>192623</v>
      </c>
      <c r="NV8" s="39">
        <v>66563</v>
      </c>
      <c r="NW8" s="39">
        <v>5901</v>
      </c>
      <c r="NX8" s="39">
        <v>7530</v>
      </c>
      <c r="NY8" s="118">
        <v>278878</v>
      </c>
      <c r="NZ8" s="39">
        <v>194281</v>
      </c>
      <c r="OA8" s="39">
        <v>70505</v>
      </c>
      <c r="OB8" s="39">
        <v>5065</v>
      </c>
      <c r="OC8" s="39">
        <v>11217</v>
      </c>
      <c r="OD8" s="118">
        <v>288285</v>
      </c>
      <c r="OE8" s="39"/>
      <c r="OF8" s="39"/>
      <c r="OG8" s="39"/>
      <c r="OH8" s="39"/>
      <c r="OI8" s="118">
        <v>301914</v>
      </c>
      <c r="OJ8" s="39">
        <v>209492</v>
      </c>
      <c r="OK8" s="39">
        <v>74484</v>
      </c>
      <c r="OL8" s="39">
        <v>7821</v>
      </c>
      <c r="OM8" s="39">
        <v>12120</v>
      </c>
      <c r="ON8" s="118">
        <v>303028</v>
      </c>
      <c r="OO8" s="39">
        <v>209298</v>
      </c>
      <c r="OP8" s="39">
        <v>71873</v>
      </c>
      <c r="OQ8" s="39">
        <v>6666</v>
      </c>
      <c r="OR8" s="39">
        <v>3020</v>
      </c>
      <c r="OS8" s="1">
        <v>2620</v>
      </c>
      <c r="OT8" s="1">
        <v>0</v>
      </c>
      <c r="OU8" s="1">
        <v>1710</v>
      </c>
      <c r="OV8" s="1">
        <v>13336</v>
      </c>
      <c r="OW8" s="1">
        <v>3020</v>
      </c>
      <c r="OX8" s="402">
        <f t="shared" ref="OX8:OX23" si="421">MA8+RU8+AAY8</f>
        <v>414427</v>
      </c>
      <c r="OY8" s="382">
        <f t="shared" ref="OY8:OY23" si="422">MB8+RV8+AAZ8</f>
        <v>316636</v>
      </c>
      <c r="OZ8" s="382">
        <f t="shared" ref="OZ8:OZ23" si="423">MC8+RW8+ABA8</f>
        <v>66002</v>
      </c>
      <c r="PA8" s="382">
        <f t="shared" ref="PA8:PA23" si="424">MD8+RX8+ABB8</f>
        <v>36665</v>
      </c>
      <c r="PB8" s="382">
        <f t="shared" ref="PB8:PB23" si="425">ME8+RY8+ABC8</f>
        <v>13003</v>
      </c>
      <c r="PC8" s="402">
        <f t="shared" ref="PC8:PC23" si="426">MF8+RZ8+ABD8</f>
        <v>705048</v>
      </c>
      <c r="PD8" s="382">
        <f t="shared" ref="PD8:PD23" si="427">MG8+SA8+ABE8</f>
        <v>572433</v>
      </c>
      <c r="PE8" s="382">
        <f t="shared" ref="PE8:PE23" si="428">MH8+SB8+ABF8</f>
        <v>111449</v>
      </c>
      <c r="PF8" s="382">
        <f t="shared" ref="PF8:PF23" si="429">MI8+SC8+ABG8</f>
        <v>6922</v>
      </c>
      <c r="PG8" s="382">
        <f t="shared" ref="PG8:PG23" si="430">MJ8+SD8+ABH8</f>
        <v>21166</v>
      </c>
      <c r="PH8" s="118">
        <v>778599</v>
      </c>
      <c r="PI8" s="39">
        <v>613039</v>
      </c>
      <c r="PJ8" s="39">
        <v>135781</v>
      </c>
      <c r="PK8" s="39">
        <v>11731</v>
      </c>
      <c r="PL8" s="39">
        <v>29779</v>
      </c>
      <c r="PM8" s="39">
        <v>837206</v>
      </c>
      <c r="PN8" s="39">
        <v>661759</v>
      </c>
      <c r="PO8" s="39">
        <v>141711</v>
      </c>
      <c r="PP8" s="39">
        <v>9654</v>
      </c>
      <c r="PQ8" s="39">
        <v>26942</v>
      </c>
      <c r="PR8" s="393"/>
      <c r="PS8" s="394"/>
      <c r="PT8" s="394"/>
      <c r="PU8" s="394"/>
      <c r="PV8" s="394"/>
      <c r="PW8" s="394">
        <v>952240</v>
      </c>
      <c r="PX8" s="394">
        <v>730326</v>
      </c>
      <c r="PY8" s="394">
        <v>173233</v>
      </c>
      <c r="PZ8" s="394">
        <v>15358</v>
      </c>
      <c r="QA8" s="406">
        <v>37886</v>
      </c>
      <c r="QB8" s="394">
        <v>983805</v>
      </c>
      <c r="QC8" s="394">
        <v>748277</v>
      </c>
      <c r="QD8" s="394">
        <v>183073</v>
      </c>
      <c r="QE8" s="394">
        <v>16597</v>
      </c>
      <c r="QF8" s="394">
        <v>39929</v>
      </c>
      <c r="QG8" s="394">
        <v>1021184</v>
      </c>
      <c r="QH8" s="394">
        <v>770597</v>
      </c>
      <c r="QI8" s="394">
        <v>192300</v>
      </c>
      <c r="QJ8" s="394">
        <v>21349</v>
      </c>
      <c r="QK8" s="394">
        <v>42720</v>
      </c>
      <c r="QL8" s="393">
        <v>1059328</v>
      </c>
      <c r="QM8" s="394">
        <v>803061</v>
      </c>
      <c r="QN8" s="394">
        <v>198957</v>
      </c>
      <c r="QO8" s="394">
        <v>16586</v>
      </c>
      <c r="QP8" s="394">
        <v>45080</v>
      </c>
      <c r="QQ8" s="393">
        <v>1086552</v>
      </c>
      <c r="QR8" s="394">
        <v>815543</v>
      </c>
      <c r="QS8" s="394">
        <v>212277</v>
      </c>
      <c r="QT8" s="394">
        <v>18631</v>
      </c>
      <c r="QU8" s="394">
        <v>45593</v>
      </c>
      <c r="QV8" s="393">
        <v>1123582</v>
      </c>
      <c r="QW8" s="394">
        <v>848133</v>
      </c>
      <c r="QX8" s="394">
        <v>210869</v>
      </c>
      <c r="QY8" s="394">
        <v>21586</v>
      </c>
      <c r="QZ8" s="394">
        <v>48233</v>
      </c>
      <c r="RA8" s="393">
        <v>1140322</v>
      </c>
      <c r="RB8" s="394"/>
      <c r="RC8" s="394"/>
      <c r="RD8" s="394"/>
      <c r="RE8" s="394"/>
      <c r="RF8" s="394">
        <v>1187271</v>
      </c>
      <c r="RG8" s="394">
        <v>871247</v>
      </c>
      <c r="RH8" s="394">
        <v>238849</v>
      </c>
      <c r="RI8" s="394">
        <v>24900</v>
      </c>
      <c r="RJ8" s="394">
        <v>58534</v>
      </c>
      <c r="RK8" s="394">
        <v>1249794</v>
      </c>
      <c r="RL8" s="394">
        <v>917670</v>
      </c>
      <c r="RM8" s="394">
        <v>230484</v>
      </c>
      <c r="RN8" s="394">
        <v>28848</v>
      </c>
      <c r="RO8" s="394">
        <v>95713</v>
      </c>
      <c r="RP8" s="1">
        <v>32366</v>
      </c>
      <c r="RQ8" s="1">
        <v>0</v>
      </c>
      <c r="RR8" s="1">
        <v>4705</v>
      </c>
      <c r="RS8" s="1">
        <v>47657</v>
      </c>
      <c r="RT8" s="1">
        <v>10985</v>
      </c>
      <c r="RU8" s="10">
        <v>258231</v>
      </c>
      <c r="RV8" s="3">
        <v>220946</v>
      </c>
      <c r="RW8" s="3">
        <v>33780</v>
      </c>
      <c r="RX8" s="3">
        <v>1551</v>
      </c>
      <c r="RY8" s="3">
        <v>3505</v>
      </c>
      <c r="RZ8" s="10">
        <v>351772</v>
      </c>
      <c r="SA8" s="39">
        <v>293705</v>
      </c>
      <c r="SB8" s="39">
        <v>49467</v>
      </c>
      <c r="SC8" s="39">
        <v>3209</v>
      </c>
      <c r="SD8" s="39">
        <v>8600</v>
      </c>
      <c r="SE8" s="118">
        <v>402159</v>
      </c>
      <c r="SF8" s="39">
        <v>323049</v>
      </c>
      <c r="SG8" s="39">
        <v>63752</v>
      </c>
      <c r="SH8" s="39">
        <v>4640</v>
      </c>
      <c r="SI8" s="39">
        <v>12007</v>
      </c>
      <c r="SJ8" s="118">
        <v>443185</v>
      </c>
      <c r="SK8" s="39">
        <v>356558</v>
      </c>
      <c r="SL8" s="39">
        <v>70125</v>
      </c>
      <c r="SM8" s="39">
        <v>7026</v>
      </c>
      <c r="SN8" s="39">
        <v>16502</v>
      </c>
      <c r="SO8" s="118">
        <v>446800.09499999997</v>
      </c>
      <c r="SP8" s="39">
        <v>358638.38400000002</v>
      </c>
      <c r="SQ8" s="39">
        <v>70510.275000000009</v>
      </c>
      <c r="SR8" s="39">
        <v>7420.491</v>
      </c>
      <c r="SS8" s="39">
        <v>17651.435999999943</v>
      </c>
      <c r="ST8" s="118">
        <v>452451</v>
      </c>
      <c r="SU8" s="39">
        <v>358986</v>
      </c>
      <c r="SV8" s="39">
        <v>72112</v>
      </c>
      <c r="SW8" s="39">
        <v>7662</v>
      </c>
      <c r="SX8" s="39">
        <v>16152</v>
      </c>
      <c r="SY8" s="39">
        <v>465326</v>
      </c>
      <c r="SZ8" s="39">
        <v>365186</v>
      </c>
      <c r="TA8" s="39">
        <v>76270</v>
      </c>
      <c r="TB8" s="39">
        <v>8396</v>
      </c>
      <c r="TC8" s="39">
        <v>17635</v>
      </c>
      <c r="TD8" s="39">
        <v>478058</v>
      </c>
      <c r="TE8" s="39">
        <v>369365</v>
      </c>
      <c r="TF8" s="39">
        <v>80303</v>
      </c>
      <c r="TG8" s="39">
        <v>11319</v>
      </c>
      <c r="TH8" s="39">
        <v>20281</v>
      </c>
      <c r="TI8" s="39">
        <v>504626</v>
      </c>
      <c r="TJ8" s="39">
        <v>392939</v>
      </c>
      <c r="TK8" s="39">
        <v>85115</v>
      </c>
      <c r="TL8" s="39">
        <v>8311</v>
      </c>
      <c r="TM8" s="39">
        <v>19668</v>
      </c>
      <c r="TN8" s="39">
        <v>506680</v>
      </c>
      <c r="TO8" s="39">
        <v>386565</v>
      </c>
      <c r="TP8" s="39">
        <v>92464</v>
      </c>
      <c r="TQ8" s="39">
        <v>9313</v>
      </c>
      <c r="TR8" s="39">
        <v>21088</v>
      </c>
      <c r="TS8" s="118">
        <v>528019</v>
      </c>
      <c r="TT8" s="39">
        <v>409931</v>
      </c>
      <c r="TU8" s="39">
        <v>91094</v>
      </c>
      <c r="TV8" s="39">
        <v>9732</v>
      </c>
      <c r="TW8" s="39">
        <v>18814</v>
      </c>
      <c r="TX8" s="118">
        <v>536086</v>
      </c>
      <c r="TY8" s="39"/>
      <c r="TZ8" s="39"/>
      <c r="UA8" s="39"/>
      <c r="UB8" s="39"/>
      <c r="UC8" s="118">
        <v>547975</v>
      </c>
      <c r="UD8" s="39">
        <v>410170</v>
      </c>
      <c r="UE8" s="39">
        <v>102618</v>
      </c>
      <c r="UF8" s="39">
        <v>10016</v>
      </c>
      <c r="UG8" s="39">
        <v>28091</v>
      </c>
      <c r="UH8" s="118">
        <v>572276</v>
      </c>
      <c r="UI8" s="39">
        <v>433245</v>
      </c>
      <c r="UJ8" s="39">
        <v>94126</v>
      </c>
      <c r="UK8" s="39">
        <v>14305</v>
      </c>
      <c r="UL8" s="39">
        <v>41708</v>
      </c>
      <c r="UM8" s="1">
        <v>13801</v>
      </c>
      <c r="UN8" s="1">
        <v>0</v>
      </c>
      <c r="UO8" s="1">
        <v>1628</v>
      </c>
      <c r="UP8" s="1">
        <v>20840</v>
      </c>
      <c r="UQ8" s="1">
        <v>7965</v>
      </c>
      <c r="UR8" s="588">
        <f t="shared" ref="UR8:UR23" si="431">+US8+UT8</f>
        <v>82310</v>
      </c>
      <c r="US8" s="40">
        <v>48526</v>
      </c>
      <c r="UT8" s="40">
        <v>33784</v>
      </c>
      <c r="UU8" s="588">
        <f t="shared" ref="UU8:UU23" si="432">+UV8+UW8</f>
        <v>12821</v>
      </c>
      <c r="UV8" s="40">
        <v>4308</v>
      </c>
      <c r="UW8" s="40">
        <v>8513</v>
      </c>
      <c r="UX8" s="42">
        <v>142580</v>
      </c>
      <c r="UY8" s="588">
        <f t="shared" ref="UY8:UY23" si="433">+VB8+VE8+VH8</f>
        <v>81133</v>
      </c>
      <c r="UZ8" s="588">
        <f t="shared" ref="UZ8:UZ23" si="434">+VC8+VF8+VI8</f>
        <v>61447</v>
      </c>
      <c r="VA8" s="588">
        <f t="shared" ref="VA8:VA23" si="435">+VB8+VC8</f>
        <v>125103</v>
      </c>
      <c r="VB8" s="40">
        <v>74785</v>
      </c>
      <c r="VC8" s="40">
        <v>50318</v>
      </c>
      <c r="VD8" s="588">
        <f t="shared" ref="VD8:VD23" si="436">+VE8+VF8</f>
        <v>16342</v>
      </c>
      <c r="VE8" s="40">
        <v>5565</v>
      </c>
      <c r="VF8" s="40">
        <v>10777</v>
      </c>
      <c r="VG8" s="588">
        <f t="shared" ref="VG8:VG23" si="437">+VH8+VI8</f>
        <v>1135</v>
      </c>
      <c r="VH8" s="40">
        <v>783</v>
      </c>
      <c r="VI8" s="40">
        <v>352</v>
      </c>
      <c r="VJ8" s="42">
        <v>270063</v>
      </c>
      <c r="VK8" s="588">
        <f t="shared" ref="VK8:VK23" si="438">+VN8+VS8+VV8+VY8</f>
        <v>152401</v>
      </c>
      <c r="VL8" s="588">
        <f t="shared" ref="VL8:VL23" si="439">+VO8+VT8+VW8+VZ8</f>
        <v>117662</v>
      </c>
      <c r="VM8" s="39">
        <f>136672+94383</f>
        <v>231055</v>
      </c>
      <c r="VN8" s="40">
        <v>136672</v>
      </c>
      <c r="VO8" s="40">
        <v>94383</v>
      </c>
      <c r="VP8" s="40">
        <v>15729</v>
      </c>
      <c r="VQ8" s="40">
        <v>23279</v>
      </c>
      <c r="VR8" s="39">
        <f>21473+13200</f>
        <v>34673</v>
      </c>
      <c r="VS8" s="40">
        <v>13200</v>
      </c>
      <c r="VT8" s="40">
        <v>21473</v>
      </c>
      <c r="VU8" s="39">
        <f>940+689</f>
        <v>1629</v>
      </c>
      <c r="VV8" s="40">
        <v>940</v>
      </c>
      <c r="VW8" s="40">
        <v>689</v>
      </c>
      <c r="VX8" s="233">
        <f t="shared" ref="VX8:VX23" si="440">+VY8+VZ8</f>
        <v>2706</v>
      </c>
      <c r="VY8" s="233">
        <f t="shared" ref="VY8:VY23" si="441">+WB8+WE8</f>
        <v>1589</v>
      </c>
      <c r="VZ8" s="233">
        <f t="shared" ref="VZ8:VZ23" si="442">+WC8+WF8</f>
        <v>1117</v>
      </c>
      <c r="WA8" s="234">
        <f t="shared" ref="WA8:WA23" si="443">+WB8+WC8</f>
        <v>314</v>
      </c>
      <c r="WB8" s="234">
        <f t="shared" ref="WB8:WB23" si="444">+VP8-VS8-VV8-WE8</f>
        <v>216</v>
      </c>
      <c r="WC8" s="234">
        <f t="shared" ref="WC8:WC23" si="445">+VQ8-VT8-VW8-WF8</f>
        <v>98</v>
      </c>
      <c r="WD8" s="40">
        <v>2392</v>
      </c>
      <c r="WE8" s="40">
        <v>1373</v>
      </c>
      <c r="WF8" s="40">
        <v>1019</v>
      </c>
      <c r="WG8" s="12">
        <f t="shared" ref="WG8:WG23" si="446">+RU8+AAY8</f>
        <v>287977</v>
      </c>
      <c r="WH8" s="588">
        <f t="shared" ref="WH8:WH23" si="447">+WL8+WR8+WU8+WX8</f>
        <v>214018</v>
      </c>
      <c r="WI8" s="588">
        <f t="shared" ref="WI8:WI23" si="448">+WM8+WS8+WV8+WY8</f>
        <v>185210</v>
      </c>
      <c r="WJ8" s="11">
        <f t="shared" ref="WJ8:WJ23" si="449">+RV8+AAZ8</f>
        <v>220946</v>
      </c>
      <c r="WK8" s="90">
        <f t="shared" ref="WK8:WK23" si="450">+WL8+WM8</f>
        <v>338539</v>
      </c>
      <c r="WL8" s="40">
        <v>189371</v>
      </c>
      <c r="WM8" s="40">
        <v>149168</v>
      </c>
      <c r="WN8" s="40">
        <v>24647</v>
      </c>
      <c r="WO8" s="40">
        <v>36042</v>
      </c>
      <c r="WP8" s="11">
        <f t="shared" ref="WP8:WP23" si="451">+RW8+ABA8</f>
        <v>36775</v>
      </c>
      <c r="WQ8" s="90">
        <f t="shared" ref="WQ8:WQ23" si="452">+WR8+WS8</f>
        <v>51446</v>
      </c>
      <c r="WR8" s="40">
        <v>19026</v>
      </c>
      <c r="WS8" s="40">
        <v>32420</v>
      </c>
      <c r="WT8" s="11">
        <f t="shared" ref="WT8:WT23" si="453">+WU8+WV8</f>
        <v>2486</v>
      </c>
      <c r="WU8" s="40">
        <v>1485</v>
      </c>
      <c r="WV8" s="40">
        <v>1001</v>
      </c>
      <c r="WW8" s="9">
        <f t="shared" ref="WW8:WW23" si="454">+RY8+ABC8</f>
        <v>11470</v>
      </c>
      <c r="WX8" s="235">
        <f t="shared" ref="WX8:WX23" si="455">+XA8+XD8</f>
        <v>4136</v>
      </c>
      <c r="WY8" s="235">
        <f t="shared" ref="WY8:WY23" si="456">+XB8+XE8</f>
        <v>2621</v>
      </c>
      <c r="WZ8" s="236">
        <f t="shared" ref="WZ8:WZ23" si="457">+XA8+XB8</f>
        <v>72</v>
      </c>
      <c r="XA8" s="236">
        <f t="shared" ref="XA8:XA23" si="458">+WN8-WR8-WU8-XD8</f>
        <v>52</v>
      </c>
      <c r="XB8" s="236">
        <f t="shared" ref="XB8:XB23" si="459">+WO8-WS8-WV8-XE8</f>
        <v>20</v>
      </c>
      <c r="XC8" s="589">
        <f t="shared" ref="XC8:XC23" si="460">+XD8+XE8</f>
        <v>6685</v>
      </c>
      <c r="XD8" s="589">
        <f t="shared" ref="XD8:XD23" si="461">+XF8+XH8</f>
        <v>4084</v>
      </c>
      <c r="XE8" s="589">
        <f t="shared" ref="XE8:XE23" si="462">+XG8+XI8</f>
        <v>2601</v>
      </c>
      <c r="XF8" s="40">
        <v>696</v>
      </c>
      <c r="XG8" s="40">
        <v>473</v>
      </c>
      <c r="XH8" s="40">
        <v>3388</v>
      </c>
      <c r="XI8" s="40">
        <v>2128</v>
      </c>
      <c r="XJ8" s="590">
        <v>549608</v>
      </c>
      <c r="XK8" s="40">
        <v>274406</v>
      </c>
      <c r="XL8" s="40">
        <v>275202</v>
      </c>
      <c r="XM8" s="5">
        <f t="shared" ref="XM8:XM23" si="463">+SA8+ABE8</f>
        <v>457267</v>
      </c>
      <c r="XN8" s="5">
        <v>238172</v>
      </c>
      <c r="XO8" s="5">
        <v>219095</v>
      </c>
      <c r="XP8" s="84">
        <f t="shared" ref="XP8:XP23" si="464">+XQ8+XR8</f>
        <v>453632</v>
      </c>
      <c r="XQ8" s="40">
        <v>236309</v>
      </c>
      <c r="XR8" s="40">
        <v>217323</v>
      </c>
      <c r="XS8" s="5">
        <f t="shared" ref="XS8:XS23" si="465">+XT8+XU8</f>
        <v>75596</v>
      </c>
      <c r="XT8" s="40">
        <v>27458</v>
      </c>
      <c r="XU8" s="40">
        <v>48138</v>
      </c>
      <c r="XV8" s="5">
        <f t="shared" ref="XV8:XV23" si="466">+XW8+XX8</f>
        <v>5320</v>
      </c>
      <c r="XW8" s="40">
        <v>2753</v>
      </c>
      <c r="XX8" s="40">
        <v>2567</v>
      </c>
      <c r="XY8" s="84">
        <f t="shared" ref="XY8:XY23" si="467">+XJ8-XM8-XS8</f>
        <v>16745</v>
      </c>
      <c r="XZ8" s="84">
        <f t="shared" ref="XZ8:XZ23" si="468">+XK8-XN8-XT8</f>
        <v>8776</v>
      </c>
      <c r="YA8" s="84">
        <f t="shared" ref="YA8:YA23" si="469">+XL8-XO8-XU8</f>
        <v>7969</v>
      </c>
      <c r="YB8" s="587">
        <v>637662</v>
      </c>
      <c r="YC8" s="40">
        <v>513335</v>
      </c>
      <c r="YD8" s="40">
        <v>96951</v>
      </c>
      <c r="YE8" s="40">
        <v>7464</v>
      </c>
      <c r="YF8" s="5">
        <v>21822</v>
      </c>
      <c r="YG8" s="118">
        <v>656325</v>
      </c>
      <c r="YH8" s="39">
        <v>531350</v>
      </c>
      <c r="YI8" s="39">
        <v>101979</v>
      </c>
      <c r="YJ8" s="3">
        <v>22996</v>
      </c>
      <c r="YK8" s="39">
        <v>7537</v>
      </c>
      <c r="YL8" s="118">
        <v>672968</v>
      </c>
      <c r="YM8" s="39">
        <v>544278</v>
      </c>
      <c r="YN8" s="39">
        <v>103636</v>
      </c>
      <c r="YO8" s="3">
        <v>25054</v>
      </c>
      <c r="YP8" s="39">
        <v>8667</v>
      </c>
      <c r="YQ8" s="118">
        <v>688050</v>
      </c>
      <c r="YR8" s="39">
        <v>552279</v>
      </c>
      <c r="YS8" s="39">
        <v>106720</v>
      </c>
      <c r="YT8" s="39">
        <v>29051</v>
      </c>
      <c r="YU8" s="39">
        <v>9873</v>
      </c>
      <c r="YV8" s="10">
        <v>700303.69499999995</v>
      </c>
      <c r="YW8" s="39">
        <v>560947.21600000001</v>
      </c>
      <c r="YX8" s="39">
        <v>109935.37500000001</v>
      </c>
      <c r="YY8" s="39">
        <v>10810.098</v>
      </c>
      <c r="YZ8" s="39">
        <v>29421.103999999919</v>
      </c>
      <c r="ZA8" s="39">
        <v>718001</v>
      </c>
      <c r="ZB8" s="39">
        <v>565053</v>
      </c>
      <c r="ZC8" s="39">
        <v>114630</v>
      </c>
      <c r="ZD8" s="39">
        <v>11301</v>
      </c>
      <c r="ZE8" s="1">
        <v>30320</v>
      </c>
      <c r="ZF8" s="1">
        <v>739414</v>
      </c>
      <c r="ZG8" s="1">
        <v>577383</v>
      </c>
      <c r="ZH8" s="1">
        <v>120718</v>
      </c>
      <c r="ZI8" s="1">
        <v>12456</v>
      </c>
      <c r="ZJ8" s="1">
        <v>31757</v>
      </c>
      <c r="ZK8" s="1">
        <v>764407</v>
      </c>
      <c r="ZL8" s="1">
        <v>592343</v>
      </c>
      <c r="ZM8" s="1">
        <v>125562</v>
      </c>
      <c r="ZN8" s="1">
        <v>16146</v>
      </c>
      <c r="ZO8" s="1">
        <v>34578</v>
      </c>
      <c r="ZP8" s="1">
        <v>792876</v>
      </c>
      <c r="ZQ8" s="1">
        <v>615164</v>
      </c>
      <c r="ZR8" s="1">
        <v>133199</v>
      </c>
      <c r="ZS8" s="1">
        <v>12459</v>
      </c>
      <c r="ZT8" s="1">
        <v>34736</v>
      </c>
      <c r="ZU8" s="1">
        <v>815522</v>
      </c>
      <c r="ZV8" s="1">
        <v>622920</v>
      </c>
      <c r="ZW8" s="1">
        <v>145714</v>
      </c>
      <c r="ZX8" s="1">
        <v>12730</v>
      </c>
      <c r="ZY8" s="1">
        <v>38063</v>
      </c>
      <c r="ZZ8" s="394">
        <v>20507</v>
      </c>
      <c r="AAA8" s="1">
        <v>0</v>
      </c>
      <c r="AAB8" s="1">
        <v>3305</v>
      </c>
      <c r="AAC8" s="1">
        <v>10274</v>
      </c>
      <c r="AAD8" s="1">
        <v>3977</v>
      </c>
      <c r="AAE8" s="50">
        <v>844704</v>
      </c>
      <c r="AAF8" s="1">
        <v>653852</v>
      </c>
      <c r="AAG8" s="1">
        <v>140364</v>
      </c>
      <c r="AAH8" s="1">
        <v>16521</v>
      </c>
      <c r="AAI8" s="1">
        <v>37016</v>
      </c>
      <c r="AAJ8" s="50">
        <v>852037</v>
      </c>
      <c r="AAK8" s="1"/>
      <c r="AAL8" s="1"/>
      <c r="AAM8" s="1"/>
      <c r="AAN8" s="1"/>
      <c r="AAO8" s="68">
        <v>885357</v>
      </c>
      <c r="AAP8" s="37">
        <v>661755</v>
      </c>
      <c r="AAQ8" s="37">
        <v>164365</v>
      </c>
      <c r="AAR8" s="37">
        <v>17079</v>
      </c>
      <c r="AAS8" s="37">
        <v>46414</v>
      </c>
      <c r="AAT8" s="68">
        <v>946766</v>
      </c>
      <c r="AAU8" s="37">
        <v>708372</v>
      </c>
      <c r="AAV8" s="37">
        <v>158611</v>
      </c>
      <c r="AAW8" s="37">
        <v>22182</v>
      </c>
      <c r="AAX8" s="37">
        <v>75027</v>
      </c>
      <c r="AAY8" s="1">
        <v>29746</v>
      </c>
      <c r="AAZ8" s="1">
        <v>0</v>
      </c>
      <c r="ABA8" s="1">
        <v>2995</v>
      </c>
      <c r="ABB8" s="1">
        <v>34321</v>
      </c>
      <c r="ABC8" s="1">
        <v>7965</v>
      </c>
      <c r="ABD8" s="10">
        <v>197836</v>
      </c>
      <c r="ABE8" s="39">
        <v>163562</v>
      </c>
      <c r="ABF8" s="39">
        <v>26129</v>
      </c>
      <c r="ABG8" s="39">
        <v>2111</v>
      </c>
      <c r="ABH8" s="39">
        <v>8145</v>
      </c>
      <c r="ABI8" s="118">
        <v>235503</v>
      </c>
      <c r="ABJ8" s="39">
        <v>190286</v>
      </c>
      <c r="ABK8" s="39">
        <v>33199</v>
      </c>
      <c r="ABL8" s="39">
        <v>2824</v>
      </c>
      <c r="ABM8" s="39">
        <v>9815</v>
      </c>
      <c r="ABN8" s="10">
        <v>244865</v>
      </c>
      <c r="ABO8" s="39">
        <v>195721</v>
      </c>
      <c r="ABP8" s="39">
        <v>36595</v>
      </c>
      <c r="ABQ8" s="39">
        <v>2847</v>
      </c>
      <c r="ABR8" s="39">
        <v>12549</v>
      </c>
      <c r="ABS8" s="10">
        <v>253503.6</v>
      </c>
      <c r="ABT8" s="39">
        <v>202308.83200000002</v>
      </c>
      <c r="ABU8" s="39">
        <v>39425.100000000006</v>
      </c>
      <c r="ABV8" s="39">
        <v>3389.6070000000004</v>
      </c>
      <c r="ABW8" s="207">
        <v>11769.667999999976</v>
      </c>
      <c r="ABX8" s="1">
        <v>265550</v>
      </c>
      <c r="ABY8" s="1">
        <v>206067</v>
      </c>
      <c r="ABZ8" s="1">
        <v>42518</v>
      </c>
      <c r="ACA8" s="1">
        <v>3639</v>
      </c>
      <c r="ACB8" s="49">
        <v>14168</v>
      </c>
      <c r="ACC8" s="1">
        <v>274088</v>
      </c>
      <c r="ACD8" s="1">
        <v>212197</v>
      </c>
      <c r="ACE8" s="1">
        <v>44448</v>
      </c>
      <c r="ACF8" s="1">
        <v>4060</v>
      </c>
      <c r="ACG8" s="1">
        <v>14122</v>
      </c>
      <c r="ACH8" s="1">
        <v>286349</v>
      </c>
      <c r="ACI8" s="1">
        <v>222978</v>
      </c>
      <c r="ACJ8" s="1">
        <v>45259</v>
      </c>
      <c r="ACK8" s="1">
        <v>4827</v>
      </c>
      <c r="ACL8" s="1">
        <v>14297</v>
      </c>
      <c r="ACM8" s="1">
        <v>288250</v>
      </c>
      <c r="ACN8" s="1">
        <v>222225</v>
      </c>
      <c r="ACO8" s="1">
        <v>48084</v>
      </c>
      <c r="ACP8" s="1">
        <v>4148</v>
      </c>
      <c r="ACQ8" s="1">
        <v>15068</v>
      </c>
      <c r="ACR8" s="1">
        <v>308842</v>
      </c>
      <c r="ACS8" s="1">
        <v>236355</v>
      </c>
      <c r="ACT8" s="1">
        <v>53250</v>
      </c>
      <c r="ACU8" s="1">
        <v>3417</v>
      </c>
      <c r="ACV8" s="1">
        <v>16975</v>
      </c>
      <c r="ADB8" s="50">
        <v>316685</v>
      </c>
      <c r="ADC8" s="1">
        <v>243921</v>
      </c>
      <c r="ADD8" s="1">
        <v>49270</v>
      </c>
      <c r="ADE8" s="1">
        <v>6789</v>
      </c>
      <c r="ADF8" s="1">
        <v>18202</v>
      </c>
      <c r="ADG8" s="50">
        <v>315951</v>
      </c>
      <c r="ADL8" s="50">
        <v>337382</v>
      </c>
      <c r="ADM8" s="1">
        <v>251585</v>
      </c>
      <c r="ADN8" s="1">
        <v>61747</v>
      </c>
      <c r="ADO8" s="1">
        <v>7063</v>
      </c>
      <c r="ADP8" s="1">
        <v>18323</v>
      </c>
      <c r="ADQ8" s="50">
        <v>374490</v>
      </c>
      <c r="ADR8" s="1">
        <v>275127</v>
      </c>
      <c r="ADS8" s="1">
        <v>64485</v>
      </c>
      <c r="ADT8" s="1">
        <v>7877</v>
      </c>
      <c r="ADU8" s="1">
        <v>33319</v>
      </c>
      <c r="ADV8" s="1">
        <v>15945</v>
      </c>
      <c r="ADW8" s="1">
        <v>0</v>
      </c>
      <c r="ADX8" s="1">
        <v>1367</v>
      </c>
      <c r="ADY8" s="1">
        <v>13481</v>
      </c>
      <c r="ADZ8" s="1">
        <v>2526</v>
      </c>
    </row>
    <row r="9" spans="1:806" ht="14.1">
      <c r="A9" s="138" t="s">
        <v>9</v>
      </c>
      <c r="B9" s="118">
        <f>47172+65010+63889+34186+68897+79516</f>
        <v>358670</v>
      </c>
      <c r="C9" s="39">
        <f>31361+51940+56670+21075+50969+67561</f>
        <v>279576</v>
      </c>
      <c r="D9" s="39">
        <f>14956+12331+6508+12197+16762+10949</f>
        <v>73703</v>
      </c>
      <c r="E9" s="39">
        <f>484+374+312+359+458+435</f>
        <v>2422</v>
      </c>
      <c r="F9" s="207">
        <f>271+288+280+89+77+117+280+357+402+275+332+153</f>
        <v>2921</v>
      </c>
      <c r="G9" s="3">
        <v>227633</v>
      </c>
      <c r="H9" s="39">
        <v>179843</v>
      </c>
      <c r="I9" s="39">
        <v>44394</v>
      </c>
      <c r="J9" s="39">
        <v>2079</v>
      </c>
      <c r="K9" s="207">
        <v>3396</v>
      </c>
      <c r="L9" s="3">
        <v>162464</v>
      </c>
      <c r="M9" s="39">
        <v>121627</v>
      </c>
      <c r="N9" s="39">
        <v>27602</v>
      </c>
      <c r="O9" s="39">
        <v>14517</v>
      </c>
      <c r="P9" s="207">
        <v>13235</v>
      </c>
      <c r="Q9" s="39">
        <v>135555</v>
      </c>
      <c r="R9" s="39">
        <v>88754</v>
      </c>
      <c r="S9" s="39">
        <v>19737</v>
      </c>
      <c r="T9" s="39">
        <v>22733</v>
      </c>
      <c r="U9" s="207">
        <v>16111</v>
      </c>
      <c r="V9" s="5">
        <v>127823</v>
      </c>
      <c r="W9" s="394">
        <v>93586</v>
      </c>
      <c r="X9" s="394">
        <v>17496</v>
      </c>
      <c r="Y9" s="394">
        <v>25380</v>
      </c>
      <c r="Z9" s="406">
        <v>16741</v>
      </c>
      <c r="AA9" s="394">
        <v>117886</v>
      </c>
      <c r="AB9" s="1">
        <v>69348</v>
      </c>
      <c r="AC9" s="394">
        <v>16344</v>
      </c>
      <c r="AD9" s="394">
        <v>27706</v>
      </c>
      <c r="AE9" s="394">
        <v>15205</v>
      </c>
      <c r="AF9" s="393">
        <v>113716</v>
      </c>
      <c r="AG9" s="394">
        <v>65437</v>
      </c>
      <c r="AH9" s="394">
        <v>15339</v>
      </c>
      <c r="AI9" s="394">
        <v>28353</v>
      </c>
      <c r="AJ9" s="490">
        <v>15058</v>
      </c>
      <c r="AK9" s="490">
        <v>110814</v>
      </c>
      <c r="AL9" s="490">
        <v>63023</v>
      </c>
      <c r="AM9" s="685">
        <v>13587</v>
      </c>
      <c r="AN9" s="685">
        <v>30187</v>
      </c>
      <c r="AO9" s="490">
        <v>15513</v>
      </c>
      <c r="AP9" s="394">
        <v>105945</v>
      </c>
      <c r="AQ9" s="394">
        <v>58054</v>
      </c>
      <c r="AR9" s="394">
        <v>15352</v>
      </c>
      <c r="AS9" s="394">
        <v>27443</v>
      </c>
      <c r="AT9" s="394">
        <v>14098</v>
      </c>
      <c r="AU9" s="393">
        <v>100157</v>
      </c>
      <c r="AV9" s="394">
        <v>55580</v>
      </c>
      <c r="AW9" s="394">
        <v>13286</v>
      </c>
      <c r="AX9" s="394">
        <v>26654</v>
      </c>
      <c r="AY9" s="394">
        <v>18432</v>
      </c>
      <c r="AZ9" s="1">
        <v>2428</v>
      </c>
      <c r="BA9" s="1">
        <v>0</v>
      </c>
      <c r="BB9" s="1">
        <v>326</v>
      </c>
      <c r="BC9" s="1">
        <v>2147</v>
      </c>
      <c r="BD9" s="1">
        <v>13531</v>
      </c>
      <c r="BE9" s="393">
        <v>92735</v>
      </c>
      <c r="BF9" s="394">
        <v>48861</v>
      </c>
      <c r="BG9" s="394">
        <v>11845</v>
      </c>
      <c r="BH9" s="394">
        <v>26427</v>
      </c>
      <c r="BI9" s="394">
        <v>19350</v>
      </c>
      <c r="BJ9" s="393">
        <v>92515</v>
      </c>
      <c r="BK9" s="394"/>
      <c r="BL9" s="394"/>
      <c r="BM9" s="394"/>
      <c r="BN9" s="394"/>
      <c r="BO9" s="393">
        <v>94376</v>
      </c>
      <c r="BP9" s="394">
        <v>48981</v>
      </c>
      <c r="BQ9" s="394">
        <v>10281</v>
      </c>
      <c r="BR9" s="394">
        <v>30777</v>
      </c>
      <c r="BS9" s="394">
        <v>14596</v>
      </c>
      <c r="BT9" s="393">
        <v>90660</v>
      </c>
      <c r="BU9" s="394">
        <v>41805</v>
      </c>
      <c r="BV9" s="394">
        <v>9712</v>
      </c>
      <c r="BW9" s="394">
        <v>32403</v>
      </c>
      <c r="BX9" s="394">
        <v>2281</v>
      </c>
      <c r="BY9" s="1">
        <v>0</v>
      </c>
      <c r="BZ9" s="1">
        <v>964</v>
      </c>
      <c r="CA9" s="1">
        <v>16463</v>
      </c>
      <c r="CB9" s="1">
        <v>13474</v>
      </c>
      <c r="CC9" s="118">
        <v>275848</v>
      </c>
      <c r="CD9" s="39">
        <v>222462</v>
      </c>
      <c r="CE9" s="39">
        <v>50113</v>
      </c>
      <c r="CF9" s="39">
        <v>32403</v>
      </c>
      <c r="CG9" s="207">
        <v>3273</v>
      </c>
      <c r="CH9" s="3">
        <v>264985</v>
      </c>
      <c r="CI9" s="39">
        <v>203853</v>
      </c>
      <c r="CJ9" s="39">
        <v>49742</v>
      </c>
      <c r="CK9" s="39">
        <v>8998</v>
      </c>
      <c r="CL9" s="207">
        <v>11390</v>
      </c>
      <c r="CM9" s="1">
        <v>221527</v>
      </c>
      <c r="CN9" s="39">
        <v>163425</v>
      </c>
      <c r="CO9" s="39">
        <v>39479</v>
      </c>
      <c r="CP9" s="39">
        <v>12086</v>
      </c>
      <c r="CQ9" s="207">
        <v>12848</v>
      </c>
      <c r="CR9" s="3">
        <v>205325</v>
      </c>
      <c r="CS9" s="39">
        <v>151598</v>
      </c>
      <c r="CT9" s="39">
        <v>40975</v>
      </c>
      <c r="CU9" s="39">
        <v>17323</v>
      </c>
      <c r="CV9" s="207">
        <v>12752</v>
      </c>
      <c r="CW9" s="39">
        <v>197227</v>
      </c>
      <c r="CX9" s="39">
        <v>135731</v>
      </c>
      <c r="CY9" s="39">
        <v>38170</v>
      </c>
      <c r="CZ9" s="39">
        <v>17752</v>
      </c>
      <c r="DA9" s="39">
        <v>12761</v>
      </c>
      <c r="DB9" s="39">
        <v>194500</v>
      </c>
      <c r="DC9" s="39">
        <v>133431</v>
      </c>
      <c r="DD9" s="39">
        <v>38264</v>
      </c>
      <c r="DE9" s="39">
        <v>17116</v>
      </c>
      <c r="DF9" s="39">
        <v>12731</v>
      </c>
      <c r="DG9" s="39">
        <v>177923</v>
      </c>
      <c r="DH9" s="39">
        <v>122508</v>
      </c>
      <c r="DI9" s="39">
        <v>33344</v>
      </c>
      <c r="DJ9" s="39">
        <v>17572</v>
      </c>
      <c r="DK9" s="39">
        <v>9220</v>
      </c>
      <c r="DL9" s="39">
        <v>184126</v>
      </c>
      <c r="DM9" s="39">
        <v>121534</v>
      </c>
      <c r="DN9" s="39">
        <v>39872</v>
      </c>
      <c r="DO9" s="39">
        <v>17384</v>
      </c>
      <c r="DP9" s="39">
        <v>11364</v>
      </c>
      <c r="DQ9" s="39">
        <v>179465</v>
      </c>
      <c r="DR9" s="39">
        <v>120289</v>
      </c>
      <c r="DS9" s="39">
        <v>36018</v>
      </c>
      <c r="DT9" s="39">
        <v>17498</v>
      </c>
      <c r="DU9" s="39">
        <v>14207</v>
      </c>
      <c r="DV9" s="118">
        <v>174807</v>
      </c>
      <c r="DW9" s="39">
        <v>110931</v>
      </c>
      <c r="DX9" s="39">
        <v>34592</v>
      </c>
      <c r="DY9" s="39">
        <v>19107</v>
      </c>
      <c r="DZ9" s="39">
        <v>18470</v>
      </c>
      <c r="EA9" s="118">
        <v>166471</v>
      </c>
      <c r="EB9" s="39"/>
      <c r="EC9" s="39"/>
      <c r="ED9" s="39"/>
      <c r="EE9" s="39"/>
      <c r="EF9" s="118">
        <v>160617</v>
      </c>
      <c r="EG9" s="39">
        <v>108125</v>
      </c>
      <c r="EH9" s="39">
        <v>27991</v>
      </c>
      <c r="EI9" s="39">
        <v>17925</v>
      </c>
      <c r="EJ9" s="39">
        <v>13552</v>
      </c>
      <c r="EK9" s="118">
        <v>160617</v>
      </c>
      <c r="EL9" s="39">
        <v>108125</v>
      </c>
      <c r="EM9" s="39">
        <v>27991</v>
      </c>
      <c r="EN9" s="39">
        <v>17925</v>
      </c>
      <c r="EO9" s="39">
        <v>13552</v>
      </c>
      <c r="EP9" s="118">
        <v>140230</v>
      </c>
      <c r="EQ9" s="39">
        <v>84401</v>
      </c>
      <c r="ER9" s="39">
        <v>25737</v>
      </c>
      <c r="ES9" s="39">
        <v>15334</v>
      </c>
      <c r="ET9" s="1">
        <v>2182</v>
      </c>
      <c r="EU9" s="1">
        <v>0</v>
      </c>
      <c r="EV9" s="1">
        <v>2092</v>
      </c>
      <c r="EW9" s="1">
        <v>15612</v>
      </c>
      <c r="EX9" s="1">
        <v>7412</v>
      </c>
      <c r="EY9" s="10">
        <v>324972</v>
      </c>
      <c r="EZ9" s="39">
        <v>239636</v>
      </c>
      <c r="FA9" s="39">
        <v>56534</v>
      </c>
      <c r="FB9" s="39">
        <v>44404</v>
      </c>
      <c r="FC9" s="382">
        <f t="shared" ref="FC9:FC23" si="470">EY9-EZ9-FA9</f>
        <v>28802</v>
      </c>
      <c r="FD9" s="230">
        <v>144575</v>
      </c>
      <c r="FE9" s="231">
        <v>212135</v>
      </c>
      <c r="FF9" s="231">
        <v>278619</v>
      </c>
      <c r="FG9" s="231">
        <v>422363</v>
      </c>
      <c r="FH9" s="10">
        <v>741481</v>
      </c>
      <c r="FI9" s="39">
        <v>668504.80000000005</v>
      </c>
      <c r="FJ9" s="39">
        <v>63328.356</v>
      </c>
      <c r="FK9" s="39">
        <v>3640.3119999999999</v>
      </c>
      <c r="FL9" s="207">
        <v>5956.4079999999994</v>
      </c>
      <c r="FM9" s="3">
        <v>992669</v>
      </c>
      <c r="FN9" s="39">
        <v>880612</v>
      </c>
      <c r="FO9" s="39">
        <v>100551</v>
      </c>
      <c r="FP9" s="39">
        <v>5377</v>
      </c>
      <c r="FQ9" s="207">
        <v>11506</v>
      </c>
      <c r="FR9" s="3">
        <v>1303751</v>
      </c>
      <c r="FS9" s="39">
        <v>1118029</v>
      </c>
      <c r="FT9" s="39">
        <v>148641</v>
      </c>
      <c r="FU9" s="39">
        <v>16504</v>
      </c>
      <c r="FV9" s="39">
        <v>37081</v>
      </c>
      <c r="FW9" s="232">
        <v>1485371</v>
      </c>
      <c r="FX9" s="39">
        <v>1226845</v>
      </c>
      <c r="FY9" s="39">
        <v>205521</v>
      </c>
      <c r="FZ9" s="39">
        <v>43750</v>
      </c>
      <c r="GA9" s="39">
        <v>31664</v>
      </c>
      <c r="GB9" s="118">
        <v>1512740</v>
      </c>
      <c r="GC9" s="39">
        <v>1267437</v>
      </c>
      <c r="GD9" s="39">
        <v>191230</v>
      </c>
      <c r="GE9" s="39">
        <v>54073</v>
      </c>
      <c r="GF9" s="39">
        <v>33941</v>
      </c>
      <c r="GG9" s="42">
        <v>1545311</v>
      </c>
      <c r="GH9" s="40">
        <v>1292975</v>
      </c>
      <c r="GI9" s="40">
        <v>195520</v>
      </c>
      <c r="GJ9" s="40">
        <v>56816</v>
      </c>
      <c r="GK9" s="40">
        <v>36386</v>
      </c>
      <c r="GL9" s="10">
        <v>1570953</v>
      </c>
      <c r="GM9" s="39">
        <v>1309590</v>
      </c>
      <c r="GN9" s="39">
        <v>202677</v>
      </c>
      <c r="GO9" s="39">
        <v>39654</v>
      </c>
      <c r="GP9" s="39">
        <v>39986</v>
      </c>
      <c r="GQ9" s="10">
        <v>1596016.13</v>
      </c>
      <c r="GR9" s="39">
        <v>1326610.362</v>
      </c>
      <c r="GS9" s="39">
        <v>209147.80799999996</v>
      </c>
      <c r="GT9" s="39">
        <v>42575.273999999998</v>
      </c>
      <c r="GU9" s="410">
        <f t="shared" ref="GU9:GU23" si="471">GQ9-GR9-GS9</f>
        <v>60257.959999999963</v>
      </c>
      <c r="GV9" s="39">
        <v>1623562</v>
      </c>
      <c r="GW9" s="39">
        <v>1315288</v>
      </c>
      <c r="GX9" s="39">
        <v>214193</v>
      </c>
      <c r="GY9" s="39">
        <v>45555</v>
      </c>
      <c r="GZ9" s="39">
        <v>61773</v>
      </c>
      <c r="HA9" s="39">
        <v>1642842</v>
      </c>
      <c r="HB9" s="39">
        <v>1325021</v>
      </c>
      <c r="HC9" s="39">
        <v>216572</v>
      </c>
      <c r="HD9" s="39">
        <v>49413</v>
      </c>
      <c r="HE9" s="39">
        <v>65808</v>
      </c>
      <c r="HF9" s="39">
        <v>1679677</v>
      </c>
      <c r="HG9" s="39">
        <v>1343759</v>
      </c>
      <c r="HH9" s="39">
        <v>230002</v>
      </c>
      <c r="HI9" s="39">
        <v>51201</v>
      </c>
      <c r="HJ9" s="39">
        <v>63613</v>
      </c>
      <c r="HK9" s="39">
        <v>1697748</v>
      </c>
      <c r="HL9" s="39">
        <v>1358657</v>
      </c>
      <c r="HM9" s="39">
        <v>227656</v>
      </c>
      <c r="HN9" s="39">
        <v>54643</v>
      </c>
      <c r="HO9" s="39">
        <v>72566</v>
      </c>
      <c r="HP9" s="118">
        <v>1710826</v>
      </c>
      <c r="HQ9" s="39">
        <v>1361279</v>
      </c>
      <c r="HR9" s="39">
        <v>232481</v>
      </c>
      <c r="HS9" s="39">
        <v>56850</v>
      </c>
      <c r="HT9" s="39">
        <v>80394</v>
      </c>
      <c r="HU9" s="394">
        <v>24749</v>
      </c>
      <c r="HV9" s="1">
        <v>0</v>
      </c>
      <c r="HW9" s="1">
        <v>9645</v>
      </c>
      <c r="HX9" s="1">
        <v>26843</v>
      </c>
      <c r="HY9" s="1">
        <v>19157</v>
      </c>
      <c r="HZ9" s="118">
        <v>1740856</v>
      </c>
      <c r="IA9" s="39">
        <v>1380797</v>
      </c>
      <c r="IB9" s="39">
        <v>231605</v>
      </c>
      <c r="IC9" s="39">
        <v>61598</v>
      </c>
      <c r="ID9" s="39">
        <v>87422</v>
      </c>
      <c r="IE9" s="393">
        <v>1762953</v>
      </c>
      <c r="IF9" s="394"/>
      <c r="IG9" s="394"/>
      <c r="IH9" s="394"/>
      <c r="II9" s="394"/>
      <c r="IJ9" s="393">
        <v>1781463</v>
      </c>
      <c r="IK9" s="394">
        <v>1393472</v>
      </c>
      <c r="IL9" s="394">
        <v>253776</v>
      </c>
      <c r="IM9" s="394">
        <v>69198</v>
      </c>
      <c r="IN9" s="394">
        <v>86572</v>
      </c>
      <c r="IO9" s="393">
        <v>1806873</v>
      </c>
      <c r="IP9" s="394">
        <v>1354998</v>
      </c>
      <c r="IQ9" s="394">
        <v>241519</v>
      </c>
      <c r="IR9" s="394">
        <v>75184</v>
      </c>
      <c r="IS9" s="394">
        <v>191905</v>
      </c>
      <c r="IT9" s="1">
        <v>25959</v>
      </c>
      <c r="IU9" s="1">
        <v>0</v>
      </c>
      <c r="IV9" s="1">
        <v>8410</v>
      </c>
      <c r="IW9" s="1">
        <v>129477</v>
      </c>
      <c r="IX9" s="1">
        <v>28059</v>
      </c>
      <c r="IY9" s="399">
        <f>76335+77040</f>
        <v>153375</v>
      </c>
      <c r="IZ9" s="394">
        <f>68960+68655</f>
        <v>137615</v>
      </c>
      <c r="JA9" s="394">
        <f>6514+6948</f>
        <v>13462</v>
      </c>
      <c r="JB9" s="394">
        <f>496+417</f>
        <v>913</v>
      </c>
      <c r="JC9" s="406">
        <f>455+254+359+256</f>
        <v>1324</v>
      </c>
      <c r="JD9" s="5">
        <v>303795</v>
      </c>
      <c r="JE9" s="394">
        <v>268322</v>
      </c>
      <c r="JF9" s="394">
        <v>31402</v>
      </c>
      <c r="JG9" s="394">
        <v>2033</v>
      </c>
      <c r="JH9" s="406">
        <v>4071</v>
      </c>
      <c r="JI9" s="5">
        <v>424907</v>
      </c>
      <c r="JJ9" s="394">
        <v>361323</v>
      </c>
      <c r="JK9" s="394">
        <v>50654</v>
      </c>
      <c r="JL9" s="394">
        <v>5481</v>
      </c>
      <c r="JM9" s="406">
        <v>12930</v>
      </c>
      <c r="JN9" s="394">
        <v>480305</v>
      </c>
      <c r="JO9" s="394">
        <v>395813</v>
      </c>
      <c r="JP9" s="394">
        <v>63227</v>
      </c>
      <c r="JQ9" s="394">
        <v>8872</v>
      </c>
      <c r="JR9" s="394">
        <v>16677</v>
      </c>
      <c r="JS9" s="5">
        <v>542540</v>
      </c>
      <c r="JT9" s="394">
        <v>446188</v>
      </c>
      <c r="JU9" s="394">
        <v>76590</v>
      </c>
      <c r="JV9" s="394">
        <v>11332</v>
      </c>
      <c r="JW9" s="406">
        <v>19762</v>
      </c>
      <c r="JX9" s="5">
        <v>546106.72399999993</v>
      </c>
      <c r="JY9" s="394">
        <v>447946.35600000003</v>
      </c>
      <c r="JZ9" s="394">
        <v>77766.887999999992</v>
      </c>
      <c r="KA9" s="394">
        <v>12189.240000000002</v>
      </c>
      <c r="KB9" s="406">
        <v>20393.479999999909</v>
      </c>
      <c r="KC9" s="394">
        <v>551433</v>
      </c>
      <c r="KD9" s="394">
        <v>443746</v>
      </c>
      <c r="KE9" s="394">
        <v>77658</v>
      </c>
      <c r="KF9" s="394">
        <v>13168</v>
      </c>
      <c r="KG9" s="439">
        <v>20694</v>
      </c>
      <c r="KH9" s="439">
        <v>550297</v>
      </c>
      <c r="KI9" s="439">
        <v>440250</v>
      </c>
      <c r="KJ9" s="439">
        <v>77516</v>
      </c>
      <c r="KK9" s="439">
        <v>15565</v>
      </c>
      <c r="KL9" s="439">
        <v>21126</v>
      </c>
      <c r="KM9" s="439">
        <v>571933</v>
      </c>
      <c r="KN9" s="439">
        <v>454022</v>
      </c>
      <c r="KO9" s="439">
        <v>86613</v>
      </c>
      <c r="KP9" s="439">
        <v>15883</v>
      </c>
      <c r="KQ9" s="439">
        <v>18377</v>
      </c>
      <c r="KR9" s="439">
        <v>585915</v>
      </c>
      <c r="KS9" s="439">
        <v>463783</v>
      </c>
      <c r="KT9" s="439">
        <v>90687</v>
      </c>
      <c r="KU9" s="439">
        <v>15354</v>
      </c>
      <c r="KV9" s="439">
        <v>21125</v>
      </c>
      <c r="KW9" s="630">
        <v>583024</v>
      </c>
      <c r="KX9" s="439">
        <v>459300</v>
      </c>
      <c r="KY9" s="439">
        <v>87579</v>
      </c>
      <c r="KZ9" s="439">
        <v>16427</v>
      </c>
      <c r="LA9" s="439">
        <v>25838</v>
      </c>
      <c r="LB9" s="652">
        <v>587457</v>
      </c>
      <c r="LC9" s="653">
        <v>459256</v>
      </c>
      <c r="LD9" s="653">
        <v>86613</v>
      </c>
      <c r="LE9" s="653">
        <v>18864</v>
      </c>
      <c r="LF9" s="653">
        <v>29278</v>
      </c>
      <c r="LG9" s="652">
        <v>604811</v>
      </c>
      <c r="LH9" s="653"/>
      <c r="LI9" s="439"/>
      <c r="LJ9" s="439"/>
      <c r="LK9" s="439"/>
      <c r="LL9" s="652">
        <v>595790</v>
      </c>
      <c r="LM9" s="653">
        <v>463946</v>
      </c>
      <c r="LN9" s="653">
        <v>94224</v>
      </c>
      <c r="LO9" s="653">
        <v>18558</v>
      </c>
      <c r="LP9" s="653">
        <v>24717</v>
      </c>
      <c r="LQ9" s="652">
        <v>596777</v>
      </c>
      <c r="LR9" s="653">
        <v>446602</v>
      </c>
      <c r="LS9" s="653">
        <v>88898</v>
      </c>
      <c r="LT9" s="653">
        <v>19618</v>
      </c>
      <c r="LU9" s="653">
        <v>55016</v>
      </c>
      <c r="LV9" s="1">
        <v>5148</v>
      </c>
      <c r="LW9" s="1">
        <v>0</v>
      </c>
      <c r="LX9" s="1">
        <v>2990</v>
      </c>
      <c r="LY9" s="1">
        <v>40362</v>
      </c>
      <c r="LZ9" s="1">
        <v>6516</v>
      </c>
      <c r="MA9" s="10">
        <v>54695</v>
      </c>
      <c r="MB9" s="39">
        <v>47575</v>
      </c>
      <c r="MC9" s="39">
        <v>6106</v>
      </c>
      <c r="MD9" s="39">
        <v>424</v>
      </c>
      <c r="ME9" s="207">
        <v>1014</v>
      </c>
      <c r="MF9" s="3">
        <v>69578</v>
      </c>
      <c r="MG9" s="39">
        <v>59021</v>
      </c>
      <c r="MH9" s="39">
        <v>8170</v>
      </c>
      <c r="MI9" s="39">
        <v>911</v>
      </c>
      <c r="MJ9" s="207">
        <v>2387</v>
      </c>
      <c r="MK9" s="39">
        <v>102571</v>
      </c>
      <c r="ML9" s="39">
        <v>82172</v>
      </c>
      <c r="MM9" s="39">
        <v>15102</v>
      </c>
      <c r="MN9" s="39">
        <v>2050</v>
      </c>
      <c r="MO9" s="39">
        <v>4118</v>
      </c>
      <c r="MP9" s="118">
        <v>114590</v>
      </c>
      <c r="MQ9" s="39">
        <v>93907</v>
      </c>
      <c r="MR9" s="39">
        <v>16186</v>
      </c>
      <c r="MS9" s="39">
        <v>2935</v>
      </c>
      <c r="MT9" s="39">
        <v>4497</v>
      </c>
      <c r="MU9" s="118"/>
      <c r="MV9" s="39"/>
      <c r="MW9" s="39"/>
      <c r="MX9" s="39"/>
      <c r="MY9" s="207"/>
      <c r="MZ9" s="39">
        <v>117981</v>
      </c>
      <c r="NA9" s="39">
        <v>93733</v>
      </c>
      <c r="NB9" s="39">
        <v>17531</v>
      </c>
      <c r="NC9" s="39">
        <v>3210</v>
      </c>
      <c r="ND9" s="39">
        <v>4207</v>
      </c>
      <c r="NE9" s="39">
        <v>116085</v>
      </c>
      <c r="NF9" s="39">
        <v>92368</v>
      </c>
      <c r="NG9" s="39">
        <v>16148</v>
      </c>
      <c r="NH9" s="39">
        <v>4124</v>
      </c>
      <c r="NI9" s="39">
        <v>4333</v>
      </c>
      <c r="NJ9" s="39">
        <v>123871</v>
      </c>
      <c r="NK9" s="39">
        <v>101791</v>
      </c>
      <c r="NL9" s="39">
        <v>16057</v>
      </c>
      <c r="NM9" s="39">
        <v>2787</v>
      </c>
      <c r="NN9" s="39">
        <v>26383</v>
      </c>
      <c r="NO9" s="39">
        <v>135029</v>
      </c>
      <c r="NP9" s="39">
        <v>109540</v>
      </c>
      <c r="NQ9" s="39">
        <v>19099</v>
      </c>
      <c r="NR9" s="39">
        <v>2029</v>
      </c>
      <c r="NS9" s="39">
        <v>5012</v>
      </c>
      <c r="NT9" s="39">
        <v>133315</v>
      </c>
      <c r="NU9" s="39">
        <v>106424</v>
      </c>
      <c r="NV9" s="39">
        <v>17316</v>
      </c>
      <c r="NW9" s="39">
        <v>4553</v>
      </c>
      <c r="NX9" s="39">
        <v>6619</v>
      </c>
      <c r="NY9" s="118">
        <v>143522</v>
      </c>
      <c r="NZ9" s="39">
        <v>113547</v>
      </c>
      <c r="OA9" s="39">
        <v>20014</v>
      </c>
      <c r="OB9" s="39">
        <v>4038</v>
      </c>
      <c r="OC9" s="39">
        <v>7590</v>
      </c>
      <c r="OD9" s="118">
        <v>154143</v>
      </c>
      <c r="OE9" s="39"/>
      <c r="OF9" s="39"/>
      <c r="OG9" s="39"/>
      <c r="OH9" s="39"/>
      <c r="OI9" s="118">
        <v>151738</v>
      </c>
      <c r="OJ9" s="39">
        <v>118872</v>
      </c>
      <c r="OK9" s="39">
        <v>23035</v>
      </c>
      <c r="OL9" s="39">
        <v>4239</v>
      </c>
      <c r="OM9" s="39">
        <v>6315</v>
      </c>
      <c r="ON9" s="118">
        <v>161542</v>
      </c>
      <c r="OO9" s="39">
        <v>121158</v>
      </c>
      <c r="OP9" s="39">
        <v>21081</v>
      </c>
      <c r="OQ9" s="39">
        <v>6213</v>
      </c>
      <c r="OR9" s="39">
        <v>2371</v>
      </c>
      <c r="OS9" s="1">
        <v>2636</v>
      </c>
      <c r="OT9" s="1">
        <v>0</v>
      </c>
      <c r="OU9" s="1">
        <v>1201</v>
      </c>
      <c r="OV9" s="1">
        <v>11952</v>
      </c>
      <c r="OW9" s="1">
        <v>2371</v>
      </c>
      <c r="OX9" s="402">
        <f t="shared" si="421"/>
        <v>201291</v>
      </c>
      <c r="OY9" s="382">
        <f t="shared" si="422"/>
        <v>167413</v>
      </c>
      <c r="OZ9" s="382">
        <f t="shared" si="423"/>
        <v>20382</v>
      </c>
      <c r="PA9" s="382">
        <f t="shared" si="424"/>
        <v>29423</v>
      </c>
      <c r="PB9" s="382">
        <f t="shared" si="425"/>
        <v>7943</v>
      </c>
      <c r="PC9" s="402">
        <f t="shared" si="426"/>
        <v>358006</v>
      </c>
      <c r="PD9" s="382">
        <f t="shared" si="427"/>
        <v>315561</v>
      </c>
      <c r="PE9" s="382">
        <f t="shared" si="428"/>
        <v>31268</v>
      </c>
      <c r="PF9" s="382">
        <f t="shared" si="429"/>
        <v>3755</v>
      </c>
      <c r="PG9" s="382">
        <f t="shared" si="430"/>
        <v>11177</v>
      </c>
      <c r="PH9" s="118">
        <v>415526</v>
      </c>
      <c r="PI9" s="39">
        <v>354975</v>
      </c>
      <c r="PJ9" s="39">
        <v>42333</v>
      </c>
      <c r="PK9" s="39">
        <v>8881</v>
      </c>
      <c r="PL9" s="39">
        <v>18218</v>
      </c>
      <c r="PM9" s="39">
        <v>446419</v>
      </c>
      <c r="PN9" s="39">
        <v>379020</v>
      </c>
      <c r="PO9" s="39">
        <v>45126</v>
      </c>
      <c r="PP9" s="39">
        <v>7347</v>
      </c>
      <c r="PQ9" s="39">
        <v>17687</v>
      </c>
      <c r="PR9" s="393"/>
      <c r="PS9" s="394"/>
      <c r="PT9" s="394"/>
      <c r="PU9" s="394"/>
      <c r="PV9" s="394"/>
      <c r="PW9" s="394">
        <v>510244</v>
      </c>
      <c r="PX9" s="394">
        <v>424819</v>
      </c>
      <c r="PY9" s="394">
        <v>54061</v>
      </c>
      <c r="PZ9" s="394">
        <v>11393</v>
      </c>
      <c r="QA9" s="406">
        <v>23376</v>
      </c>
      <c r="QB9" s="394">
        <v>519734</v>
      </c>
      <c r="QC9" s="394">
        <v>432184</v>
      </c>
      <c r="QD9" s="394">
        <v>53782</v>
      </c>
      <c r="QE9" s="394">
        <v>12242</v>
      </c>
      <c r="QF9" s="394">
        <v>24887</v>
      </c>
      <c r="QG9" s="394">
        <v>544829</v>
      </c>
      <c r="QH9" s="394">
        <v>451765</v>
      </c>
      <c r="QI9" s="394">
        <v>57963</v>
      </c>
      <c r="QJ9" s="394">
        <v>11192</v>
      </c>
      <c r="QK9" s="394">
        <v>26383</v>
      </c>
      <c r="QL9" s="393">
        <v>568410</v>
      </c>
      <c r="QM9" s="394">
        <v>471763</v>
      </c>
      <c r="QN9" s="394">
        <v>57762</v>
      </c>
      <c r="QO9" s="394">
        <v>11717</v>
      </c>
      <c r="QP9" s="394">
        <v>30496</v>
      </c>
      <c r="QQ9" s="393">
        <v>579148</v>
      </c>
      <c r="QR9" s="394">
        <v>475313</v>
      </c>
      <c r="QS9" s="394">
        <v>62408</v>
      </c>
      <c r="QT9" s="394">
        <v>14297</v>
      </c>
      <c r="QU9" s="394">
        <v>31992</v>
      </c>
      <c r="QV9" s="393">
        <v>613636</v>
      </c>
      <c r="QW9" s="394">
        <v>504209</v>
      </c>
      <c r="QX9" s="394">
        <v>63902</v>
      </c>
      <c r="QY9" s="394">
        <v>15865</v>
      </c>
      <c r="QZ9" s="394">
        <v>34477</v>
      </c>
      <c r="RA9" s="393">
        <v>625418</v>
      </c>
      <c r="RB9" s="394"/>
      <c r="RC9" s="394"/>
      <c r="RD9" s="394"/>
      <c r="RE9" s="394"/>
      <c r="RF9" s="394">
        <v>627105</v>
      </c>
      <c r="RG9" s="394">
        <v>505540</v>
      </c>
      <c r="RH9" s="394">
        <v>72718</v>
      </c>
      <c r="RI9" s="394">
        <v>15845</v>
      </c>
      <c r="RJ9" s="394">
        <v>36234</v>
      </c>
      <c r="RK9" s="394">
        <v>676576</v>
      </c>
      <c r="RL9" s="394">
        <v>529542</v>
      </c>
      <c r="RM9" s="394">
        <v>74009</v>
      </c>
      <c r="RN9" s="394">
        <v>21772</v>
      </c>
      <c r="RO9" s="394">
        <v>68787</v>
      </c>
      <c r="RP9" s="1">
        <v>16520</v>
      </c>
      <c r="RQ9" s="1">
        <v>0</v>
      </c>
      <c r="RR9" s="1">
        <v>4063</v>
      </c>
      <c r="RS9" s="1">
        <v>40364</v>
      </c>
      <c r="RT9" s="1">
        <v>7840</v>
      </c>
      <c r="RU9" s="10">
        <v>132712</v>
      </c>
      <c r="RV9" s="3">
        <v>119838</v>
      </c>
      <c r="RW9" s="3">
        <v>11414</v>
      </c>
      <c r="RX9" s="3">
        <v>587</v>
      </c>
      <c r="RY9" s="3">
        <v>1460</v>
      </c>
      <c r="RZ9" s="10">
        <v>190427</v>
      </c>
      <c r="SA9" s="39">
        <v>169547</v>
      </c>
      <c r="SB9" s="39">
        <v>15950</v>
      </c>
      <c r="SC9" s="39">
        <v>1757</v>
      </c>
      <c r="SD9" s="39">
        <v>4930</v>
      </c>
      <c r="SE9" s="118">
        <v>227914</v>
      </c>
      <c r="SF9" s="39">
        <v>196196</v>
      </c>
      <c r="SG9" s="39">
        <v>21402</v>
      </c>
      <c r="SH9" s="39">
        <v>3347</v>
      </c>
      <c r="SI9" s="39">
        <v>8288</v>
      </c>
      <c r="SJ9" s="118">
        <v>243362</v>
      </c>
      <c r="SK9" s="39">
        <v>210705</v>
      </c>
      <c r="SL9" s="39">
        <v>22208</v>
      </c>
      <c r="SM9" s="39">
        <v>4780</v>
      </c>
      <c r="SN9" s="39">
        <v>10449</v>
      </c>
      <c r="SO9" s="118">
        <v>249978.43000000002</v>
      </c>
      <c r="SP9" s="39">
        <v>214575.70199999996</v>
      </c>
      <c r="SQ9" s="39">
        <v>24152.856</v>
      </c>
      <c r="SR9" s="39">
        <v>5311.0259999999998</v>
      </c>
      <c r="SS9" s="39">
        <v>11249.872000000061</v>
      </c>
      <c r="ST9" s="118">
        <v>258832</v>
      </c>
      <c r="SU9" s="39">
        <v>218448</v>
      </c>
      <c r="SV9" s="39">
        <v>25385</v>
      </c>
      <c r="SW9" s="39">
        <v>5238</v>
      </c>
      <c r="SX9" s="39">
        <v>11763</v>
      </c>
      <c r="SY9" s="39">
        <v>263636</v>
      </c>
      <c r="SZ9" s="39">
        <v>222160</v>
      </c>
      <c r="TA9" s="39">
        <v>26290</v>
      </c>
      <c r="TB9" s="39">
        <v>5212</v>
      </c>
      <c r="TC9" s="39">
        <v>11553</v>
      </c>
      <c r="TD9" s="39">
        <v>272411</v>
      </c>
      <c r="TE9" s="39">
        <v>227826</v>
      </c>
      <c r="TF9" s="39">
        <v>28883</v>
      </c>
      <c r="TG9" s="39">
        <v>5123</v>
      </c>
      <c r="TH9" s="39">
        <v>11600</v>
      </c>
      <c r="TI9" s="39">
        <v>278975</v>
      </c>
      <c r="TJ9" s="39">
        <v>233929</v>
      </c>
      <c r="TK9" s="39">
        <v>27261</v>
      </c>
      <c r="TL9" s="39">
        <v>7373</v>
      </c>
      <c r="TM9" s="39">
        <v>12405</v>
      </c>
      <c r="TN9" s="39">
        <v>282608</v>
      </c>
      <c r="TO9" s="39">
        <v>234161</v>
      </c>
      <c r="TP9" s="39">
        <v>29509</v>
      </c>
      <c r="TQ9" s="39">
        <v>6465</v>
      </c>
      <c r="TR9" s="39">
        <v>14381</v>
      </c>
      <c r="TS9" s="118">
        <v>301294</v>
      </c>
      <c r="TT9" s="39">
        <v>251124</v>
      </c>
      <c r="TU9" s="39">
        <v>26952</v>
      </c>
      <c r="TV9" s="39">
        <v>8557</v>
      </c>
      <c r="TW9" s="39">
        <v>16629</v>
      </c>
      <c r="TX9" s="118">
        <v>296422</v>
      </c>
      <c r="TY9" s="39"/>
      <c r="TZ9" s="39"/>
      <c r="UA9" s="39"/>
      <c r="UB9" s="39"/>
      <c r="UC9" s="118">
        <v>307185</v>
      </c>
      <c r="UD9" s="39">
        <v>252118</v>
      </c>
      <c r="UE9" s="39">
        <v>31493</v>
      </c>
      <c r="UF9" s="39">
        <v>8785</v>
      </c>
      <c r="UG9" s="39">
        <v>16980</v>
      </c>
      <c r="UH9" s="118">
        <v>324137</v>
      </c>
      <c r="UI9" s="39">
        <v>260590</v>
      </c>
      <c r="UJ9" s="39">
        <v>31913</v>
      </c>
      <c r="UK9" s="39">
        <v>11264</v>
      </c>
      <c r="UL9" s="39">
        <v>29504</v>
      </c>
      <c r="UM9" s="1">
        <v>5838</v>
      </c>
      <c r="UN9" s="1">
        <v>0</v>
      </c>
      <c r="UO9" s="1">
        <v>1558</v>
      </c>
      <c r="UP9" s="1">
        <v>18121</v>
      </c>
      <c r="UQ9" s="1">
        <v>5469</v>
      </c>
      <c r="UR9" s="588">
        <f t="shared" si="431"/>
        <v>42398</v>
      </c>
      <c r="US9" s="40">
        <v>25138</v>
      </c>
      <c r="UT9" s="40">
        <v>17260</v>
      </c>
      <c r="UU9" s="588">
        <f t="shared" si="432"/>
        <v>3768</v>
      </c>
      <c r="UV9" s="40">
        <v>1448</v>
      </c>
      <c r="UW9" s="40">
        <v>2320</v>
      </c>
      <c r="UX9" s="42">
        <v>70529</v>
      </c>
      <c r="UY9" s="588">
        <f t="shared" si="433"/>
        <v>39776</v>
      </c>
      <c r="UZ9" s="588">
        <f t="shared" si="434"/>
        <v>30753</v>
      </c>
      <c r="VA9" s="588">
        <f t="shared" si="435"/>
        <v>65067</v>
      </c>
      <c r="VB9" s="40">
        <v>37574</v>
      </c>
      <c r="VC9" s="40">
        <v>27493</v>
      </c>
      <c r="VD9" s="588">
        <f t="shared" si="436"/>
        <v>5021</v>
      </c>
      <c r="VE9" s="40">
        <v>1946</v>
      </c>
      <c r="VF9" s="40">
        <v>3075</v>
      </c>
      <c r="VG9" s="588">
        <f t="shared" si="437"/>
        <v>441</v>
      </c>
      <c r="VH9" s="40">
        <v>256</v>
      </c>
      <c r="VI9" s="40">
        <v>185</v>
      </c>
      <c r="VJ9" s="42">
        <v>144677</v>
      </c>
      <c r="VK9" s="588">
        <f t="shared" si="438"/>
        <v>81595</v>
      </c>
      <c r="VL9" s="588">
        <f t="shared" si="439"/>
        <v>63082</v>
      </c>
      <c r="VM9" s="39">
        <f>56193+75936</f>
        <v>132129</v>
      </c>
      <c r="VN9" s="40">
        <v>75936</v>
      </c>
      <c r="VO9" s="40">
        <v>56193</v>
      </c>
      <c r="VP9" s="40">
        <v>5659</v>
      </c>
      <c r="VQ9" s="40">
        <v>6889</v>
      </c>
      <c r="VR9" s="39">
        <f>4412+6082</f>
        <v>10494</v>
      </c>
      <c r="VS9" s="40">
        <v>4412</v>
      </c>
      <c r="VT9" s="40">
        <v>6082</v>
      </c>
      <c r="VU9" s="39">
        <f>269+369</f>
        <v>638</v>
      </c>
      <c r="VV9" s="40">
        <v>369</v>
      </c>
      <c r="VW9" s="40">
        <v>269</v>
      </c>
      <c r="VX9" s="233">
        <f t="shared" si="440"/>
        <v>1416</v>
      </c>
      <c r="VY9" s="233">
        <f t="shared" si="441"/>
        <v>878</v>
      </c>
      <c r="VZ9" s="233">
        <f t="shared" si="442"/>
        <v>538</v>
      </c>
      <c r="WA9" s="234">
        <f t="shared" si="443"/>
        <v>61</v>
      </c>
      <c r="WB9" s="234">
        <f t="shared" si="444"/>
        <v>30</v>
      </c>
      <c r="WC9" s="234">
        <f t="shared" si="445"/>
        <v>31</v>
      </c>
      <c r="WD9" s="40">
        <v>1355</v>
      </c>
      <c r="WE9" s="40">
        <v>848</v>
      </c>
      <c r="WF9" s="40">
        <v>507</v>
      </c>
      <c r="WG9" s="12">
        <f t="shared" si="446"/>
        <v>146596</v>
      </c>
      <c r="WH9" s="588">
        <f t="shared" si="447"/>
        <v>104715</v>
      </c>
      <c r="WI9" s="588">
        <f t="shared" si="448"/>
        <v>94589</v>
      </c>
      <c r="WJ9" s="11">
        <f t="shared" si="449"/>
        <v>119838</v>
      </c>
      <c r="WK9" s="90">
        <f t="shared" si="450"/>
        <v>179572</v>
      </c>
      <c r="WL9" s="40">
        <v>96351</v>
      </c>
      <c r="WM9" s="40">
        <v>83221</v>
      </c>
      <c r="WN9" s="40">
        <v>8364</v>
      </c>
      <c r="WO9" s="40">
        <v>11368</v>
      </c>
      <c r="WP9" s="11">
        <f t="shared" si="451"/>
        <v>14276</v>
      </c>
      <c r="WQ9" s="90">
        <f t="shared" si="452"/>
        <v>16254</v>
      </c>
      <c r="WR9" s="40">
        <v>6386</v>
      </c>
      <c r="WS9" s="40">
        <v>9868</v>
      </c>
      <c r="WT9" s="11">
        <f t="shared" si="453"/>
        <v>1009</v>
      </c>
      <c r="WU9" s="40">
        <v>579</v>
      </c>
      <c r="WV9" s="40">
        <v>430</v>
      </c>
      <c r="WW9" s="9">
        <f t="shared" si="454"/>
        <v>6929</v>
      </c>
      <c r="WX9" s="235">
        <f t="shared" si="455"/>
        <v>1399</v>
      </c>
      <c r="WY9" s="235">
        <f t="shared" si="456"/>
        <v>1070</v>
      </c>
      <c r="WZ9" s="236">
        <f t="shared" si="457"/>
        <v>39</v>
      </c>
      <c r="XA9" s="236">
        <f t="shared" si="458"/>
        <v>17</v>
      </c>
      <c r="XB9" s="236">
        <f t="shared" si="459"/>
        <v>22</v>
      </c>
      <c r="XC9" s="589">
        <f t="shared" si="460"/>
        <v>2430</v>
      </c>
      <c r="XD9" s="589">
        <f t="shared" si="461"/>
        <v>1382</v>
      </c>
      <c r="XE9" s="589">
        <f t="shared" si="462"/>
        <v>1048</v>
      </c>
      <c r="XF9" s="40">
        <v>475</v>
      </c>
      <c r="XG9" s="40">
        <v>353</v>
      </c>
      <c r="XH9" s="40">
        <v>907</v>
      </c>
      <c r="XI9" s="40">
        <v>695</v>
      </c>
      <c r="XJ9" s="590">
        <v>288428</v>
      </c>
      <c r="XK9" s="40">
        <v>143658</v>
      </c>
      <c r="XL9" s="40">
        <v>144770</v>
      </c>
      <c r="XM9" s="5">
        <f t="shared" si="463"/>
        <v>256540</v>
      </c>
      <c r="XN9" s="5">
        <v>130506</v>
      </c>
      <c r="XO9" s="5">
        <v>126034</v>
      </c>
      <c r="XP9" s="84">
        <f t="shared" si="464"/>
        <v>254781</v>
      </c>
      <c r="XQ9" s="40">
        <v>129637</v>
      </c>
      <c r="XR9" s="40">
        <v>125144</v>
      </c>
      <c r="XS9" s="5">
        <f t="shared" si="465"/>
        <v>23098</v>
      </c>
      <c r="XT9" s="40">
        <v>8704</v>
      </c>
      <c r="XU9" s="40">
        <v>14394</v>
      </c>
      <c r="XV9" s="5">
        <f t="shared" si="466"/>
        <v>2844</v>
      </c>
      <c r="XW9" s="40">
        <v>1373</v>
      </c>
      <c r="XX9" s="40">
        <v>1471</v>
      </c>
      <c r="XY9" s="84">
        <f t="shared" si="467"/>
        <v>8790</v>
      </c>
      <c r="XZ9" s="84">
        <f t="shared" si="468"/>
        <v>4448</v>
      </c>
      <c r="YA9" s="84">
        <f t="shared" si="469"/>
        <v>4342</v>
      </c>
      <c r="YB9" s="587">
        <v>343848</v>
      </c>
      <c r="YC9" s="40">
        <v>296848</v>
      </c>
      <c r="YD9" s="40">
        <v>30024</v>
      </c>
      <c r="YE9" s="40">
        <v>5297</v>
      </c>
      <c r="YF9" s="5">
        <v>13569</v>
      </c>
      <c r="YG9" s="118">
        <v>350866</v>
      </c>
      <c r="YH9" s="39">
        <v>306354</v>
      </c>
      <c r="YI9" s="39">
        <v>30195</v>
      </c>
      <c r="YJ9" s="39">
        <v>14317</v>
      </c>
      <c r="YK9" s="39">
        <v>6077</v>
      </c>
      <c r="YL9" s="118">
        <v>359416</v>
      </c>
      <c r="YM9" s="39">
        <v>313357</v>
      </c>
      <c r="YN9" s="39">
        <v>31182</v>
      </c>
      <c r="YO9" s="39">
        <v>14877</v>
      </c>
      <c r="YP9" s="39">
        <v>6133</v>
      </c>
      <c r="YQ9" s="118">
        <v>361884</v>
      </c>
      <c r="YR9" s="39">
        <v>312710</v>
      </c>
      <c r="YS9" s="39">
        <v>32416</v>
      </c>
      <c r="YT9" s="39">
        <v>16758</v>
      </c>
      <c r="YU9" s="39">
        <v>7106</v>
      </c>
      <c r="YV9" s="10">
        <v>374967.64500000002</v>
      </c>
      <c r="YW9" s="39">
        <v>324212.92199999996</v>
      </c>
      <c r="YX9" s="39">
        <v>34769.495999999999</v>
      </c>
      <c r="YY9" s="39">
        <v>7661.808</v>
      </c>
      <c r="YZ9" s="39">
        <v>15985.227000000057</v>
      </c>
      <c r="ZA9" s="39">
        <v>392263</v>
      </c>
      <c r="ZB9" s="39">
        <v>331086</v>
      </c>
      <c r="ZC9" s="39">
        <v>36530</v>
      </c>
      <c r="ZD9" s="39">
        <v>8183</v>
      </c>
      <c r="ZE9" s="1">
        <v>19169</v>
      </c>
      <c r="ZF9" s="1">
        <v>403649</v>
      </c>
      <c r="ZG9" s="1">
        <v>339816</v>
      </c>
      <c r="ZH9" s="1">
        <v>37634</v>
      </c>
      <c r="ZI9" s="1">
        <v>8118</v>
      </c>
      <c r="ZJ9" s="1">
        <v>20554</v>
      </c>
      <c r="ZK9" s="1">
        <v>420958</v>
      </c>
      <c r="ZL9" s="1">
        <v>349974</v>
      </c>
      <c r="ZM9" s="1">
        <v>41906</v>
      </c>
      <c r="ZN9" s="1">
        <v>8405</v>
      </c>
      <c r="ZO9" s="1">
        <v>22577</v>
      </c>
      <c r="ZP9" s="1">
        <v>433381</v>
      </c>
      <c r="ZQ9" s="1">
        <v>362223</v>
      </c>
      <c r="ZR9" s="1">
        <v>38663</v>
      </c>
      <c r="ZS9" s="1">
        <v>9688</v>
      </c>
      <c r="ZT9" s="1">
        <v>25484</v>
      </c>
      <c r="ZU9" s="1">
        <v>445833</v>
      </c>
      <c r="ZV9" s="1">
        <v>368889</v>
      </c>
      <c r="ZW9" s="1">
        <v>45092</v>
      </c>
      <c r="ZX9" s="1">
        <v>9744</v>
      </c>
      <c r="ZY9" s="1">
        <v>25373</v>
      </c>
      <c r="ZZ9" s="394">
        <v>13491</v>
      </c>
      <c r="AAA9" s="1">
        <v>0</v>
      </c>
      <c r="AAB9" s="1">
        <v>2068</v>
      </c>
      <c r="AAC9" s="1">
        <v>6074</v>
      </c>
      <c r="AAD9" s="1">
        <v>3740</v>
      </c>
      <c r="AAE9" s="50">
        <v>470114</v>
      </c>
      <c r="AAF9" s="1">
        <v>390662</v>
      </c>
      <c r="AAG9" s="1">
        <v>43888</v>
      </c>
      <c r="AAH9" s="1">
        <v>11827</v>
      </c>
      <c r="AAI9" s="1">
        <v>26887</v>
      </c>
      <c r="AAJ9" s="50">
        <v>471275</v>
      </c>
      <c r="AAK9" s="1"/>
      <c r="AAL9" s="1"/>
      <c r="AAM9" s="1"/>
      <c r="AAN9" s="1"/>
      <c r="AAO9" s="68">
        <v>475367</v>
      </c>
      <c r="AAP9" s="37">
        <v>386668</v>
      </c>
      <c r="AAQ9" s="37">
        <v>49683</v>
      </c>
      <c r="AAR9" s="37">
        <v>11606</v>
      </c>
      <c r="AAS9" s="37">
        <v>29919</v>
      </c>
      <c r="AAT9" s="68">
        <v>515034</v>
      </c>
      <c r="AAU9" s="37">
        <v>408384</v>
      </c>
      <c r="AAV9" s="37">
        <v>52928</v>
      </c>
      <c r="AAW9" s="37">
        <v>15559</v>
      </c>
      <c r="AAX9" s="37">
        <v>50627</v>
      </c>
      <c r="AAY9" s="1">
        <v>13884</v>
      </c>
      <c r="AAZ9" s="1">
        <v>0</v>
      </c>
      <c r="ABA9" s="1">
        <v>2862</v>
      </c>
      <c r="ABB9" s="1">
        <v>28412</v>
      </c>
      <c r="ABC9" s="1">
        <v>5469</v>
      </c>
      <c r="ABD9" s="10">
        <v>98001</v>
      </c>
      <c r="ABE9" s="39">
        <v>86993</v>
      </c>
      <c r="ABF9" s="39">
        <v>7148</v>
      </c>
      <c r="ABG9" s="39">
        <v>1087</v>
      </c>
      <c r="ABH9" s="39">
        <v>3860</v>
      </c>
      <c r="ABI9" s="118">
        <v>115934</v>
      </c>
      <c r="ABJ9" s="39">
        <v>100652</v>
      </c>
      <c r="ABK9" s="39">
        <v>8622</v>
      </c>
      <c r="ABL9" s="39">
        <v>1950</v>
      </c>
      <c r="ABM9" s="39">
        <v>5281</v>
      </c>
      <c r="ABN9" s="10">
        <v>118522</v>
      </c>
      <c r="ABO9" s="39">
        <v>102005</v>
      </c>
      <c r="ABP9" s="39">
        <v>10208</v>
      </c>
      <c r="ABQ9" s="39">
        <v>2326</v>
      </c>
      <c r="ABR9" s="39">
        <v>6309</v>
      </c>
      <c r="ABS9" s="10">
        <v>124989.21500000001</v>
      </c>
      <c r="ABT9" s="39">
        <v>109637.22000000002</v>
      </c>
      <c r="ABU9" s="39">
        <v>10616.64</v>
      </c>
      <c r="ABV9" s="39">
        <v>2350.7820000000002</v>
      </c>
      <c r="ABW9" s="207">
        <v>4735.3549999999959</v>
      </c>
      <c r="ABX9" s="1">
        <v>133431</v>
      </c>
      <c r="ABY9" s="1">
        <v>112638</v>
      </c>
      <c r="ABZ9" s="1">
        <v>11145</v>
      </c>
      <c r="ACA9" s="1">
        <v>2945</v>
      </c>
      <c r="ACB9" s="49">
        <v>7406</v>
      </c>
      <c r="ACC9" s="1">
        <v>140013</v>
      </c>
      <c r="ACD9" s="1">
        <v>117656</v>
      </c>
      <c r="ACE9" s="1">
        <v>11344</v>
      </c>
      <c r="ACF9" s="1">
        <v>2906</v>
      </c>
      <c r="ACG9" s="1">
        <v>9001</v>
      </c>
      <c r="ACH9" s="1">
        <v>148547</v>
      </c>
      <c r="ACI9" s="1">
        <v>122148</v>
      </c>
      <c r="ACJ9" s="1">
        <v>13023</v>
      </c>
      <c r="ACK9" s="1">
        <v>3282</v>
      </c>
      <c r="ACL9" s="1">
        <v>10977</v>
      </c>
      <c r="ACM9" s="1">
        <v>154406</v>
      </c>
      <c r="ACN9" s="1">
        <v>128294</v>
      </c>
      <c r="ACO9" s="1">
        <v>11402</v>
      </c>
      <c r="ACP9" s="1">
        <v>2315</v>
      </c>
      <c r="ACQ9" s="1">
        <v>13079</v>
      </c>
      <c r="ACR9" s="1">
        <v>163225</v>
      </c>
      <c r="ACS9" s="1">
        <v>134728</v>
      </c>
      <c r="ACT9" s="1">
        <v>15583</v>
      </c>
      <c r="ACU9" s="1">
        <v>3279</v>
      </c>
      <c r="ACV9" s="1">
        <v>10992</v>
      </c>
      <c r="ADB9" s="50">
        <v>168820</v>
      </c>
      <c r="ADC9" s="1">
        <v>139538</v>
      </c>
      <c r="ADD9" s="1">
        <v>16936</v>
      </c>
      <c r="ADE9" s="1">
        <v>3270</v>
      </c>
      <c r="ADF9" s="1">
        <v>10258</v>
      </c>
      <c r="ADG9" s="50">
        <v>174853</v>
      </c>
      <c r="ADL9" s="50">
        <v>168182</v>
      </c>
      <c r="ADM9" s="1">
        <v>134550</v>
      </c>
      <c r="ADN9" s="1">
        <v>18190</v>
      </c>
      <c r="ADO9" s="1">
        <v>2821</v>
      </c>
      <c r="ADP9" s="1">
        <v>12939</v>
      </c>
      <c r="ADQ9" s="50">
        <v>190897</v>
      </c>
      <c r="ADR9" s="1">
        <v>147794</v>
      </c>
      <c r="ADS9" s="1">
        <v>21015</v>
      </c>
      <c r="ADT9" s="1">
        <v>4295</v>
      </c>
      <c r="ADU9" s="1">
        <v>21123</v>
      </c>
      <c r="ADV9" s="1">
        <v>8046</v>
      </c>
      <c r="ADW9" s="1">
        <v>0</v>
      </c>
      <c r="ADX9" s="1">
        <v>1304</v>
      </c>
      <c r="ADY9" s="1">
        <v>10291</v>
      </c>
      <c r="ADZ9" s="1">
        <v>1482</v>
      </c>
    </row>
    <row r="10" spans="1:806" ht="14.1">
      <c r="A10" s="38" t="s">
        <v>10</v>
      </c>
      <c r="B10" s="237" t="s">
        <v>221</v>
      </c>
      <c r="C10" s="238" t="s">
        <v>221</v>
      </c>
      <c r="D10" s="238" t="s">
        <v>221</v>
      </c>
      <c r="E10" s="238" t="s">
        <v>221</v>
      </c>
      <c r="F10" s="239" t="s">
        <v>221</v>
      </c>
      <c r="G10" s="3">
        <v>31009</v>
      </c>
      <c r="H10" s="39">
        <v>22373</v>
      </c>
      <c r="I10" s="39">
        <v>6952</v>
      </c>
      <c r="J10" s="39">
        <v>1540</v>
      </c>
      <c r="K10" s="207">
        <v>1684</v>
      </c>
      <c r="L10" s="3">
        <v>25490</v>
      </c>
      <c r="M10" s="39">
        <v>16704</v>
      </c>
      <c r="N10" s="39">
        <v>5231</v>
      </c>
      <c r="O10" s="39">
        <v>4469</v>
      </c>
      <c r="P10" s="207">
        <v>3555</v>
      </c>
      <c r="Q10" s="39">
        <v>25696</v>
      </c>
      <c r="R10" s="39">
        <v>12294</v>
      </c>
      <c r="S10" s="39">
        <v>4579</v>
      </c>
      <c r="T10" s="39">
        <v>7793</v>
      </c>
      <c r="U10" s="207">
        <v>4237</v>
      </c>
      <c r="V10" s="5">
        <v>24464</v>
      </c>
      <c r="W10" s="394">
        <v>16609</v>
      </c>
      <c r="X10" s="394">
        <v>4218</v>
      </c>
      <c r="Y10" s="394">
        <v>8763</v>
      </c>
      <c r="Z10" s="406">
        <v>3637</v>
      </c>
      <c r="AA10" s="394">
        <v>25601</v>
      </c>
      <c r="AB10" s="1">
        <v>11195</v>
      </c>
      <c r="AC10" s="394">
        <v>3616</v>
      </c>
      <c r="AD10" s="394">
        <v>9426</v>
      </c>
      <c r="AE10" s="394">
        <v>4142</v>
      </c>
      <c r="AF10" s="393">
        <v>26726</v>
      </c>
      <c r="AG10" s="394">
        <v>11315</v>
      </c>
      <c r="AH10" s="394">
        <v>4074</v>
      </c>
      <c r="AI10" s="394">
        <v>9852</v>
      </c>
      <c r="AJ10" s="490">
        <v>4632</v>
      </c>
      <c r="AK10" s="490">
        <v>21628</v>
      </c>
      <c r="AL10" s="490">
        <v>8230</v>
      </c>
      <c r="AM10" s="685">
        <v>3210</v>
      </c>
      <c r="AN10" s="685">
        <v>8699</v>
      </c>
      <c r="AO10" s="490">
        <v>4850</v>
      </c>
      <c r="AP10" s="394">
        <v>24692</v>
      </c>
      <c r="AQ10" s="394">
        <v>9485</v>
      </c>
      <c r="AR10" s="394">
        <v>3416</v>
      </c>
      <c r="AS10" s="394">
        <v>10524</v>
      </c>
      <c r="AT10" s="394">
        <v>3292</v>
      </c>
      <c r="AU10" s="393">
        <v>22347</v>
      </c>
      <c r="AV10" s="394">
        <v>9022</v>
      </c>
      <c r="AW10" s="394">
        <v>3971</v>
      </c>
      <c r="AX10" s="394">
        <v>8455</v>
      </c>
      <c r="AY10" s="394">
        <v>2504</v>
      </c>
      <c r="AZ10" s="1">
        <v>937</v>
      </c>
      <c r="BA10" s="1">
        <v>0</v>
      </c>
      <c r="BB10" s="1">
        <v>92</v>
      </c>
      <c r="BC10" s="1">
        <v>153</v>
      </c>
      <c r="BD10" s="1">
        <v>1322</v>
      </c>
      <c r="BE10" s="393">
        <v>23460</v>
      </c>
      <c r="BF10" s="394">
        <v>9056</v>
      </c>
      <c r="BG10" s="394">
        <v>3433</v>
      </c>
      <c r="BH10" s="394">
        <v>10072</v>
      </c>
      <c r="BI10" s="394">
        <v>3074</v>
      </c>
      <c r="BJ10" s="393">
        <v>26223</v>
      </c>
      <c r="BK10" s="394"/>
      <c r="BL10" s="394"/>
      <c r="BM10" s="394"/>
      <c r="BN10" s="394"/>
      <c r="BO10" s="393">
        <v>23925</v>
      </c>
      <c r="BP10" s="394">
        <v>8455</v>
      </c>
      <c r="BQ10" s="394">
        <v>3386</v>
      </c>
      <c r="BR10" s="394">
        <v>10968</v>
      </c>
      <c r="BS10" s="394">
        <v>4158</v>
      </c>
      <c r="BT10" s="393">
        <v>23325</v>
      </c>
      <c r="BU10" s="394">
        <v>6874</v>
      </c>
      <c r="BV10" s="394">
        <v>4434</v>
      </c>
      <c r="BW10" s="394">
        <v>10230</v>
      </c>
      <c r="BX10" s="394">
        <v>1302</v>
      </c>
      <c r="BY10" s="1">
        <v>0</v>
      </c>
      <c r="BZ10" s="1">
        <v>0</v>
      </c>
      <c r="CA10" s="1">
        <v>3514</v>
      </c>
      <c r="CB10" s="1">
        <v>6580</v>
      </c>
      <c r="CC10" s="118">
        <v>65463</v>
      </c>
      <c r="CD10" s="39">
        <v>47769</v>
      </c>
      <c r="CE10" s="39">
        <v>16124</v>
      </c>
      <c r="CF10" s="39">
        <v>10230</v>
      </c>
      <c r="CG10" s="207">
        <v>1570</v>
      </c>
      <c r="CH10" s="3">
        <v>64046</v>
      </c>
      <c r="CI10" s="39">
        <v>43373</v>
      </c>
      <c r="CJ10" s="39">
        <v>17182</v>
      </c>
      <c r="CK10" s="39">
        <v>3375</v>
      </c>
      <c r="CL10" s="207">
        <v>3491</v>
      </c>
      <c r="CM10" s="1">
        <v>54162</v>
      </c>
      <c r="CN10" s="39">
        <v>34948</v>
      </c>
      <c r="CO10" s="39">
        <v>13580</v>
      </c>
      <c r="CP10" s="39">
        <v>4416</v>
      </c>
      <c r="CQ10" s="207">
        <v>2720</v>
      </c>
      <c r="CR10" s="3">
        <v>51387</v>
      </c>
      <c r="CS10" s="39">
        <v>34083</v>
      </c>
      <c r="CT10" s="39">
        <v>13847</v>
      </c>
      <c r="CU10" s="39">
        <v>5803</v>
      </c>
      <c r="CV10" s="207">
        <v>3457</v>
      </c>
      <c r="CW10" s="39">
        <v>49642</v>
      </c>
      <c r="CX10" s="39">
        <v>29787</v>
      </c>
      <c r="CY10" s="39">
        <v>13782</v>
      </c>
      <c r="CZ10" s="39">
        <v>4648</v>
      </c>
      <c r="DA10" s="39">
        <v>3294</v>
      </c>
      <c r="DB10" s="39">
        <v>48874</v>
      </c>
      <c r="DC10" s="39">
        <v>28908</v>
      </c>
      <c r="DD10" s="39">
        <v>13518</v>
      </c>
      <c r="DE10" s="39">
        <v>4712</v>
      </c>
      <c r="DF10" s="39">
        <v>3759</v>
      </c>
      <c r="DG10" s="39">
        <v>49039</v>
      </c>
      <c r="DH10" s="39">
        <v>28257</v>
      </c>
      <c r="DI10" s="39">
        <v>13745</v>
      </c>
      <c r="DJ10" s="39">
        <v>5613</v>
      </c>
      <c r="DK10" s="39">
        <v>2781</v>
      </c>
      <c r="DL10" s="39">
        <v>47663</v>
      </c>
      <c r="DM10" s="39">
        <v>26267</v>
      </c>
      <c r="DN10" s="39">
        <v>12636</v>
      </c>
      <c r="DO10" s="39">
        <v>7755</v>
      </c>
      <c r="DP10" s="39">
        <v>3437</v>
      </c>
      <c r="DQ10" s="39">
        <v>48247</v>
      </c>
      <c r="DR10" s="39">
        <v>27244</v>
      </c>
      <c r="DS10" s="39">
        <v>12621</v>
      </c>
      <c r="DT10" s="39">
        <v>6270</v>
      </c>
      <c r="DU10" s="39">
        <v>3668</v>
      </c>
      <c r="DV10" s="118">
        <v>40091</v>
      </c>
      <c r="DW10" s="39">
        <v>21985</v>
      </c>
      <c r="DX10" s="39">
        <v>9236</v>
      </c>
      <c r="DY10" s="39">
        <v>7350</v>
      </c>
      <c r="DZ10" s="39">
        <v>3454</v>
      </c>
      <c r="EA10" s="118">
        <v>42858</v>
      </c>
      <c r="EB10" s="39"/>
      <c r="EC10" s="39"/>
      <c r="ED10" s="39"/>
      <c r="EE10" s="39"/>
      <c r="EF10" s="118">
        <v>42597</v>
      </c>
      <c r="EG10" s="39">
        <v>23814</v>
      </c>
      <c r="EH10" s="39">
        <v>10270</v>
      </c>
      <c r="EI10" s="39">
        <v>7666</v>
      </c>
      <c r="EJ10" s="39">
        <v>3092</v>
      </c>
      <c r="EK10" s="118">
        <v>42597</v>
      </c>
      <c r="EL10" s="39">
        <v>23814</v>
      </c>
      <c r="EM10" s="39">
        <v>10270</v>
      </c>
      <c r="EN10" s="39">
        <v>7666</v>
      </c>
      <c r="EO10" s="39">
        <v>3092</v>
      </c>
      <c r="EP10" s="118">
        <v>38141</v>
      </c>
      <c r="EQ10" s="39">
        <v>18846</v>
      </c>
      <c r="ER10" s="39">
        <v>9032</v>
      </c>
      <c r="ES10" s="39">
        <v>7914</v>
      </c>
      <c r="ET10" s="1">
        <v>1203</v>
      </c>
      <c r="EU10" s="1">
        <v>0</v>
      </c>
      <c r="EV10" s="1">
        <v>0</v>
      </c>
      <c r="EW10" s="1">
        <v>2648</v>
      </c>
      <c r="EX10" s="1">
        <v>5796</v>
      </c>
      <c r="EY10" s="10">
        <v>77238</v>
      </c>
      <c r="EZ10" s="39">
        <v>51975</v>
      </c>
      <c r="FA10" s="39">
        <v>17878</v>
      </c>
      <c r="FB10" s="39">
        <v>14869</v>
      </c>
      <c r="FC10" s="382">
        <f t="shared" si="470"/>
        <v>7385</v>
      </c>
      <c r="FD10" s="230">
        <v>37054</v>
      </c>
      <c r="FE10" s="231">
        <v>63915</v>
      </c>
      <c r="FF10" s="231">
        <v>106502</v>
      </c>
      <c r="FG10" s="231">
        <v>156932</v>
      </c>
      <c r="FH10" s="10">
        <v>236594</v>
      </c>
      <c r="FI10" s="39"/>
      <c r="FJ10" s="39"/>
      <c r="FK10" s="39"/>
      <c r="FL10" s="207"/>
      <c r="FM10" s="3">
        <v>332027</v>
      </c>
      <c r="FN10" s="39">
        <v>285043</v>
      </c>
      <c r="FO10" s="39">
        <v>39644</v>
      </c>
      <c r="FP10" s="39">
        <v>4548</v>
      </c>
      <c r="FQ10" s="207">
        <v>7340</v>
      </c>
      <c r="FR10" s="3">
        <v>425122</v>
      </c>
      <c r="FS10" s="39">
        <v>341260</v>
      </c>
      <c r="FT10" s="39">
        <v>64412</v>
      </c>
      <c r="FU10" s="39">
        <v>10457</v>
      </c>
      <c r="FV10" s="39">
        <v>19450</v>
      </c>
      <c r="FW10" s="232">
        <v>485447</v>
      </c>
      <c r="FX10" s="39">
        <v>365726</v>
      </c>
      <c r="FY10" s="39">
        <v>91681</v>
      </c>
      <c r="FZ10" s="39">
        <v>19420</v>
      </c>
      <c r="GA10" s="39">
        <v>15004</v>
      </c>
      <c r="GB10" s="118">
        <v>497004</v>
      </c>
      <c r="GC10" s="39">
        <v>382360</v>
      </c>
      <c r="GD10" s="39">
        <v>87818</v>
      </c>
      <c r="GE10" s="39">
        <v>26826</v>
      </c>
      <c r="GF10" s="39">
        <v>16402</v>
      </c>
      <c r="GG10" s="42">
        <v>512143</v>
      </c>
      <c r="GH10" s="40">
        <v>391530</v>
      </c>
      <c r="GI10" s="40">
        <v>92165</v>
      </c>
      <c r="GJ10" s="40">
        <v>28448</v>
      </c>
      <c r="GK10" s="40">
        <v>17515</v>
      </c>
      <c r="GL10" s="10">
        <v>520158</v>
      </c>
      <c r="GM10" s="39">
        <v>394120</v>
      </c>
      <c r="GN10" s="39">
        <v>94506</v>
      </c>
      <c r="GO10" s="39">
        <v>20542</v>
      </c>
      <c r="GP10" s="39">
        <v>24857</v>
      </c>
      <c r="GQ10" s="10">
        <v>526183.11199999996</v>
      </c>
      <c r="GR10" s="39">
        <v>396083.272</v>
      </c>
      <c r="GS10" s="39">
        <v>97350.335999999981</v>
      </c>
      <c r="GT10" s="39">
        <v>21935.78</v>
      </c>
      <c r="GU10" s="410">
        <f t="shared" si="471"/>
        <v>32749.503999999986</v>
      </c>
      <c r="GV10" s="39">
        <v>535415</v>
      </c>
      <c r="GW10" s="39">
        <v>385655</v>
      </c>
      <c r="GX10" s="39">
        <v>100656</v>
      </c>
      <c r="GY10" s="39">
        <v>24225</v>
      </c>
      <c r="GZ10" s="39">
        <v>33578</v>
      </c>
      <c r="HA10" s="39">
        <v>544432</v>
      </c>
      <c r="HB10" s="39">
        <v>389823</v>
      </c>
      <c r="HC10" s="39">
        <v>103885</v>
      </c>
      <c r="HD10" s="39">
        <v>25678</v>
      </c>
      <c r="HE10" s="39">
        <v>35101</v>
      </c>
      <c r="HF10" s="39">
        <v>569676</v>
      </c>
      <c r="HG10" s="39">
        <v>404145</v>
      </c>
      <c r="HH10" s="39">
        <v>111161</v>
      </c>
      <c r="HI10" s="39">
        <v>28092</v>
      </c>
      <c r="HJ10" s="39">
        <v>34197</v>
      </c>
      <c r="HK10" s="39">
        <v>580281</v>
      </c>
      <c r="HL10" s="39">
        <v>410005</v>
      </c>
      <c r="HM10" s="39">
        <v>112846</v>
      </c>
      <c r="HN10" s="39">
        <v>26522</v>
      </c>
      <c r="HO10" s="39">
        <v>38321</v>
      </c>
      <c r="HP10" s="118">
        <v>591953</v>
      </c>
      <c r="HQ10" s="39">
        <v>413200</v>
      </c>
      <c r="HR10" s="39">
        <v>115428</v>
      </c>
      <c r="HS10" s="39">
        <v>31003</v>
      </c>
      <c r="HT10" s="39">
        <v>41425</v>
      </c>
      <c r="HU10" s="394">
        <v>23747</v>
      </c>
      <c r="HV10" s="1">
        <v>0</v>
      </c>
      <c r="HW10" s="1">
        <v>2385</v>
      </c>
      <c r="HX10" s="1">
        <v>8023</v>
      </c>
      <c r="HY10" s="1">
        <v>7270</v>
      </c>
      <c r="HZ10" s="118">
        <v>610135</v>
      </c>
      <c r="IA10" s="39">
        <v>421290</v>
      </c>
      <c r="IB10" s="39">
        <v>124670</v>
      </c>
      <c r="IC10" s="39">
        <v>30340</v>
      </c>
      <c r="ID10" s="39">
        <v>41019</v>
      </c>
      <c r="IE10" s="393">
        <v>610619</v>
      </c>
      <c r="IF10" s="394"/>
      <c r="IG10" s="394"/>
      <c r="IH10" s="394"/>
      <c r="II10" s="394"/>
      <c r="IJ10" s="393">
        <v>620789</v>
      </c>
      <c r="IK10" s="394">
        <v>425644</v>
      </c>
      <c r="IL10" s="394">
        <v>131494</v>
      </c>
      <c r="IM10" s="394">
        <v>30738</v>
      </c>
      <c r="IN10" s="394">
        <v>40583</v>
      </c>
      <c r="IO10" s="393">
        <v>649638</v>
      </c>
      <c r="IP10" s="394">
        <v>433252</v>
      </c>
      <c r="IQ10" s="394">
        <v>125050</v>
      </c>
      <c r="IR10" s="394">
        <v>36110</v>
      </c>
      <c r="IS10" s="394">
        <v>83402</v>
      </c>
      <c r="IT10" s="1">
        <v>26679</v>
      </c>
      <c r="IU10" s="1">
        <v>0</v>
      </c>
      <c r="IV10" s="1">
        <v>0</v>
      </c>
      <c r="IW10" s="1">
        <v>41213</v>
      </c>
      <c r="IX10" s="1">
        <v>15510</v>
      </c>
      <c r="IY10" s="399"/>
      <c r="IZ10" s="394"/>
      <c r="JA10" s="394"/>
      <c r="JB10" s="394"/>
      <c r="JC10" s="406"/>
      <c r="JD10" s="5">
        <v>100275</v>
      </c>
      <c r="JE10" s="394">
        <v>85774</v>
      </c>
      <c r="JF10" s="394">
        <v>12793</v>
      </c>
      <c r="JG10" s="394">
        <v>1705</v>
      </c>
      <c r="JH10" s="406">
        <v>1708</v>
      </c>
      <c r="JI10" s="5">
        <v>134445</v>
      </c>
      <c r="JJ10" s="394">
        <v>106454</v>
      </c>
      <c r="JK10" s="394">
        <v>22957</v>
      </c>
      <c r="JL10" s="394">
        <v>3774</v>
      </c>
      <c r="JM10" s="406">
        <v>5034</v>
      </c>
      <c r="JN10" s="394">
        <v>145995</v>
      </c>
      <c r="JO10" s="394">
        <v>108757</v>
      </c>
      <c r="JP10" s="394">
        <v>28175</v>
      </c>
      <c r="JQ10" s="394">
        <v>4400</v>
      </c>
      <c r="JR10" s="394">
        <v>6445</v>
      </c>
      <c r="JS10" s="5">
        <v>164476</v>
      </c>
      <c r="JT10" s="394">
        <v>122228</v>
      </c>
      <c r="JU10" s="394">
        <v>35212</v>
      </c>
      <c r="JV10" s="394">
        <v>6522</v>
      </c>
      <c r="JW10" s="406">
        <v>7036</v>
      </c>
      <c r="JX10" s="5">
        <v>163527.09100000001</v>
      </c>
      <c r="JY10" s="394">
        <v>120527.60199999998</v>
      </c>
      <c r="JZ10" s="394">
        <v>35525.951999999997</v>
      </c>
      <c r="KA10" s="394">
        <v>7618.6349999999993</v>
      </c>
      <c r="KB10" s="406">
        <v>7473.537000000033</v>
      </c>
      <c r="KC10" s="394">
        <v>165547</v>
      </c>
      <c r="KD10" s="394">
        <v>116319</v>
      </c>
      <c r="KE10" s="394">
        <v>35446</v>
      </c>
      <c r="KF10" s="394">
        <v>8323</v>
      </c>
      <c r="KG10" s="439">
        <v>7939</v>
      </c>
      <c r="KH10" s="439">
        <v>167694</v>
      </c>
      <c r="KI10" s="439">
        <v>116198</v>
      </c>
      <c r="KJ10" s="439">
        <v>37639</v>
      </c>
      <c r="KK10" s="439">
        <v>8627</v>
      </c>
      <c r="KL10" s="439">
        <v>8323</v>
      </c>
      <c r="KM10" s="439">
        <v>174048</v>
      </c>
      <c r="KN10" s="439">
        <v>118016</v>
      </c>
      <c r="KO10" s="439">
        <v>41229</v>
      </c>
      <c r="KP10" s="439">
        <v>10049</v>
      </c>
      <c r="KQ10" s="439">
        <v>7798</v>
      </c>
      <c r="KR10" s="439">
        <v>183542</v>
      </c>
      <c r="KS10" s="439">
        <v>126793</v>
      </c>
      <c r="KT10" s="439">
        <v>41681</v>
      </c>
      <c r="KU10" s="439">
        <v>8360</v>
      </c>
      <c r="KV10" s="439">
        <v>8294</v>
      </c>
      <c r="KW10" s="630">
        <v>174410</v>
      </c>
      <c r="KX10" s="439">
        <v>120937</v>
      </c>
      <c r="KY10" s="439">
        <v>37088</v>
      </c>
      <c r="KZ10" s="439">
        <v>8065</v>
      </c>
      <c r="LA10" s="439">
        <v>9339</v>
      </c>
      <c r="LB10" s="652">
        <v>179743</v>
      </c>
      <c r="LC10" s="653">
        <v>125733</v>
      </c>
      <c r="LD10" s="653">
        <v>40111</v>
      </c>
      <c r="LE10" s="653">
        <v>8696</v>
      </c>
      <c r="LF10" s="653">
        <v>8166</v>
      </c>
      <c r="LG10" s="652">
        <v>171830</v>
      </c>
      <c r="LH10" s="653"/>
      <c r="LI10" s="439"/>
      <c r="LJ10" s="439"/>
      <c r="LK10" s="439"/>
      <c r="LL10" s="652">
        <v>184948</v>
      </c>
      <c r="LM10" s="653">
        <v>126787</v>
      </c>
      <c r="LN10" s="653">
        <v>41415</v>
      </c>
      <c r="LO10" s="653">
        <v>10396</v>
      </c>
      <c r="LP10" s="653">
        <v>8777</v>
      </c>
      <c r="LQ10" s="652">
        <v>194980</v>
      </c>
      <c r="LR10" s="653">
        <v>126917</v>
      </c>
      <c r="LS10" s="653">
        <v>45113</v>
      </c>
      <c r="LT10" s="653">
        <v>11254</v>
      </c>
      <c r="LU10" s="653">
        <v>20227</v>
      </c>
      <c r="LV10" s="1">
        <v>3164</v>
      </c>
      <c r="LW10" s="1">
        <v>0</v>
      </c>
      <c r="LX10" s="1">
        <v>0</v>
      </c>
      <c r="LY10" s="1">
        <v>12322</v>
      </c>
      <c r="LZ10" s="1">
        <v>4741</v>
      </c>
      <c r="MA10" s="10">
        <v>27655</v>
      </c>
      <c r="MB10" s="39">
        <v>24444</v>
      </c>
      <c r="MC10" s="39">
        <v>2697</v>
      </c>
      <c r="MD10" s="39">
        <v>550</v>
      </c>
      <c r="ME10" s="207">
        <v>514</v>
      </c>
      <c r="MF10" s="3">
        <v>33831</v>
      </c>
      <c r="MG10" s="39">
        <v>28192</v>
      </c>
      <c r="MH10" s="39">
        <v>4300</v>
      </c>
      <c r="MI10" s="39">
        <v>886</v>
      </c>
      <c r="MJ10" s="207">
        <v>1339</v>
      </c>
      <c r="MK10" s="39">
        <v>40913</v>
      </c>
      <c r="ML10" s="39">
        <v>31250</v>
      </c>
      <c r="MM10" s="39">
        <v>6782</v>
      </c>
      <c r="MN10" s="39">
        <v>1206</v>
      </c>
      <c r="MO10" s="39">
        <v>2147</v>
      </c>
      <c r="MP10" s="118">
        <v>43249</v>
      </c>
      <c r="MQ10" s="39">
        <v>34279</v>
      </c>
      <c r="MR10" s="39">
        <v>7351</v>
      </c>
      <c r="MS10" s="39">
        <v>1190</v>
      </c>
      <c r="MT10" s="39">
        <v>1619</v>
      </c>
      <c r="MU10" s="118"/>
      <c r="MV10" s="39"/>
      <c r="MW10" s="39"/>
      <c r="MX10" s="39"/>
      <c r="MY10" s="207"/>
      <c r="MZ10" s="39">
        <v>43213</v>
      </c>
      <c r="NA10" s="39">
        <v>32434</v>
      </c>
      <c r="NB10" s="39">
        <v>7037</v>
      </c>
      <c r="NC10" s="39">
        <v>1949</v>
      </c>
      <c r="ND10" s="39">
        <v>2390</v>
      </c>
      <c r="NE10" s="39">
        <v>44666</v>
      </c>
      <c r="NF10" s="39">
        <v>33241</v>
      </c>
      <c r="NG10" s="39">
        <v>7587</v>
      </c>
      <c r="NH10" s="39">
        <v>2071</v>
      </c>
      <c r="NI10" s="39">
        <v>2378</v>
      </c>
      <c r="NJ10" s="39">
        <v>50787</v>
      </c>
      <c r="NK10" s="39">
        <v>36347</v>
      </c>
      <c r="NL10" s="39">
        <v>9903</v>
      </c>
      <c r="NM10" s="39">
        <v>2822</v>
      </c>
      <c r="NN10" s="39">
        <v>22661</v>
      </c>
      <c r="NO10" s="39">
        <v>52556</v>
      </c>
      <c r="NP10" s="39">
        <v>39620</v>
      </c>
      <c r="NQ10" s="39">
        <v>9067</v>
      </c>
      <c r="NR10" s="39">
        <v>1750</v>
      </c>
      <c r="NS10" s="39">
        <v>1790</v>
      </c>
      <c r="NT10" s="39">
        <v>52228</v>
      </c>
      <c r="NU10" s="39">
        <v>38607</v>
      </c>
      <c r="NV10" s="39">
        <v>8664</v>
      </c>
      <c r="NW10" s="39">
        <v>1860</v>
      </c>
      <c r="NX10" s="39">
        <v>3190</v>
      </c>
      <c r="NY10" s="118">
        <v>51777</v>
      </c>
      <c r="NZ10" s="39">
        <v>36889</v>
      </c>
      <c r="OA10" s="39">
        <v>10310</v>
      </c>
      <c r="OB10" s="39">
        <v>2873</v>
      </c>
      <c r="OC10" s="39">
        <v>2305</v>
      </c>
      <c r="OD10" s="118">
        <v>51648</v>
      </c>
      <c r="OE10" s="39"/>
      <c r="OF10" s="39"/>
      <c r="OG10" s="39"/>
      <c r="OH10" s="39"/>
      <c r="OI10" s="118">
        <v>56885</v>
      </c>
      <c r="OJ10" s="39">
        <v>40623</v>
      </c>
      <c r="OK10" s="39">
        <v>9901</v>
      </c>
      <c r="OL10" s="39">
        <v>3367</v>
      </c>
      <c r="OM10" s="39">
        <v>3196</v>
      </c>
      <c r="ON10" s="118">
        <v>66097</v>
      </c>
      <c r="OO10" s="39">
        <v>45804</v>
      </c>
      <c r="OP10" s="39">
        <v>11826</v>
      </c>
      <c r="OQ10" s="39">
        <v>3611</v>
      </c>
      <c r="OR10" s="39">
        <v>1729</v>
      </c>
      <c r="OS10" s="1">
        <v>1499</v>
      </c>
      <c r="OT10" s="1">
        <v>0</v>
      </c>
      <c r="OU10" s="1">
        <v>0</v>
      </c>
      <c r="OV10" s="1">
        <v>4522</v>
      </c>
      <c r="OW10" s="1">
        <v>1729</v>
      </c>
      <c r="OX10" s="402">
        <f t="shared" si="421"/>
        <v>107587</v>
      </c>
      <c r="OY10" s="382">
        <f t="shared" si="422"/>
        <v>77188</v>
      </c>
      <c r="OZ10" s="382">
        <f t="shared" si="423"/>
        <v>6961</v>
      </c>
      <c r="PA10" s="382">
        <f t="shared" si="424"/>
        <v>15747</v>
      </c>
      <c r="PB10" s="382">
        <f t="shared" si="425"/>
        <v>5473</v>
      </c>
      <c r="PC10" s="402">
        <f t="shared" si="426"/>
        <v>162748</v>
      </c>
      <c r="PD10" s="382">
        <f t="shared" si="427"/>
        <v>135536</v>
      </c>
      <c r="PE10" s="382">
        <f t="shared" si="428"/>
        <v>16843</v>
      </c>
      <c r="PF10" s="382">
        <f t="shared" si="429"/>
        <v>3348</v>
      </c>
      <c r="PG10" s="382">
        <f t="shared" si="430"/>
        <v>10369</v>
      </c>
      <c r="PH10" s="118">
        <v>177301</v>
      </c>
      <c r="PI10" s="39">
        <v>138657</v>
      </c>
      <c r="PJ10" s="39">
        <v>23758</v>
      </c>
      <c r="PK10" s="39">
        <v>4841</v>
      </c>
      <c r="PL10" s="39">
        <v>14886</v>
      </c>
      <c r="PM10" s="39">
        <v>191247</v>
      </c>
      <c r="PN10" s="39">
        <v>149097</v>
      </c>
      <c r="PO10" s="39">
        <v>25012</v>
      </c>
      <c r="PP10" s="39">
        <v>4465</v>
      </c>
      <c r="PQ10" s="39">
        <v>14384</v>
      </c>
      <c r="PR10" s="393"/>
      <c r="PS10" s="394"/>
      <c r="PT10" s="394"/>
      <c r="PU10" s="394"/>
      <c r="PV10" s="394"/>
      <c r="PW10" s="394">
        <v>218081</v>
      </c>
      <c r="PX10" s="394">
        <v>164053</v>
      </c>
      <c r="PY10" s="394">
        <v>29475</v>
      </c>
      <c r="PZ10" s="394">
        <v>7546</v>
      </c>
      <c r="QA10" s="406">
        <v>19638</v>
      </c>
      <c r="QB10" s="394">
        <v>226527</v>
      </c>
      <c r="QC10" s="394">
        <v>169264</v>
      </c>
      <c r="QD10" s="394">
        <v>31389</v>
      </c>
      <c r="QE10" s="394">
        <v>8131</v>
      </c>
      <c r="QF10" s="394">
        <v>20731</v>
      </c>
      <c r="QG10" s="394">
        <v>246668</v>
      </c>
      <c r="QH10" s="394">
        <v>177869</v>
      </c>
      <c r="QI10" s="394">
        <v>39134</v>
      </c>
      <c r="QJ10" s="394">
        <v>9563</v>
      </c>
      <c r="QK10" s="394">
        <v>22661</v>
      </c>
      <c r="QL10" s="393">
        <v>254485</v>
      </c>
      <c r="QM10" s="394">
        <v>185608</v>
      </c>
      <c r="QN10" s="394">
        <v>38616</v>
      </c>
      <c r="QO10" s="394">
        <v>7959</v>
      </c>
      <c r="QP10" s="394">
        <v>23892</v>
      </c>
      <c r="QQ10" s="393">
        <v>257297</v>
      </c>
      <c r="QR10" s="394">
        <v>190463</v>
      </c>
      <c r="QS10" s="394">
        <v>36170</v>
      </c>
      <c r="QT10" s="394">
        <v>9232</v>
      </c>
      <c r="QU10" s="394">
        <v>24307</v>
      </c>
      <c r="QV10" s="393">
        <v>263860</v>
      </c>
      <c r="QW10" s="394">
        <v>192660</v>
      </c>
      <c r="QX10" s="394">
        <v>41140</v>
      </c>
      <c r="QY10" s="394">
        <v>8029</v>
      </c>
      <c r="QZ10" s="394">
        <v>23563</v>
      </c>
      <c r="RA10" s="393">
        <v>264640</v>
      </c>
      <c r="RB10" s="394"/>
      <c r="RC10" s="394"/>
      <c r="RD10" s="394"/>
      <c r="RE10" s="394"/>
      <c r="RF10" s="394">
        <v>285084</v>
      </c>
      <c r="RG10" s="394">
        <v>205760</v>
      </c>
      <c r="RH10" s="394">
        <v>45562</v>
      </c>
      <c r="RI10" s="394">
        <v>10239</v>
      </c>
      <c r="RJ10" s="394">
        <v>25263</v>
      </c>
      <c r="RK10" s="394">
        <v>319389</v>
      </c>
      <c r="RL10" s="394">
        <v>219264</v>
      </c>
      <c r="RM10" s="394">
        <v>49300</v>
      </c>
      <c r="RN10" s="394">
        <v>13774</v>
      </c>
      <c r="RO10" s="394">
        <v>46862</v>
      </c>
      <c r="RP10" s="1">
        <v>22816</v>
      </c>
      <c r="RQ10" s="1">
        <v>0</v>
      </c>
      <c r="RR10" s="1">
        <v>0</v>
      </c>
      <c r="RS10" s="1">
        <v>18965</v>
      </c>
      <c r="RT10" s="1">
        <v>5081</v>
      </c>
      <c r="RU10" s="10">
        <v>58615</v>
      </c>
      <c r="RV10" s="3">
        <v>52744</v>
      </c>
      <c r="RW10" s="3">
        <v>4264</v>
      </c>
      <c r="RX10" s="3">
        <v>754</v>
      </c>
      <c r="RY10" s="3">
        <v>1607</v>
      </c>
      <c r="RZ10" s="10">
        <v>80376</v>
      </c>
      <c r="SA10" s="39">
        <v>67664</v>
      </c>
      <c r="SB10" s="39">
        <v>8204</v>
      </c>
      <c r="SC10" s="39">
        <v>1571</v>
      </c>
      <c r="SD10" s="39">
        <v>4508</v>
      </c>
      <c r="SE10" s="118">
        <v>90672</v>
      </c>
      <c r="SF10" s="39">
        <v>71207</v>
      </c>
      <c r="SG10" s="39">
        <v>11893</v>
      </c>
      <c r="SH10" s="39">
        <v>2299</v>
      </c>
      <c r="SI10" s="39">
        <v>6218</v>
      </c>
      <c r="SJ10" s="118">
        <v>100480</v>
      </c>
      <c r="SK10" s="39">
        <v>78339</v>
      </c>
      <c r="SL10" s="39">
        <v>13637</v>
      </c>
      <c r="SM10" s="39">
        <v>2583</v>
      </c>
      <c r="SN10" s="39">
        <v>8504</v>
      </c>
      <c r="SO10" s="118">
        <v>101978.14899999999</v>
      </c>
      <c r="SP10" s="39">
        <v>80650.44</v>
      </c>
      <c r="SQ10" s="39">
        <v>12918.527999999998</v>
      </c>
      <c r="SR10" s="39">
        <v>3165.2299999999996</v>
      </c>
      <c r="SS10" s="39">
        <v>8409.1809999999896</v>
      </c>
      <c r="ST10" s="118">
        <v>104727</v>
      </c>
      <c r="SU10" s="39">
        <v>79627</v>
      </c>
      <c r="SV10" s="39">
        <v>14372</v>
      </c>
      <c r="SW10" s="39">
        <v>3486</v>
      </c>
      <c r="SX10" s="39">
        <v>8431</v>
      </c>
      <c r="SY10" s="39">
        <v>108054</v>
      </c>
      <c r="SZ10" s="39">
        <v>81926</v>
      </c>
      <c r="TA10" s="39">
        <v>14843</v>
      </c>
      <c r="TB10" s="39">
        <v>3847</v>
      </c>
      <c r="TC10" s="39">
        <v>8982</v>
      </c>
      <c r="TD10" s="39">
        <v>116931</v>
      </c>
      <c r="TE10" s="39">
        <v>85477</v>
      </c>
      <c r="TF10" s="39">
        <v>17336</v>
      </c>
      <c r="TG10" s="39">
        <v>4381</v>
      </c>
      <c r="TH10" s="39">
        <v>10680</v>
      </c>
      <c r="TI10" s="39">
        <v>117581</v>
      </c>
      <c r="TJ10" s="39">
        <v>86355</v>
      </c>
      <c r="TK10" s="39">
        <v>17725</v>
      </c>
      <c r="TL10" s="39">
        <v>4071</v>
      </c>
      <c r="TM10" s="39">
        <v>10845</v>
      </c>
      <c r="TN10" s="39">
        <v>121717</v>
      </c>
      <c r="TO10" s="39">
        <v>91557</v>
      </c>
      <c r="TP10" s="39">
        <v>17535</v>
      </c>
      <c r="TQ10" s="39">
        <v>4571</v>
      </c>
      <c r="TR10" s="39">
        <v>10101</v>
      </c>
      <c r="TS10" s="118">
        <v>121442</v>
      </c>
      <c r="TT10" s="39">
        <v>90932</v>
      </c>
      <c r="TU10" s="39">
        <v>18375</v>
      </c>
      <c r="TV10" s="39">
        <v>3286</v>
      </c>
      <c r="TW10" s="39">
        <v>9397</v>
      </c>
      <c r="TX10" s="118">
        <v>124178</v>
      </c>
      <c r="TY10" s="39"/>
      <c r="TZ10" s="39"/>
      <c r="UA10" s="39"/>
      <c r="UB10" s="39"/>
      <c r="UC10" s="118">
        <v>134287</v>
      </c>
      <c r="UD10" s="39">
        <v>99841</v>
      </c>
      <c r="UE10" s="39">
        <v>21121</v>
      </c>
      <c r="UF10" s="39">
        <v>4448</v>
      </c>
      <c r="UG10" s="39">
        <v>9552</v>
      </c>
      <c r="UH10" s="118">
        <v>146295</v>
      </c>
      <c r="UI10" s="39">
        <v>102167</v>
      </c>
      <c r="UJ10" s="39">
        <v>19318</v>
      </c>
      <c r="UK10" s="39">
        <v>6773</v>
      </c>
      <c r="UL10" s="39">
        <v>23291</v>
      </c>
      <c r="UM10" s="1">
        <v>11379</v>
      </c>
      <c r="UN10" s="1">
        <v>0</v>
      </c>
      <c r="UO10" s="1">
        <v>0</v>
      </c>
      <c r="UP10" s="1">
        <v>9436</v>
      </c>
      <c r="UQ10" s="1">
        <v>3352</v>
      </c>
      <c r="UR10" s="588">
        <f t="shared" si="431"/>
        <v>23785</v>
      </c>
      <c r="US10" s="40">
        <v>15685</v>
      </c>
      <c r="UT10" s="40">
        <v>8100</v>
      </c>
      <c r="UU10" s="588">
        <f t="shared" si="432"/>
        <v>978</v>
      </c>
      <c r="UV10" s="40">
        <v>434</v>
      </c>
      <c r="UW10" s="40">
        <v>544</v>
      </c>
      <c r="UX10" s="42">
        <v>37443</v>
      </c>
      <c r="UY10" s="588">
        <f t="shared" si="433"/>
        <v>23539</v>
      </c>
      <c r="UZ10" s="588">
        <f t="shared" si="434"/>
        <v>13904</v>
      </c>
      <c r="VA10" s="588">
        <f t="shared" si="435"/>
        <v>35423</v>
      </c>
      <c r="VB10" s="40">
        <v>22532</v>
      </c>
      <c r="VC10" s="40">
        <v>12891</v>
      </c>
      <c r="VD10" s="588">
        <f t="shared" si="436"/>
        <v>1622</v>
      </c>
      <c r="VE10" s="40">
        <v>760</v>
      </c>
      <c r="VF10" s="40">
        <v>862</v>
      </c>
      <c r="VG10" s="588">
        <f t="shared" si="437"/>
        <v>398</v>
      </c>
      <c r="VH10" s="40">
        <v>247</v>
      </c>
      <c r="VI10" s="40">
        <v>151</v>
      </c>
      <c r="VJ10" s="42">
        <v>60206</v>
      </c>
      <c r="VK10" s="588">
        <f t="shared" si="438"/>
        <v>35708</v>
      </c>
      <c r="VL10" s="588">
        <f t="shared" si="439"/>
        <v>24498</v>
      </c>
      <c r="VM10" s="240">
        <f>+VN10+VO10</f>
        <v>54007</v>
      </c>
      <c r="VN10" s="40">
        <v>32636</v>
      </c>
      <c r="VO10" s="40">
        <v>21371</v>
      </c>
      <c r="VP10" s="40">
        <v>3072</v>
      </c>
      <c r="VQ10" s="40">
        <v>3127</v>
      </c>
      <c r="VR10" s="240">
        <f>+VS10+VT10</f>
        <v>3994</v>
      </c>
      <c r="VS10" s="40">
        <v>1843</v>
      </c>
      <c r="VT10" s="40">
        <v>2151</v>
      </c>
      <c r="VU10" s="240">
        <f>+VV10+VW10</f>
        <v>673</v>
      </c>
      <c r="VV10" s="40">
        <v>360</v>
      </c>
      <c r="VW10" s="40">
        <v>313</v>
      </c>
      <c r="VX10" s="233">
        <f t="shared" si="440"/>
        <v>1532</v>
      </c>
      <c r="VY10" s="233">
        <f t="shared" si="441"/>
        <v>869</v>
      </c>
      <c r="VZ10" s="233">
        <f t="shared" si="442"/>
        <v>663</v>
      </c>
      <c r="WA10" s="234">
        <f t="shared" si="443"/>
        <v>98</v>
      </c>
      <c r="WB10" s="234">
        <f t="shared" si="444"/>
        <v>46</v>
      </c>
      <c r="WC10" s="234">
        <f t="shared" si="445"/>
        <v>52</v>
      </c>
      <c r="WD10" s="40">
        <v>1434</v>
      </c>
      <c r="WE10" s="40">
        <v>823</v>
      </c>
      <c r="WF10" s="40">
        <v>611</v>
      </c>
      <c r="WG10" s="12">
        <f t="shared" si="446"/>
        <v>79932</v>
      </c>
      <c r="WH10" s="588">
        <f t="shared" si="447"/>
        <v>50261</v>
      </c>
      <c r="WI10" s="588">
        <f t="shared" si="448"/>
        <v>41461</v>
      </c>
      <c r="WJ10" s="11">
        <f t="shared" si="449"/>
        <v>52744</v>
      </c>
      <c r="WK10" s="90">
        <f t="shared" si="450"/>
        <v>80699</v>
      </c>
      <c r="WL10" s="40">
        <v>44677</v>
      </c>
      <c r="WM10" s="40">
        <v>36022</v>
      </c>
      <c r="WN10" s="40">
        <v>5584</v>
      </c>
      <c r="WO10" s="40">
        <v>5439</v>
      </c>
      <c r="WP10" s="11">
        <f t="shared" si="451"/>
        <v>4264</v>
      </c>
      <c r="WQ10" s="90">
        <f t="shared" si="452"/>
        <v>6588</v>
      </c>
      <c r="WR10" s="40">
        <v>3030</v>
      </c>
      <c r="WS10" s="40">
        <v>3558</v>
      </c>
      <c r="WT10" s="11">
        <f t="shared" si="453"/>
        <v>1248</v>
      </c>
      <c r="WU10" s="40">
        <v>696</v>
      </c>
      <c r="WV10" s="40">
        <v>552</v>
      </c>
      <c r="WW10" s="9">
        <f t="shared" si="454"/>
        <v>4959</v>
      </c>
      <c r="WX10" s="235">
        <f t="shared" si="455"/>
        <v>1858</v>
      </c>
      <c r="WY10" s="235">
        <f t="shared" si="456"/>
        <v>1329</v>
      </c>
      <c r="WZ10" s="236">
        <f t="shared" si="457"/>
        <v>26</v>
      </c>
      <c r="XA10" s="236">
        <f t="shared" si="458"/>
        <v>17</v>
      </c>
      <c r="XB10" s="236">
        <f t="shared" si="459"/>
        <v>9</v>
      </c>
      <c r="XC10" s="589">
        <f t="shared" si="460"/>
        <v>3161</v>
      </c>
      <c r="XD10" s="589">
        <f t="shared" si="461"/>
        <v>1841</v>
      </c>
      <c r="XE10" s="589">
        <f t="shared" si="462"/>
        <v>1320</v>
      </c>
      <c r="XF10" s="40">
        <v>91</v>
      </c>
      <c r="XG10" s="40">
        <v>58</v>
      </c>
      <c r="XH10" s="40">
        <v>1750</v>
      </c>
      <c r="XI10" s="40">
        <v>1262</v>
      </c>
      <c r="XJ10" s="590">
        <v>128917</v>
      </c>
      <c r="XK10" s="40">
        <v>65424</v>
      </c>
      <c r="XL10" s="40">
        <v>63493</v>
      </c>
      <c r="XM10" s="5">
        <f t="shared" si="463"/>
        <v>107344</v>
      </c>
      <c r="XN10" s="5">
        <v>55254</v>
      </c>
      <c r="XO10" s="5">
        <v>52090</v>
      </c>
      <c r="XP10" s="84">
        <f t="shared" si="464"/>
        <v>105775</v>
      </c>
      <c r="XQ10" s="40">
        <v>54449</v>
      </c>
      <c r="XR10" s="40">
        <v>51326</v>
      </c>
      <c r="XS10" s="5">
        <f t="shared" si="465"/>
        <v>12543</v>
      </c>
      <c r="XT10" s="40">
        <v>5365</v>
      </c>
      <c r="XU10" s="40">
        <v>7178</v>
      </c>
      <c r="XV10" s="5">
        <f t="shared" si="466"/>
        <v>2462</v>
      </c>
      <c r="XW10" s="40">
        <v>1205</v>
      </c>
      <c r="XX10" s="40">
        <v>1257</v>
      </c>
      <c r="XY10" s="84">
        <f t="shared" si="467"/>
        <v>9030</v>
      </c>
      <c r="XZ10" s="84">
        <f t="shared" si="468"/>
        <v>4805</v>
      </c>
      <c r="YA10" s="84">
        <f t="shared" si="469"/>
        <v>4225</v>
      </c>
      <c r="YB10" s="587">
        <v>150334</v>
      </c>
      <c r="YC10" s="40">
        <v>117847</v>
      </c>
      <c r="YD10" s="40">
        <v>18230</v>
      </c>
      <c r="YE10" s="40">
        <v>3259</v>
      </c>
      <c r="YF10" s="5">
        <v>12237</v>
      </c>
      <c r="YG10" s="118">
        <v>153655</v>
      </c>
      <c r="YH10" s="39">
        <v>121031</v>
      </c>
      <c r="YI10" s="39">
        <v>19477</v>
      </c>
      <c r="YJ10" s="39">
        <v>13147</v>
      </c>
      <c r="YK10" s="39">
        <v>3399</v>
      </c>
      <c r="YL10" s="118">
        <v>161508</v>
      </c>
      <c r="YM10" s="39">
        <v>127556</v>
      </c>
      <c r="YN10" s="39">
        <v>19482</v>
      </c>
      <c r="YO10" s="39">
        <v>14470</v>
      </c>
      <c r="YP10" s="39">
        <v>3609</v>
      </c>
      <c r="YQ10" s="118">
        <v>167172</v>
      </c>
      <c r="YR10" s="39">
        <v>129226</v>
      </c>
      <c r="YS10" s="39">
        <v>21165</v>
      </c>
      <c r="YT10" s="39">
        <v>16781</v>
      </c>
      <c r="YU10" s="39">
        <v>4691</v>
      </c>
      <c r="YV10" s="10">
        <v>171371.56400000001</v>
      </c>
      <c r="YW10" s="39">
        <v>133521.28400000001</v>
      </c>
      <c r="YX10" s="39">
        <v>20531.232</v>
      </c>
      <c r="YY10" s="39">
        <v>5005.4799999999996</v>
      </c>
      <c r="YZ10" s="39">
        <v>17319.047999999999</v>
      </c>
      <c r="ZA10" s="39">
        <v>174868</v>
      </c>
      <c r="ZB10" s="39">
        <v>131619</v>
      </c>
      <c r="ZC10" s="39">
        <v>22438</v>
      </c>
      <c r="ZD10" s="39">
        <v>5597</v>
      </c>
      <c r="ZE10" s="1">
        <v>17248</v>
      </c>
      <c r="ZF10" s="1">
        <v>181861</v>
      </c>
      <c r="ZG10" s="1">
        <v>136023</v>
      </c>
      <c r="ZH10" s="1">
        <v>23802</v>
      </c>
      <c r="ZI10" s="1">
        <v>6060</v>
      </c>
      <c r="ZJ10" s="1">
        <v>18353</v>
      </c>
      <c r="ZK10" s="1">
        <v>195881</v>
      </c>
      <c r="ZL10" s="1">
        <v>141522</v>
      </c>
      <c r="ZM10" s="1">
        <v>29231</v>
      </c>
      <c r="ZN10" s="1">
        <v>6741</v>
      </c>
      <c r="ZO10" s="1">
        <v>19849</v>
      </c>
      <c r="ZP10" s="1">
        <v>201929</v>
      </c>
      <c r="ZQ10" s="1">
        <v>145988</v>
      </c>
      <c r="ZR10" s="1">
        <v>29549</v>
      </c>
      <c r="ZS10" s="1">
        <v>6209</v>
      </c>
      <c r="ZT10" s="1">
        <v>22102</v>
      </c>
      <c r="ZU10" s="1">
        <v>205069</v>
      </c>
      <c r="ZV10" s="1">
        <v>151856</v>
      </c>
      <c r="ZW10" s="1">
        <v>27506</v>
      </c>
      <c r="ZX10" s="1">
        <v>7372</v>
      </c>
      <c r="ZY10" s="1">
        <v>21117</v>
      </c>
      <c r="ZZ10" s="394">
        <v>16318</v>
      </c>
      <c r="AAA10" s="1">
        <v>0</v>
      </c>
      <c r="AAB10" s="1">
        <v>510</v>
      </c>
      <c r="AAC10" s="1">
        <v>2646</v>
      </c>
      <c r="AAD10" s="1">
        <v>1643</v>
      </c>
      <c r="AAE10" s="50">
        <v>212083</v>
      </c>
      <c r="AAF10" s="1">
        <v>155771</v>
      </c>
      <c r="AAG10" s="1">
        <v>30830</v>
      </c>
      <c r="AAH10" s="1">
        <v>5156</v>
      </c>
      <c r="AAI10" s="1">
        <v>21258</v>
      </c>
      <c r="AAJ10" s="50">
        <v>212992</v>
      </c>
      <c r="AAK10" s="1"/>
      <c r="AAL10" s="1"/>
      <c r="AAM10" s="1"/>
      <c r="AAN10" s="1"/>
      <c r="AAO10" s="68">
        <v>228199</v>
      </c>
      <c r="AAP10" s="37">
        <v>165137</v>
      </c>
      <c r="AAQ10" s="37">
        <v>35661</v>
      </c>
      <c r="AAR10" s="37">
        <v>6872</v>
      </c>
      <c r="AAS10" s="37">
        <v>22067</v>
      </c>
      <c r="AAT10" s="68">
        <v>253292</v>
      </c>
      <c r="AAU10" s="37">
        <v>173460</v>
      </c>
      <c r="AAV10" s="37">
        <v>37474</v>
      </c>
      <c r="AAW10" s="37">
        <v>10163</v>
      </c>
      <c r="AAX10" s="37">
        <v>39112</v>
      </c>
      <c r="AAY10" s="1">
        <v>21317</v>
      </c>
      <c r="AAZ10" s="1">
        <v>0</v>
      </c>
      <c r="ABA10" s="1">
        <v>0</v>
      </c>
      <c r="ABB10" s="1">
        <v>14443</v>
      </c>
      <c r="ABC10" s="1">
        <v>3352</v>
      </c>
      <c r="ABD10" s="10">
        <v>48541</v>
      </c>
      <c r="ABE10" s="39">
        <v>39680</v>
      </c>
      <c r="ABF10" s="39">
        <v>4339</v>
      </c>
      <c r="ABG10" s="39">
        <v>891</v>
      </c>
      <c r="ABH10" s="39">
        <v>4522</v>
      </c>
      <c r="ABI10" s="118">
        <v>59662</v>
      </c>
      <c r="ABJ10" s="39">
        <v>46640</v>
      </c>
      <c r="ABK10" s="39">
        <v>6337</v>
      </c>
      <c r="ABL10" s="39">
        <v>960</v>
      </c>
      <c r="ABM10" s="39">
        <v>6019</v>
      </c>
      <c r="ABN10" s="10">
        <v>66692</v>
      </c>
      <c r="ABO10" s="39">
        <v>50887</v>
      </c>
      <c r="ABP10" s="39">
        <v>7528</v>
      </c>
      <c r="ABQ10" s="39">
        <v>2108</v>
      </c>
      <c r="ABR10" s="39">
        <v>8277</v>
      </c>
      <c r="ABS10" s="10">
        <v>69393.415000000008</v>
      </c>
      <c r="ABT10" s="39">
        <v>52870.844000000005</v>
      </c>
      <c r="ABU10" s="39">
        <v>7612.7040000000006</v>
      </c>
      <c r="ABV10" s="39">
        <v>1840.25</v>
      </c>
      <c r="ABW10" s="207">
        <v>8909.867000000002</v>
      </c>
      <c r="ABX10" s="1">
        <v>70141</v>
      </c>
      <c r="ABY10" s="1">
        <v>51992</v>
      </c>
      <c r="ABZ10" s="1">
        <v>8066</v>
      </c>
      <c r="ACA10" s="1">
        <v>2111</v>
      </c>
      <c r="ACB10" s="49">
        <v>8817</v>
      </c>
      <c r="ACC10" s="1">
        <v>73807</v>
      </c>
      <c r="ACD10" s="1">
        <v>54097</v>
      </c>
      <c r="ACE10" s="1">
        <v>8959</v>
      </c>
      <c r="ACF10" s="1">
        <v>2213</v>
      </c>
      <c r="ACG10" s="1">
        <v>9371</v>
      </c>
      <c r="ACH10" s="1">
        <v>78950</v>
      </c>
      <c r="ACI10" s="1">
        <v>56045</v>
      </c>
      <c r="ACJ10" s="1">
        <v>11895</v>
      </c>
      <c r="ACK10" s="1">
        <v>2360</v>
      </c>
      <c r="ACL10" s="1">
        <v>9169</v>
      </c>
      <c r="ACM10" s="1">
        <v>84348</v>
      </c>
      <c r="ACN10" s="1">
        <v>59633</v>
      </c>
      <c r="ACO10" s="1">
        <v>11824</v>
      </c>
      <c r="ACP10" s="1">
        <v>2138</v>
      </c>
      <c r="ACQ10" s="1">
        <v>11257</v>
      </c>
      <c r="ACR10" s="1">
        <v>83352</v>
      </c>
      <c r="ACS10" s="1">
        <v>60299</v>
      </c>
      <c r="ACT10" s="1">
        <v>9971</v>
      </c>
      <c r="ACU10" s="1">
        <v>2801</v>
      </c>
      <c r="ACV10" s="1">
        <v>11016</v>
      </c>
      <c r="ADB10" s="50">
        <v>90641</v>
      </c>
      <c r="ADC10" s="1">
        <v>64839</v>
      </c>
      <c r="ADD10" s="1">
        <v>12455</v>
      </c>
      <c r="ADE10" s="1">
        <v>1870</v>
      </c>
      <c r="ADF10" s="1">
        <v>11861</v>
      </c>
      <c r="ADG10" s="50">
        <v>88814</v>
      </c>
      <c r="ADL10" s="50">
        <v>93912</v>
      </c>
      <c r="ADM10" s="1">
        <v>65296</v>
      </c>
      <c r="ADN10" s="1">
        <v>14540</v>
      </c>
      <c r="ADO10" s="1">
        <v>2424</v>
      </c>
      <c r="ADP10" s="1">
        <v>12515</v>
      </c>
      <c r="ADQ10" s="50">
        <v>106997</v>
      </c>
      <c r="ADR10" s="1">
        <v>71293</v>
      </c>
      <c r="ADS10" s="1">
        <v>18156</v>
      </c>
      <c r="ADT10" s="1">
        <v>3390</v>
      </c>
      <c r="ADU10" s="1">
        <v>15821</v>
      </c>
      <c r="ADV10" s="1">
        <v>9938</v>
      </c>
      <c r="ADW10" s="1">
        <v>0</v>
      </c>
      <c r="ADX10" s="1">
        <v>0</v>
      </c>
      <c r="ADY10" s="1">
        <v>5007</v>
      </c>
      <c r="ADZ10" s="1">
        <v>876</v>
      </c>
    </row>
    <row r="11" spans="1:806" ht="14.1">
      <c r="A11" s="138" t="s">
        <v>11</v>
      </c>
      <c r="B11" s="118">
        <f>112266+202412+211308+104592+218125+252726</f>
        <v>1101429</v>
      </c>
      <c r="C11" s="39">
        <f>42745+40990+19321+33916+47498+26420</f>
        <v>210890</v>
      </c>
      <c r="D11" s="39">
        <f>48211+121779+170897+44131+117459+198912</f>
        <v>701389</v>
      </c>
      <c r="E11" s="39">
        <f>20245+38041+20109+24680+50735+25765</f>
        <v>179575</v>
      </c>
      <c r="F11" s="207">
        <f>401+627+422+449+711+387+325+497+429+1275+1659+1025</f>
        <v>8207</v>
      </c>
      <c r="G11" s="3">
        <v>842811</v>
      </c>
      <c r="H11" s="39">
        <v>621611</v>
      </c>
      <c r="I11" s="39">
        <v>169036</v>
      </c>
      <c r="J11" s="39">
        <v>246176</v>
      </c>
      <c r="K11" s="207">
        <v>52164</v>
      </c>
      <c r="L11" s="3">
        <v>739222</v>
      </c>
      <c r="M11" s="39">
        <v>499052</v>
      </c>
      <c r="N11" s="39">
        <v>132776</v>
      </c>
      <c r="O11" s="39">
        <v>316664</v>
      </c>
      <c r="P11" s="207">
        <v>107394</v>
      </c>
      <c r="Q11" s="39">
        <v>712743</v>
      </c>
      <c r="R11" s="39">
        <v>209700</v>
      </c>
      <c r="S11" s="39">
        <v>123326</v>
      </c>
      <c r="T11" s="39">
        <v>360683</v>
      </c>
      <c r="U11" s="207">
        <v>113755</v>
      </c>
      <c r="V11" s="5">
        <v>747311</v>
      </c>
      <c r="W11" s="394">
        <v>508496</v>
      </c>
      <c r="X11" s="394">
        <v>138530</v>
      </c>
      <c r="Y11" s="394">
        <v>385590</v>
      </c>
      <c r="Z11" s="406">
        <v>100285</v>
      </c>
      <c r="AA11" s="394">
        <v>742205</v>
      </c>
      <c r="AB11" s="1">
        <v>190922</v>
      </c>
      <c r="AC11" s="394">
        <v>133186</v>
      </c>
      <c r="AD11" s="394">
        <v>391917</v>
      </c>
      <c r="AE11" s="394">
        <v>103534</v>
      </c>
      <c r="AF11" s="393">
        <v>736482</v>
      </c>
      <c r="AG11" s="394">
        <v>189451</v>
      </c>
      <c r="AH11" s="394">
        <v>129925</v>
      </c>
      <c r="AI11" s="394">
        <v>389083</v>
      </c>
      <c r="AJ11" s="490">
        <v>97265</v>
      </c>
      <c r="AK11" s="490">
        <v>735213</v>
      </c>
      <c r="AL11" s="490">
        <v>182848</v>
      </c>
      <c r="AM11" s="685">
        <v>132537</v>
      </c>
      <c r="AN11" s="685">
        <v>389329</v>
      </c>
      <c r="AO11" s="490">
        <v>99289</v>
      </c>
      <c r="AP11" s="394">
        <v>750053</v>
      </c>
      <c r="AQ11" s="394">
        <v>167139</v>
      </c>
      <c r="AR11" s="394">
        <v>136980</v>
      </c>
      <c r="AS11" s="394">
        <v>416829</v>
      </c>
      <c r="AT11" s="394">
        <v>95033</v>
      </c>
      <c r="AU11" s="393">
        <v>762762</v>
      </c>
      <c r="AV11" s="394">
        <v>178953</v>
      </c>
      <c r="AW11" s="394">
        <v>138968</v>
      </c>
      <c r="AX11" s="394">
        <v>412322</v>
      </c>
      <c r="AY11" s="394">
        <v>102673</v>
      </c>
      <c r="AZ11" s="1">
        <v>31106</v>
      </c>
      <c r="BA11" s="1">
        <v>920</v>
      </c>
      <c r="BB11" s="1">
        <v>4238</v>
      </c>
      <c r="BC11" s="1">
        <v>14306</v>
      </c>
      <c r="BD11" s="1">
        <v>52103</v>
      </c>
      <c r="BE11" s="393">
        <v>710891</v>
      </c>
      <c r="BF11" s="394">
        <v>159512</v>
      </c>
      <c r="BG11" s="394">
        <v>120318</v>
      </c>
      <c r="BH11" s="394">
        <v>395810</v>
      </c>
      <c r="BI11" s="394">
        <v>99004</v>
      </c>
      <c r="BJ11" s="393">
        <v>708872</v>
      </c>
      <c r="BK11" s="394"/>
      <c r="BL11" s="394"/>
      <c r="BM11" s="394"/>
      <c r="BN11" s="394"/>
      <c r="BO11" s="393">
        <v>712764</v>
      </c>
      <c r="BP11" s="394">
        <v>155351</v>
      </c>
      <c r="BQ11" s="394">
        <v>119512</v>
      </c>
      <c r="BR11" s="394">
        <v>405003</v>
      </c>
      <c r="BS11" s="394">
        <v>122424</v>
      </c>
      <c r="BT11" s="393">
        <v>691119</v>
      </c>
      <c r="BU11" s="394">
        <v>136535</v>
      </c>
      <c r="BV11" s="394">
        <v>113323</v>
      </c>
      <c r="BW11" s="394">
        <v>390589</v>
      </c>
      <c r="BX11" s="394">
        <v>35067</v>
      </c>
      <c r="BY11" s="1">
        <v>181</v>
      </c>
      <c r="BZ11" s="1">
        <v>7298</v>
      </c>
      <c r="CA11" s="1">
        <v>222297</v>
      </c>
      <c r="CB11" s="1">
        <v>129622</v>
      </c>
      <c r="CC11" s="118">
        <v>1428263</v>
      </c>
      <c r="CD11" s="39">
        <v>1145047</v>
      </c>
      <c r="CE11" s="39">
        <v>243793</v>
      </c>
      <c r="CF11" s="39">
        <v>390589</v>
      </c>
      <c r="CG11" s="207">
        <v>39423</v>
      </c>
      <c r="CH11" s="3">
        <v>1480726</v>
      </c>
      <c r="CI11" s="39">
        <v>1081943</v>
      </c>
      <c r="CJ11" s="39">
        <v>290662</v>
      </c>
      <c r="CK11" s="39">
        <v>305342</v>
      </c>
      <c r="CL11" s="207">
        <v>108121</v>
      </c>
      <c r="CM11" s="1">
        <v>1219533</v>
      </c>
      <c r="CN11" s="39">
        <v>667305</v>
      </c>
      <c r="CO11" s="39">
        <v>250388</v>
      </c>
      <c r="CP11" s="39">
        <v>271082</v>
      </c>
      <c r="CQ11" s="207">
        <v>97471</v>
      </c>
      <c r="CR11" s="3">
        <v>1137501</v>
      </c>
      <c r="CS11" s="39">
        <v>811333</v>
      </c>
      <c r="CT11" s="39">
        <v>249002</v>
      </c>
      <c r="CU11" s="39">
        <v>288573</v>
      </c>
      <c r="CV11" s="207">
        <v>77166</v>
      </c>
      <c r="CW11" s="39">
        <v>1126188</v>
      </c>
      <c r="CX11" s="39">
        <v>551353</v>
      </c>
      <c r="CY11" s="39">
        <v>247203</v>
      </c>
      <c r="CZ11" s="39">
        <v>300662</v>
      </c>
      <c r="DA11" s="39">
        <v>76699</v>
      </c>
      <c r="DB11" s="39">
        <v>1104117</v>
      </c>
      <c r="DC11" s="39">
        <v>537203</v>
      </c>
      <c r="DD11" s="39">
        <v>242222</v>
      </c>
      <c r="DE11" s="39">
        <v>296671</v>
      </c>
      <c r="DF11" s="39">
        <v>75205</v>
      </c>
      <c r="DG11" s="39">
        <v>1060480</v>
      </c>
      <c r="DH11" s="39">
        <v>497402</v>
      </c>
      <c r="DI11" s="39">
        <v>236721</v>
      </c>
      <c r="DJ11" s="39">
        <v>296434</v>
      </c>
      <c r="DK11" s="39">
        <v>75821</v>
      </c>
      <c r="DL11" s="39">
        <v>1031199</v>
      </c>
      <c r="DM11" s="39">
        <v>465023</v>
      </c>
      <c r="DN11" s="39">
        <v>238678</v>
      </c>
      <c r="DO11" s="39">
        <v>301440</v>
      </c>
      <c r="DP11" s="39">
        <v>71033</v>
      </c>
      <c r="DQ11" s="39">
        <v>1092451</v>
      </c>
      <c r="DR11" s="39">
        <v>487085</v>
      </c>
      <c r="DS11" s="39">
        <v>249974</v>
      </c>
      <c r="DT11" s="39">
        <v>320927</v>
      </c>
      <c r="DU11" s="39">
        <v>88084</v>
      </c>
      <c r="DV11" s="118">
        <v>1035042</v>
      </c>
      <c r="DW11" s="39">
        <v>463158</v>
      </c>
      <c r="DX11" s="39">
        <v>228993</v>
      </c>
      <c r="DY11" s="39">
        <v>310148</v>
      </c>
      <c r="DZ11" s="39">
        <v>88276</v>
      </c>
      <c r="EA11" s="118">
        <v>1052860</v>
      </c>
      <c r="EB11" s="39"/>
      <c r="EC11" s="39"/>
      <c r="ED11" s="39"/>
      <c r="EE11" s="39"/>
      <c r="EF11" s="118">
        <v>1081871</v>
      </c>
      <c r="EG11" s="39">
        <v>455251</v>
      </c>
      <c r="EH11" s="39">
        <v>228347</v>
      </c>
      <c r="EI11" s="39">
        <v>365990</v>
      </c>
      <c r="EJ11" s="39">
        <v>97354</v>
      </c>
      <c r="EK11" s="118">
        <v>1081871</v>
      </c>
      <c r="EL11" s="39">
        <v>455251</v>
      </c>
      <c r="EM11" s="39">
        <v>228347</v>
      </c>
      <c r="EN11" s="39">
        <v>365990</v>
      </c>
      <c r="EO11" s="39">
        <v>97354</v>
      </c>
      <c r="EP11" s="118">
        <v>917424</v>
      </c>
      <c r="EQ11" s="39">
        <v>354826</v>
      </c>
      <c r="ER11" s="39">
        <v>187161</v>
      </c>
      <c r="ES11" s="39">
        <v>324734</v>
      </c>
      <c r="ET11" s="1">
        <v>24266</v>
      </c>
      <c r="EU11" s="1">
        <v>196</v>
      </c>
      <c r="EV11" s="1">
        <v>3908</v>
      </c>
      <c r="EW11" s="1">
        <v>210015</v>
      </c>
      <c r="EX11" s="1">
        <v>75439</v>
      </c>
      <c r="EY11" s="10">
        <v>1886334</v>
      </c>
      <c r="EZ11" s="39">
        <v>1310356</v>
      </c>
      <c r="FA11" s="39">
        <v>387161</v>
      </c>
      <c r="FB11" s="39">
        <v>688242</v>
      </c>
      <c r="FC11" s="382">
        <f t="shared" si="470"/>
        <v>188817</v>
      </c>
      <c r="FD11" s="230">
        <v>283268</v>
      </c>
      <c r="FE11" s="231">
        <v>569215</v>
      </c>
      <c r="FF11" s="231">
        <v>1210958</v>
      </c>
      <c r="FG11" s="231">
        <v>2085344</v>
      </c>
      <c r="FH11" s="10">
        <f>2189572+1047471+930134</f>
        <v>4167177</v>
      </c>
      <c r="FI11" s="39">
        <v>3564949.9339999999</v>
      </c>
      <c r="FJ11" s="39">
        <v>283553.55599999998</v>
      </c>
      <c r="FK11" s="39">
        <v>281956.53000000003</v>
      </c>
      <c r="FL11" s="207">
        <v>32831.191999999995</v>
      </c>
      <c r="FM11" s="3">
        <v>6616094</v>
      </c>
      <c r="FN11" s="39">
        <v>5924776</v>
      </c>
      <c r="FO11" s="39">
        <v>533945</v>
      </c>
      <c r="FP11" s="39">
        <v>569794</v>
      </c>
      <c r="FQ11" s="207">
        <v>157373</v>
      </c>
      <c r="FR11" s="3">
        <v>8804697</v>
      </c>
      <c r="FS11" s="39">
        <v>7471323</v>
      </c>
      <c r="FT11" s="39">
        <v>861576</v>
      </c>
      <c r="FU11" s="39">
        <v>1073491</v>
      </c>
      <c r="FV11" s="39">
        <v>471798</v>
      </c>
      <c r="FW11" s="232">
        <v>10480188</v>
      </c>
      <c r="FX11" s="39">
        <v>7285695</v>
      </c>
      <c r="FY11" s="39">
        <v>1334397</v>
      </c>
      <c r="FZ11" s="39">
        <v>1932495</v>
      </c>
      <c r="GA11" s="39">
        <v>1661413</v>
      </c>
      <c r="GB11" s="118">
        <v>10669961</v>
      </c>
      <c r="GC11" s="39">
        <v>8762953</v>
      </c>
      <c r="GD11" s="39">
        <v>1249179</v>
      </c>
      <c r="GE11" s="39">
        <v>657829</v>
      </c>
      <c r="GF11" s="39">
        <v>1734512</v>
      </c>
      <c r="GG11" s="42">
        <v>10801622</v>
      </c>
      <c r="GH11" s="40">
        <v>8874956</v>
      </c>
      <c r="GI11" s="40">
        <v>1285646</v>
      </c>
      <c r="GJ11" s="40">
        <v>641020</v>
      </c>
      <c r="GK11" s="40">
        <v>1793917</v>
      </c>
      <c r="GL11" s="10">
        <v>11046336</v>
      </c>
      <c r="GM11" s="39">
        <v>9060876</v>
      </c>
      <c r="GN11" s="39">
        <v>1347771</v>
      </c>
      <c r="GO11" s="39">
        <v>1919541</v>
      </c>
      <c r="GP11" s="39">
        <v>502048</v>
      </c>
      <c r="GQ11" s="10">
        <v>11226306.637</v>
      </c>
      <c r="GR11" s="39">
        <v>9172493.7499999981</v>
      </c>
      <c r="GS11" s="39">
        <v>1388805.412</v>
      </c>
      <c r="GT11" s="39">
        <v>1987065.6120000002</v>
      </c>
      <c r="GU11" s="410">
        <f t="shared" si="471"/>
        <v>665007.47500000196</v>
      </c>
      <c r="GV11" s="39">
        <v>11439406</v>
      </c>
      <c r="GW11" s="39">
        <v>7534629</v>
      </c>
      <c r="GX11" s="39">
        <v>1442085</v>
      </c>
      <c r="GY11" s="39">
        <v>2079979</v>
      </c>
      <c r="GZ11" s="39">
        <v>665585</v>
      </c>
      <c r="HA11" s="39">
        <v>11682413</v>
      </c>
      <c r="HB11" s="39">
        <v>7601252</v>
      </c>
      <c r="HC11" s="39">
        <v>1497280</v>
      </c>
      <c r="HD11" s="39">
        <v>2182509</v>
      </c>
      <c r="HE11" s="39">
        <v>697280</v>
      </c>
      <c r="HF11" s="39">
        <v>12245503</v>
      </c>
      <c r="HG11" s="39">
        <v>7793377</v>
      </c>
      <c r="HH11" s="39">
        <v>1603020</v>
      </c>
      <c r="HI11" s="39">
        <v>2415561</v>
      </c>
      <c r="HJ11" s="39">
        <v>746799</v>
      </c>
      <c r="HK11" s="39">
        <v>12613029</v>
      </c>
      <c r="HL11" s="39">
        <v>7974541</v>
      </c>
      <c r="HM11" s="39">
        <v>1660852</v>
      </c>
      <c r="HN11" s="39">
        <v>2517399</v>
      </c>
      <c r="HO11" s="39">
        <v>819490</v>
      </c>
      <c r="HP11" s="118">
        <v>12848458</v>
      </c>
      <c r="HQ11" s="39">
        <v>8061167</v>
      </c>
      <c r="HR11" s="39">
        <v>1693559</v>
      </c>
      <c r="HS11" s="39">
        <v>2622922</v>
      </c>
      <c r="HT11" s="39">
        <v>845484</v>
      </c>
      <c r="HU11" s="394">
        <v>347033</v>
      </c>
      <c r="HV11" s="1">
        <v>6869</v>
      </c>
      <c r="HW11" s="1">
        <v>28877</v>
      </c>
      <c r="HX11" s="1">
        <v>193880</v>
      </c>
      <c r="HY11" s="1">
        <v>268825</v>
      </c>
      <c r="HZ11" s="118">
        <v>13274244</v>
      </c>
      <c r="IA11" s="39">
        <v>8144549</v>
      </c>
      <c r="IB11" s="39">
        <v>1787709</v>
      </c>
      <c r="IC11" s="39">
        <v>2839672</v>
      </c>
      <c r="ID11" s="39">
        <v>921067</v>
      </c>
      <c r="IE11" s="393">
        <v>13540393</v>
      </c>
      <c r="IF11" s="394"/>
      <c r="IG11" s="394"/>
      <c r="IH11" s="394"/>
      <c r="II11" s="394"/>
      <c r="IJ11" s="393">
        <v>13689867</v>
      </c>
      <c r="IK11" s="394">
        <v>8276671</v>
      </c>
      <c r="IL11" s="394">
        <v>1868604</v>
      </c>
      <c r="IM11" s="394">
        <v>3002212</v>
      </c>
      <c r="IN11" s="394">
        <v>1024822</v>
      </c>
      <c r="IO11" s="393">
        <v>14153579</v>
      </c>
      <c r="IP11" s="394">
        <v>8237074</v>
      </c>
      <c r="IQ11" s="394">
        <v>1834275</v>
      </c>
      <c r="IR11" s="394">
        <v>3219657</v>
      </c>
      <c r="IS11" s="394">
        <v>3512076</v>
      </c>
      <c r="IT11" s="1">
        <v>395464</v>
      </c>
      <c r="IU11" s="1">
        <v>8125</v>
      </c>
      <c r="IV11" s="1">
        <v>32764</v>
      </c>
      <c r="IW11" s="1">
        <v>2358155</v>
      </c>
      <c r="IX11" s="1">
        <v>717568</v>
      </c>
      <c r="IY11" s="399">
        <f>511071+536400</f>
        <v>1047471</v>
      </c>
      <c r="IZ11" s="394">
        <f>455294+436962</f>
        <v>892256</v>
      </c>
      <c r="JA11" s="394">
        <f>32054+39253</f>
        <v>71307</v>
      </c>
      <c r="JB11" s="394">
        <f>37492+37601</f>
        <v>75093</v>
      </c>
      <c r="JC11" s="406">
        <f>1381+2533+1073+2744</f>
        <v>7731</v>
      </c>
      <c r="JD11" s="5">
        <v>2312404</v>
      </c>
      <c r="JE11" s="394">
        <v>2065208</v>
      </c>
      <c r="JF11" s="394">
        <v>191516</v>
      </c>
      <c r="JG11" s="394">
        <v>215930</v>
      </c>
      <c r="JH11" s="406">
        <v>55680</v>
      </c>
      <c r="JI11" s="5">
        <v>3176621</v>
      </c>
      <c r="JJ11" s="394">
        <v>2679790</v>
      </c>
      <c r="JK11" s="394">
        <v>328348</v>
      </c>
      <c r="JL11" s="394">
        <v>400615</v>
      </c>
      <c r="JM11" s="406">
        <v>168483</v>
      </c>
      <c r="JN11" s="394">
        <v>3486705</v>
      </c>
      <c r="JO11" s="394">
        <v>2445765</v>
      </c>
      <c r="JP11" s="394">
        <v>413234</v>
      </c>
      <c r="JQ11" s="394">
        <v>533063</v>
      </c>
      <c r="JR11" s="394">
        <v>213574</v>
      </c>
      <c r="JS11" s="5">
        <v>3849546</v>
      </c>
      <c r="JT11" s="394">
        <v>3133382</v>
      </c>
      <c r="JU11" s="394">
        <v>508476</v>
      </c>
      <c r="JV11" s="394">
        <v>651129</v>
      </c>
      <c r="JW11" s="406">
        <v>207688</v>
      </c>
      <c r="JX11" s="5">
        <v>3903663.2179999999</v>
      </c>
      <c r="JY11" s="394">
        <v>3165820.6999999997</v>
      </c>
      <c r="JZ11" s="394">
        <v>523909.97</v>
      </c>
      <c r="KA11" s="394">
        <v>672174.48600000003</v>
      </c>
      <c r="KB11" s="406">
        <v>213932.54800000018</v>
      </c>
      <c r="KC11" s="394">
        <v>3965685</v>
      </c>
      <c r="KD11" s="394">
        <v>2601439</v>
      </c>
      <c r="KE11" s="394">
        <v>545934</v>
      </c>
      <c r="KF11" s="394">
        <v>701570</v>
      </c>
      <c r="KG11" s="439">
        <v>221009</v>
      </c>
      <c r="KH11" s="439">
        <v>4045307</v>
      </c>
      <c r="KI11" s="439">
        <v>2623591</v>
      </c>
      <c r="KJ11" s="439">
        <v>564457</v>
      </c>
      <c r="KK11" s="439">
        <v>738199</v>
      </c>
      <c r="KL11" s="439">
        <v>229714</v>
      </c>
      <c r="KM11" s="439">
        <v>4263699</v>
      </c>
      <c r="KN11" s="439">
        <v>2684807</v>
      </c>
      <c r="KO11" s="439">
        <v>608254</v>
      </c>
      <c r="KP11" s="439">
        <v>842243</v>
      </c>
      <c r="KQ11" s="439">
        <v>251367</v>
      </c>
      <c r="KR11" s="439">
        <v>4318812</v>
      </c>
      <c r="KS11" s="439">
        <v>2733673</v>
      </c>
      <c r="KT11" s="439">
        <v>615818</v>
      </c>
      <c r="KU11" s="439">
        <v>844863</v>
      </c>
      <c r="KV11" s="439">
        <v>251467</v>
      </c>
      <c r="KW11" s="630">
        <v>4390269</v>
      </c>
      <c r="KX11" s="439">
        <v>2742548</v>
      </c>
      <c r="KY11" s="439">
        <v>629576</v>
      </c>
      <c r="KZ11" s="439">
        <v>891133</v>
      </c>
      <c r="LA11" s="439">
        <v>269775</v>
      </c>
      <c r="LB11" s="652">
        <v>4489712</v>
      </c>
      <c r="LC11" s="653">
        <v>2732982</v>
      </c>
      <c r="LD11" s="653">
        <v>671461</v>
      </c>
      <c r="LE11" s="653">
        <v>955778</v>
      </c>
      <c r="LF11" s="653">
        <v>292346</v>
      </c>
      <c r="LG11" s="652">
        <v>4505209</v>
      </c>
      <c r="LH11" s="653"/>
      <c r="LI11" s="439"/>
      <c r="LJ11" s="439"/>
      <c r="LK11" s="439"/>
      <c r="LL11" s="652">
        <v>4540108</v>
      </c>
      <c r="LM11" s="653">
        <v>2746032</v>
      </c>
      <c r="LN11" s="653">
        <v>687258</v>
      </c>
      <c r="LO11" s="653">
        <v>968352</v>
      </c>
      <c r="LP11" s="653">
        <v>317050</v>
      </c>
      <c r="LQ11" s="652">
        <v>4563267</v>
      </c>
      <c r="LR11" s="653">
        <v>2658030</v>
      </c>
      <c r="LS11" s="653">
        <v>631178</v>
      </c>
      <c r="LT11" s="653">
        <v>1029385</v>
      </c>
      <c r="LU11" s="653">
        <v>1077699</v>
      </c>
      <c r="LV11" s="1">
        <v>86408</v>
      </c>
      <c r="LW11" s="1">
        <v>3503</v>
      </c>
      <c r="LX11" s="1">
        <v>12668</v>
      </c>
      <c r="LY11" s="1">
        <v>734652</v>
      </c>
      <c r="LZ11" s="1">
        <v>240468</v>
      </c>
      <c r="MA11" s="10">
        <v>589019</v>
      </c>
      <c r="MB11" s="39">
        <v>522283</v>
      </c>
      <c r="MC11" s="39">
        <v>49280</v>
      </c>
      <c r="MD11" s="39">
        <v>67830</v>
      </c>
      <c r="ME11" s="207">
        <v>17456</v>
      </c>
      <c r="MF11" s="3">
        <v>773486</v>
      </c>
      <c r="MG11" s="39">
        <v>648553</v>
      </c>
      <c r="MH11" s="39">
        <v>78479</v>
      </c>
      <c r="MI11" s="39">
        <v>107580</v>
      </c>
      <c r="MJ11" s="207">
        <v>46454</v>
      </c>
      <c r="MK11" s="39">
        <v>1043873</v>
      </c>
      <c r="ML11" s="39">
        <v>698619</v>
      </c>
      <c r="MM11" s="39">
        <v>127439</v>
      </c>
      <c r="MN11" s="39">
        <v>185451</v>
      </c>
      <c r="MO11" s="39">
        <v>70283</v>
      </c>
      <c r="MP11" s="118">
        <v>1100140</v>
      </c>
      <c r="MQ11" s="39">
        <v>893916</v>
      </c>
      <c r="MR11" s="39">
        <v>137855</v>
      </c>
      <c r="MS11" s="39">
        <v>218180</v>
      </c>
      <c r="MT11" s="39">
        <v>68369</v>
      </c>
      <c r="MU11" s="118"/>
      <c r="MV11" s="39"/>
      <c r="MW11" s="39"/>
      <c r="MX11" s="39"/>
      <c r="MY11" s="207"/>
      <c r="MZ11" s="39">
        <v>1178924</v>
      </c>
      <c r="NA11" s="39">
        <v>749788</v>
      </c>
      <c r="NB11" s="39">
        <v>153911</v>
      </c>
      <c r="NC11" s="39">
        <v>233893</v>
      </c>
      <c r="ND11" s="39">
        <v>73435</v>
      </c>
      <c r="NE11" s="39">
        <v>1239538</v>
      </c>
      <c r="NF11" s="39">
        <v>781436</v>
      </c>
      <c r="NG11" s="39">
        <v>164348</v>
      </c>
      <c r="NH11" s="39">
        <v>251270</v>
      </c>
      <c r="NI11" s="39">
        <v>78124</v>
      </c>
      <c r="NJ11" s="39">
        <v>1358245</v>
      </c>
      <c r="NK11" s="39">
        <v>840206</v>
      </c>
      <c r="NL11" s="39">
        <v>186603</v>
      </c>
      <c r="NM11" s="39">
        <v>282915</v>
      </c>
      <c r="NN11" s="39">
        <v>375085</v>
      </c>
      <c r="NO11" s="39">
        <v>1383565</v>
      </c>
      <c r="NP11" s="39">
        <v>845024</v>
      </c>
      <c r="NQ11" s="39">
        <v>194173</v>
      </c>
      <c r="NR11" s="39">
        <v>297320</v>
      </c>
      <c r="NS11" s="39">
        <v>91499</v>
      </c>
      <c r="NT11" s="39">
        <v>1429121</v>
      </c>
      <c r="NU11" s="39">
        <v>863145</v>
      </c>
      <c r="NV11" s="39">
        <v>197946</v>
      </c>
      <c r="NW11" s="39">
        <v>323291</v>
      </c>
      <c r="NX11" s="39">
        <v>95303</v>
      </c>
      <c r="NY11" s="118">
        <v>1507434</v>
      </c>
      <c r="NZ11" s="39">
        <v>886556</v>
      </c>
      <c r="OA11" s="39">
        <v>227014</v>
      </c>
      <c r="OB11" s="39">
        <v>344286</v>
      </c>
      <c r="OC11" s="39">
        <v>106155</v>
      </c>
      <c r="OD11" s="118">
        <v>1489510</v>
      </c>
      <c r="OE11" s="39"/>
      <c r="OF11" s="39"/>
      <c r="OG11" s="39"/>
      <c r="OH11" s="39"/>
      <c r="OI11" s="118">
        <v>1538727</v>
      </c>
      <c r="OJ11" s="39">
        <v>897341</v>
      </c>
      <c r="OK11" s="39">
        <v>225329</v>
      </c>
      <c r="OL11" s="39">
        <v>362897</v>
      </c>
      <c r="OM11" s="39">
        <v>119565</v>
      </c>
      <c r="ON11" s="118">
        <v>1582504</v>
      </c>
      <c r="OO11" s="39">
        <v>883083</v>
      </c>
      <c r="OP11" s="39">
        <v>213486</v>
      </c>
      <c r="OQ11" s="39">
        <v>397891</v>
      </c>
      <c r="OR11" s="39">
        <v>91369</v>
      </c>
      <c r="OS11" s="1">
        <v>34358</v>
      </c>
      <c r="OT11" s="1">
        <v>928</v>
      </c>
      <c r="OU11" s="1">
        <v>4220</v>
      </c>
      <c r="OV11" s="1">
        <v>284611</v>
      </c>
      <c r="OW11" s="1">
        <v>91369</v>
      </c>
      <c r="OX11" s="402">
        <f t="shared" si="421"/>
        <v>1888358</v>
      </c>
      <c r="OY11" s="382">
        <f t="shared" si="422"/>
        <v>1494532</v>
      </c>
      <c r="OZ11" s="382">
        <f t="shared" si="423"/>
        <v>122320</v>
      </c>
      <c r="PA11" s="382">
        <f t="shared" si="424"/>
        <v>997239</v>
      </c>
      <c r="PB11" s="382">
        <f t="shared" si="425"/>
        <v>258983</v>
      </c>
      <c r="PC11" s="402">
        <f t="shared" si="426"/>
        <v>3235814</v>
      </c>
      <c r="PD11" s="382">
        <f t="shared" si="427"/>
        <v>2804583</v>
      </c>
      <c r="PE11" s="382">
        <f t="shared" si="428"/>
        <v>238151</v>
      </c>
      <c r="PF11" s="382">
        <f t="shared" si="429"/>
        <v>404032</v>
      </c>
      <c r="PG11" s="382">
        <f t="shared" si="430"/>
        <v>193080</v>
      </c>
      <c r="PH11" s="118">
        <v>3865024</v>
      </c>
      <c r="PI11" s="39">
        <v>3245339</v>
      </c>
      <c r="PJ11" s="39">
        <v>359026</v>
      </c>
      <c r="PK11" s="39">
        <v>664309</v>
      </c>
      <c r="PL11" s="39">
        <v>260659</v>
      </c>
      <c r="PM11" s="39">
        <v>4177167</v>
      </c>
      <c r="PN11" s="39">
        <v>2965137</v>
      </c>
      <c r="PO11" s="39">
        <v>370434</v>
      </c>
      <c r="PP11" s="39">
        <v>660354</v>
      </c>
      <c r="PQ11" s="39">
        <v>300193</v>
      </c>
      <c r="PR11" s="393"/>
      <c r="PS11" s="394"/>
      <c r="PT11" s="394"/>
      <c r="PU11" s="394"/>
      <c r="PV11" s="394"/>
      <c r="PW11" s="394">
        <v>4658926</v>
      </c>
      <c r="PX11" s="394">
        <v>3177242</v>
      </c>
      <c r="PY11" s="394">
        <v>447982</v>
      </c>
      <c r="PZ11" s="394">
        <v>809483</v>
      </c>
      <c r="QA11" s="406">
        <v>320534</v>
      </c>
      <c r="QB11" s="394">
        <v>4839460</v>
      </c>
      <c r="QC11" s="394">
        <v>3267809</v>
      </c>
      <c r="QD11" s="394">
        <v>475198</v>
      </c>
      <c r="QE11" s="394">
        <v>857480</v>
      </c>
      <c r="QF11" s="394">
        <v>344034</v>
      </c>
      <c r="QG11" s="394">
        <v>5188749</v>
      </c>
      <c r="QH11" s="394">
        <v>3455341</v>
      </c>
      <c r="QI11" s="394">
        <v>523126</v>
      </c>
      <c r="QJ11" s="394">
        <v>952374</v>
      </c>
      <c r="QK11" s="394">
        <v>375085</v>
      </c>
      <c r="QL11" s="393">
        <v>5475903</v>
      </c>
      <c r="QM11" s="394">
        <v>3589088</v>
      </c>
      <c r="QN11" s="394">
        <v>562866</v>
      </c>
      <c r="QO11" s="394">
        <v>1035261</v>
      </c>
      <c r="QP11" s="394">
        <v>423465</v>
      </c>
      <c r="QQ11" s="393">
        <v>5637577</v>
      </c>
      <c r="QR11" s="394">
        <v>3674796</v>
      </c>
      <c r="QS11" s="394">
        <v>578085</v>
      </c>
      <c r="QT11" s="394">
        <v>1092087</v>
      </c>
      <c r="QU11" s="394">
        <v>436006</v>
      </c>
      <c r="QV11" s="393">
        <v>5961926</v>
      </c>
      <c r="QW11" s="394">
        <v>3810041</v>
      </c>
      <c r="QX11" s="394">
        <v>629251</v>
      </c>
      <c r="QY11" s="394">
        <v>1198553</v>
      </c>
      <c r="QZ11" s="394">
        <v>485092</v>
      </c>
      <c r="RA11" s="393">
        <v>6136740</v>
      </c>
      <c r="RB11" s="394"/>
      <c r="RC11" s="394"/>
      <c r="RD11" s="394"/>
      <c r="RE11" s="394"/>
      <c r="RF11" s="394">
        <v>6292364</v>
      </c>
      <c r="RG11" s="394">
        <v>3965312</v>
      </c>
      <c r="RH11" s="394">
        <v>653293</v>
      </c>
      <c r="RI11" s="394">
        <v>1332470</v>
      </c>
      <c r="RJ11" s="394">
        <v>536202</v>
      </c>
      <c r="RK11" s="394">
        <v>6809350</v>
      </c>
      <c r="RL11" s="394">
        <v>4117242</v>
      </c>
      <c r="RM11" s="394">
        <v>700936</v>
      </c>
      <c r="RN11" s="394">
        <v>1480965</v>
      </c>
      <c r="RO11" s="394">
        <v>1718389</v>
      </c>
      <c r="RP11" s="1">
        <v>271048</v>
      </c>
      <c r="RQ11" s="1">
        <v>3186</v>
      </c>
      <c r="RR11" s="1">
        <v>14261</v>
      </c>
      <c r="RS11" s="1">
        <v>1126657</v>
      </c>
      <c r="RT11" s="1">
        <v>303237</v>
      </c>
      <c r="RU11" s="10">
        <v>1062649</v>
      </c>
      <c r="RV11" s="3">
        <v>969991</v>
      </c>
      <c r="RW11" s="3">
        <v>62999</v>
      </c>
      <c r="RX11" s="3">
        <v>87363</v>
      </c>
      <c r="RY11" s="3">
        <v>29659</v>
      </c>
      <c r="RZ11" s="10">
        <v>1573121</v>
      </c>
      <c r="SA11" s="39">
        <v>1373946</v>
      </c>
      <c r="SB11" s="39">
        <v>106555</v>
      </c>
      <c r="SC11" s="39">
        <v>177205</v>
      </c>
      <c r="SD11" s="39">
        <v>92620</v>
      </c>
      <c r="SE11" s="118">
        <v>2041418</v>
      </c>
      <c r="SF11" s="39">
        <v>1462379</v>
      </c>
      <c r="SG11" s="39">
        <v>164084</v>
      </c>
      <c r="SH11" s="39">
        <v>322067</v>
      </c>
      <c r="SI11" s="39">
        <v>150337</v>
      </c>
      <c r="SJ11" s="118">
        <v>2145766</v>
      </c>
      <c r="SK11" s="39">
        <v>1814613</v>
      </c>
      <c r="SL11" s="39">
        <v>186133</v>
      </c>
      <c r="SM11" s="39">
        <v>360283</v>
      </c>
      <c r="SN11" s="39">
        <v>145020</v>
      </c>
      <c r="SO11" s="118">
        <v>2161424.2650000001</v>
      </c>
      <c r="SP11" s="39">
        <v>1824015.9</v>
      </c>
      <c r="SQ11" s="39">
        <v>188252.39600000001</v>
      </c>
      <c r="SR11" s="39">
        <v>364206.09600000002</v>
      </c>
      <c r="SS11" s="39">
        <v>149155.96900000022</v>
      </c>
      <c r="ST11" s="118">
        <v>2233653</v>
      </c>
      <c r="SU11" s="39">
        <v>1542831</v>
      </c>
      <c r="SV11" s="39">
        <v>191934</v>
      </c>
      <c r="SW11" s="39">
        <v>389217</v>
      </c>
      <c r="SX11" s="39">
        <v>153771</v>
      </c>
      <c r="SY11" s="39">
        <v>2312646</v>
      </c>
      <c r="SZ11" s="39">
        <v>1577686</v>
      </c>
      <c r="TA11" s="39">
        <v>201777</v>
      </c>
      <c r="TB11" s="39">
        <v>415547</v>
      </c>
      <c r="TC11" s="39">
        <v>167070</v>
      </c>
      <c r="TD11" s="39">
        <v>2448663</v>
      </c>
      <c r="TE11" s="39">
        <v>1646922</v>
      </c>
      <c r="TF11" s="39">
        <v>221067</v>
      </c>
      <c r="TG11" s="39">
        <v>454816</v>
      </c>
      <c r="TH11" s="39">
        <v>182123</v>
      </c>
      <c r="TI11" s="39">
        <v>2620339</v>
      </c>
      <c r="TJ11" s="39">
        <v>1740596</v>
      </c>
      <c r="TK11" s="39">
        <v>238216</v>
      </c>
      <c r="TL11" s="39">
        <v>503677</v>
      </c>
      <c r="TM11" s="39">
        <v>199121</v>
      </c>
      <c r="TN11" s="39">
        <v>2675907</v>
      </c>
      <c r="TO11" s="39">
        <v>1768885</v>
      </c>
      <c r="TP11" s="39">
        <v>245899</v>
      </c>
      <c r="TQ11" s="39">
        <v>520382</v>
      </c>
      <c r="TR11" s="39">
        <v>204260</v>
      </c>
      <c r="TS11" s="118">
        <v>2839500</v>
      </c>
      <c r="TT11" s="39">
        <v>1829936</v>
      </c>
      <c r="TU11" s="39">
        <v>259570</v>
      </c>
      <c r="TV11" s="39">
        <v>587982</v>
      </c>
      <c r="TW11" s="39">
        <v>236366</v>
      </c>
      <c r="TX11" s="118">
        <v>2920459</v>
      </c>
      <c r="TY11" s="39"/>
      <c r="TZ11" s="39"/>
      <c r="UA11" s="39"/>
      <c r="UB11" s="39"/>
      <c r="UC11" s="118">
        <v>2982643</v>
      </c>
      <c r="UD11" s="39">
        <v>1896321</v>
      </c>
      <c r="UE11" s="39">
        <v>273099</v>
      </c>
      <c r="UF11" s="39">
        <v>645895</v>
      </c>
      <c r="UG11" s="39">
        <v>253505</v>
      </c>
      <c r="UH11" s="118">
        <v>3248221</v>
      </c>
      <c r="UI11" s="39">
        <v>1997929</v>
      </c>
      <c r="UJ11" s="39">
        <v>302069</v>
      </c>
      <c r="UK11" s="39">
        <v>705900</v>
      </c>
      <c r="UL11" s="39">
        <v>822701</v>
      </c>
      <c r="UM11" s="1">
        <v>129630</v>
      </c>
      <c r="UN11" s="1">
        <v>1015</v>
      </c>
      <c r="UO11" s="1">
        <v>6335</v>
      </c>
      <c r="UP11" s="1">
        <v>544421</v>
      </c>
      <c r="UQ11" s="1">
        <v>211868</v>
      </c>
      <c r="UR11" s="588">
        <f t="shared" si="431"/>
        <v>209931</v>
      </c>
      <c r="US11" s="40">
        <v>128123</v>
      </c>
      <c r="UT11" s="40">
        <v>81808</v>
      </c>
      <c r="UU11" s="588">
        <f t="shared" si="432"/>
        <v>11656</v>
      </c>
      <c r="UV11" s="40">
        <v>4640</v>
      </c>
      <c r="UW11" s="40">
        <v>7016</v>
      </c>
      <c r="UX11" s="42">
        <v>431123</v>
      </c>
      <c r="UY11" s="588">
        <f t="shared" si="433"/>
        <v>255121</v>
      </c>
      <c r="UZ11" s="588">
        <f t="shared" si="434"/>
        <v>176002</v>
      </c>
      <c r="VA11" s="588">
        <f t="shared" si="435"/>
        <v>386431</v>
      </c>
      <c r="VB11" s="40">
        <v>232379</v>
      </c>
      <c r="VC11" s="40">
        <v>154052</v>
      </c>
      <c r="VD11" s="588">
        <f t="shared" si="436"/>
        <v>19055</v>
      </c>
      <c r="VE11" s="40">
        <v>7082</v>
      </c>
      <c r="VF11" s="40">
        <v>11973</v>
      </c>
      <c r="VG11" s="588">
        <f t="shared" si="437"/>
        <v>25637</v>
      </c>
      <c r="VH11" s="40">
        <v>15660</v>
      </c>
      <c r="VI11" s="40">
        <v>9977</v>
      </c>
      <c r="VJ11" s="42">
        <v>930134</v>
      </c>
      <c r="VK11" s="588">
        <f t="shared" si="438"/>
        <v>550471</v>
      </c>
      <c r="VL11" s="588">
        <f t="shared" si="439"/>
        <v>379663</v>
      </c>
      <c r="VM11" s="39">
        <f>317046+484979</f>
        <v>802025</v>
      </c>
      <c r="VN11" s="40">
        <v>484979</v>
      </c>
      <c r="VO11" s="40">
        <v>317046</v>
      </c>
      <c r="VP11" s="40">
        <v>65492</v>
      </c>
      <c r="VQ11" s="40">
        <v>62617</v>
      </c>
      <c r="VR11" s="39">
        <f>19384+27184</f>
        <v>46568</v>
      </c>
      <c r="VS11" s="40">
        <v>19384</v>
      </c>
      <c r="VT11" s="40">
        <v>27184</v>
      </c>
      <c r="VU11" s="39">
        <f>29911+39636</f>
        <v>69547</v>
      </c>
      <c r="VV11" s="40">
        <v>39636</v>
      </c>
      <c r="VW11" s="40">
        <v>29911</v>
      </c>
      <c r="VX11" s="233">
        <f t="shared" si="440"/>
        <v>11994</v>
      </c>
      <c r="VY11" s="233">
        <f t="shared" si="441"/>
        <v>6472</v>
      </c>
      <c r="VZ11" s="233">
        <f t="shared" si="442"/>
        <v>5522</v>
      </c>
      <c r="WA11" s="234">
        <f t="shared" si="443"/>
        <v>1179</v>
      </c>
      <c r="WB11" s="234">
        <f t="shared" si="444"/>
        <v>806</v>
      </c>
      <c r="WC11" s="234">
        <f t="shared" si="445"/>
        <v>373</v>
      </c>
      <c r="WD11" s="40">
        <v>10815</v>
      </c>
      <c r="WE11" s="40">
        <v>5666</v>
      </c>
      <c r="WF11" s="40">
        <v>5149</v>
      </c>
      <c r="WG11" s="12">
        <f t="shared" si="446"/>
        <v>1299339</v>
      </c>
      <c r="WH11" s="588">
        <f t="shared" si="447"/>
        <v>910256</v>
      </c>
      <c r="WI11" s="588">
        <f t="shared" si="448"/>
        <v>714149</v>
      </c>
      <c r="WJ11" s="11">
        <f t="shared" si="449"/>
        <v>972249</v>
      </c>
      <c r="WK11" s="90">
        <f t="shared" si="450"/>
        <v>1359385</v>
      </c>
      <c r="WL11" s="40">
        <v>778615</v>
      </c>
      <c r="WM11" s="40">
        <v>580770</v>
      </c>
      <c r="WN11" s="40">
        <v>131641</v>
      </c>
      <c r="WO11" s="40">
        <v>133379</v>
      </c>
      <c r="WP11" s="11">
        <f t="shared" si="451"/>
        <v>73040</v>
      </c>
      <c r="WQ11" s="90">
        <f t="shared" si="452"/>
        <v>89858</v>
      </c>
      <c r="WR11" s="40">
        <v>36991</v>
      </c>
      <c r="WS11" s="40">
        <v>52867</v>
      </c>
      <c r="WT11" s="11">
        <f t="shared" si="453"/>
        <v>141897</v>
      </c>
      <c r="WU11" s="40">
        <v>76471</v>
      </c>
      <c r="WV11" s="40">
        <v>65426</v>
      </c>
      <c r="WW11" s="9">
        <f t="shared" si="454"/>
        <v>241527</v>
      </c>
      <c r="WX11" s="235">
        <f t="shared" si="455"/>
        <v>18179</v>
      </c>
      <c r="WY11" s="235">
        <f t="shared" si="456"/>
        <v>15086</v>
      </c>
      <c r="WZ11" s="236">
        <f t="shared" si="457"/>
        <v>562</v>
      </c>
      <c r="XA11" s="236">
        <f t="shared" si="458"/>
        <v>284</v>
      </c>
      <c r="XB11" s="236">
        <f t="shared" si="459"/>
        <v>278</v>
      </c>
      <c r="XC11" s="589">
        <f t="shared" si="460"/>
        <v>32703</v>
      </c>
      <c r="XD11" s="589">
        <f t="shared" si="461"/>
        <v>17895</v>
      </c>
      <c r="XE11" s="589">
        <f t="shared" si="462"/>
        <v>14808</v>
      </c>
      <c r="XF11" s="40">
        <v>1820</v>
      </c>
      <c r="XG11" s="40">
        <v>1164</v>
      </c>
      <c r="XH11" s="40">
        <v>16075</v>
      </c>
      <c r="XI11" s="40">
        <v>13644</v>
      </c>
      <c r="XJ11" s="590">
        <v>2462328</v>
      </c>
      <c r="XK11" s="40">
        <v>1297103</v>
      </c>
      <c r="XL11" s="40">
        <v>1165225</v>
      </c>
      <c r="XM11" s="5">
        <f t="shared" si="463"/>
        <v>2156030</v>
      </c>
      <c r="XN11" s="5">
        <v>1158171</v>
      </c>
      <c r="XO11" s="5">
        <v>997859</v>
      </c>
      <c r="XP11" s="84">
        <f t="shared" si="464"/>
        <v>1904837</v>
      </c>
      <c r="XQ11" s="40">
        <v>1033196</v>
      </c>
      <c r="XR11" s="40">
        <v>871641</v>
      </c>
      <c r="XS11" s="5">
        <f t="shared" si="465"/>
        <v>159672</v>
      </c>
      <c r="XT11" s="40">
        <v>66007</v>
      </c>
      <c r="XU11" s="40">
        <v>93665</v>
      </c>
      <c r="XV11" s="5">
        <f t="shared" si="466"/>
        <v>296452</v>
      </c>
      <c r="XW11" s="40">
        <v>146614</v>
      </c>
      <c r="XX11" s="40">
        <v>149838</v>
      </c>
      <c r="XY11" s="84">
        <f t="shared" si="467"/>
        <v>146626</v>
      </c>
      <c r="XZ11" s="84">
        <f t="shared" si="468"/>
        <v>72925</v>
      </c>
      <c r="YA11" s="84">
        <f t="shared" si="469"/>
        <v>73701</v>
      </c>
      <c r="YB11" s="587">
        <v>3133294</v>
      </c>
      <c r="YC11" s="40">
        <v>2266518</v>
      </c>
      <c r="YD11" s="40">
        <v>242995</v>
      </c>
      <c r="YE11" s="40">
        <v>474903</v>
      </c>
      <c r="YF11" s="5">
        <v>229910</v>
      </c>
      <c r="YG11" s="118">
        <v>3227990</v>
      </c>
      <c r="YH11" s="39">
        <v>2740099</v>
      </c>
      <c r="YI11" s="39">
        <v>257611</v>
      </c>
      <c r="YJ11" s="39">
        <v>230280</v>
      </c>
      <c r="YK11" s="39">
        <v>506134</v>
      </c>
      <c r="YL11" s="118">
        <v>3258489</v>
      </c>
      <c r="YM11" s="39">
        <v>2763471</v>
      </c>
      <c r="YN11" s="39">
        <v>265275</v>
      </c>
      <c r="YO11" s="39">
        <v>229743</v>
      </c>
      <c r="YP11" s="39">
        <v>506116</v>
      </c>
      <c r="YQ11" s="118">
        <v>3323312</v>
      </c>
      <c r="YR11" s="39">
        <v>2812254</v>
      </c>
      <c r="YS11" s="39">
        <v>277774</v>
      </c>
      <c r="YT11" s="39">
        <v>233284</v>
      </c>
      <c r="YU11" s="39">
        <v>536728</v>
      </c>
      <c r="YV11" s="10">
        <v>3366582.037</v>
      </c>
      <c r="YW11" s="39">
        <v>2840852.3499999996</v>
      </c>
      <c r="YX11" s="39">
        <v>284154.56</v>
      </c>
      <c r="YY11" s="39">
        <v>543631.15800000005</v>
      </c>
      <c r="YZ11" s="39">
        <v>241575.12700000039</v>
      </c>
      <c r="ZA11" s="39">
        <v>3480002</v>
      </c>
      <c r="ZB11" s="39">
        <v>2427454</v>
      </c>
      <c r="ZC11" s="39">
        <v>294071</v>
      </c>
      <c r="ZD11" s="39">
        <v>575590</v>
      </c>
      <c r="ZE11" s="1">
        <v>247099</v>
      </c>
      <c r="ZF11" s="1">
        <v>3599922</v>
      </c>
      <c r="ZG11" s="1">
        <v>2486373</v>
      </c>
      <c r="ZH11" s="1">
        <v>310850</v>
      </c>
      <c r="ZI11" s="1">
        <v>606210</v>
      </c>
      <c r="ZJ11" s="1">
        <v>265910</v>
      </c>
      <c r="ZK11" s="1">
        <v>3830504</v>
      </c>
      <c r="ZL11" s="1">
        <v>2615135</v>
      </c>
      <c r="ZM11" s="1">
        <v>336523</v>
      </c>
      <c r="ZN11" s="1">
        <v>669459</v>
      </c>
      <c r="ZO11" s="1">
        <v>286358</v>
      </c>
      <c r="ZP11" s="1">
        <v>4092338</v>
      </c>
      <c r="ZQ11" s="1">
        <v>2744064</v>
      </c>
      <c r="ZR11" s="1">
        <v>368693</v>
      </c>
      <c r="ZS11" s="1">
        <v>737941</v>
      </c>
      <c r="ZT11" s="1">
        <v>331966</v>
      </c>
      <c r="ZU11" s="1">
        <v>4208456</v>
      </c>
      <c r="ZV11" s="1">
        <v>2811651</v>
      </c>
      <c r="ZW11" s="1">
        <v>380139</v>
      </c>
      <c r="ZX11" s="1">
        <v>768796</v>
      </c>
      <c r="ZY11" s="1">
        <v>340703</v>
      </c>
      <c r="ZZ11" s="394">
        <v>201585</v>
      </c>
      <c r="AAA11" s="1">
        <v>1166</v>
      </c>
      <c r="AAB11" s="1">
        <v>6565</v>
      </c>
      <c r="AAC11" s="1">
        <v>64043</v>
      </c>
      <c r="AAD11" s="1">
        <v>66459</v>
      </c>
      <c r="AAE11" s="50">
        <v>4454492</v>
      </c>
      <c r="AAF11" s="1">
        <v>2923485</v>
      </c>
      <c r="AAG11" s="1">
        <v>402237</v>
      </c>
      <c r="AAH11" s="1">
        <v>854267</v>
      </c>
      <c r="AAI11" s="1">
        <v>378937</v>
      </c>
      <c r="AAJ11" s="50">
        <v>4647230</v>
      </c>
      <c r="AAK11" s="1"/>
      <c r="AAL11" s="1"/>
      <c r="AAM11" s="1"/>
      <c r="AAN11" s="1"/>
      <c r="AAO11" s="68">
        <v>4753637</v>
      </c>
      <c r="AAP11" s="37">
        <v>3067971</v>
      </c>
      <c r="AAQ11" s="37">
        <v>427964</v>
      </c>
      <c r="AAR11" s="37">
        <v>969573</v>
      </c>
      <c r="AAS11" s="37">
        <v>416637</v>
      </c>
      <c r="AAT11" s="68">
        <v>5226846</v>
      </c>
      <c r="AAU11" s="37">
        <v>3234159</v>
      </c>
      <c r="AAV11" s="37">
        <v>487450</v>
      </c>
      <c r="AAW11" s="37">
        <v>1083074</v>
      </c>
      <c r="AAX11" s="37">
        <v>1302903</v>
      </c>
      <c r="AAY11" s="1">
        <v>236690</v>
      </c>
      <c r="AAZ11" s="1">
        <v>2258</v>
      </c>
      <c r="ABA11" s="1">
        <v>10041</v>
      </c>
      <c r="ABB11" s="1">
        <v>842046</v>
      </c>
      <c r="ABC11" s="1">
        <v>211868</v>
      </c>
      <c r="ABD11" s="10">
        <v>889207</v>
      </c>
      <c r="ABE11" s="39">
        <v>782084</v>
      </c>
      <c r="ABF11" s="39">
        <v>53117</v>
      </c>
      <c r="ABG11" s="39">
        <v>119247</v>
      </c>
      <c r="ABH11" s="39">
        <v>54006</v>
      </c>
      <c r="ABI11" s="118">
        <v>1091876</v>
      </c>
      <c r="ABJ11" s="39">
        <v>804139</v>
      </c>
      <c r="ABK11" s="39">
        <v>78911</v>
      </c>
      <c r="ABL11" s="39">
        <v>152836</v>
      </c>
      <c r="ABM11" s="39">
        <v>79573</v>
      </c>
      <c r="ABN11" s="10">
        <v>1177546</v>
      </c>
      <c r="ABO11" s="39">
        <v>997641</v>
      </c>
      <c r="ABP11" s="39">
        <v>91641</v>
      </c>
      <c r="ABQ11" s="39">
        <v>176445</v>
      </c>
      <c r="ABR11" s="39">
        <v>88264</v>
      </c>
      <c r="ABS11" s="10">
        <v>1205157.7719999999</v>
      </c>
      <c r="ABT11" s="39">
        <v>1016836.4499999998</v>
      </c>
      <c r="ABU11" s="39">
        <v>95902.164000000004</v>
      </c>
      <c r="ABV11" s="39">
        <v>179425.06200000001</v>
      </c>
      <c r="ABW11" s="207">
        <v>92419.158000000039</v>
      </c>
      <c r="ABX11" s="1">
        <v>1246349</v>
      </c>
      <c r="ABY11" s="1">
        <v>884623</v>
      </c>
      <c r="ABZ11" s="1">
        <v>102137</v>
      </c>
      <c r="ACA11" s="1">
        <v>186373</v>
      </c>
      <c r="ACB11" s="49">
        <v>93328</v>
      </c>
      <c r="ACC11" s="1">
        <v>1287276</v>
      </c>
      <c r="ACD11" s="1">
        <v>908687</v>
      </c>
      <c r="ACE11" s="1">
        <v>109073</v>
      </c>
      <c r="ACF11" s="1">
        <v>190663</v>
      </c>
      <c r="ACG11" s="1">
        <v>98840</v>
      </c>
      <c r="ACH11" s="1">
        <v>1381841</v>
      </c>
      <c r="ACI11" s="1">
        <v>968213</v>
      </c>
      <c r="ACJ11" s="1">
        <v>115456</v>
      </c>
      <c r="ACK11" s="1">
        <v>214643</v>
      </c>
      <c r="ACL11" s="1">
        <v>104235</v>
      </c>
      <c r="ACM11" s="1">
        <v>1471999</v>
      </c>
      <c r="ACN11" s="1">
        <v>1003468</v>
      </c>
      <c r="ACO11" s="1">
        <v>130477</v>
      </c>
      <c r="ACP11" s="1">
        <v>234264</v>
      </c>
      <c r="ACQ11" s="1">
        <v>132845</v>
      </c>
      <c r="ACR11" s="1">
        <v>1532549</v>
      </c>
      <c r="ACS11" s="1">
        <v>1042766</v>
      </c>
      <c r="ACT11" s="1">
        <v>134240</v>
      </c>
      <c r="ACU11" s="1">
        <v>248414</v>
      </c>
      <c r="ACV11" s="1">
        <v>136443</v>
      </c>
      <c r="ADB11" s="50">
        <v>1614992</v>
      </c>
      <c r="ADC11" s="1">
        <v>1093549</v>
      </c>
      <c r="ADD11" s="1">
        <v>142667</v>
      </c>
      <c r="ADE11" s="1">
        <v>266285</v>
      </c>
      <c r="ADF11" s="1">
        <v>142571</v>
      </c>
      <c r="ADG11" s="50">
        <v>1726771</v>
      </c>
      <c r="ADL11" s="50">
        <v>1770994</v>
      </c>
      <c r="ADM11" s="1">
        <v>1171650</v>
      </c>
      <c r="ADN11" s="1">
        <v>154865</v>
      </c>
      <c r="ADO11" s="1">
        <v>323678</v>
      </c>
      <c r="ADP11" s="1">
        <v>163132</v>
      </c>
      <c r="ADQ11" s="50">
        <v>1978625</v>
      </c>
      <c r="ADR11" s="1">
        <v>1236230</v>
      </c>
      <c r="ADS11" s="1">
        <v>185381</v>
      </c>
      <c r="ADT11" s="1">
        <v>377174</v>
      </c>
      <c r="ADU11" s="1">
        <v>480202</v>
      </c>
      <c r="ADV11" s="1">
        <v>107060</v>
      </c>
      <c r="ADW11" s="1">
        <v>1243</v>
      </c>
      <c r="ADX11" s="1">
        <v>3706</v>
      </c>
      <c r="ADY11" s="1">
        <v>297625</v>
      </c>
      <c r="ADZ11" s="1">
        <v>70568</v>
      </c>
    </row>
    <row r="12" spans="1:806" ht="14.1">
      <c r="A12" s="138" t="s">
        <v>12</v>
      </c>
      <c r="B12" s="118">
        <f>107429+155043+82713+90541+189608+105512</f>
        <v>730846</v>
      </c>
      <c r="C12" s="39">
        <f>53741+107455+63761+42634+120964+74398</f>
        <v>462953</v>
      </c>
      <c r="D12" s="39">
        <f>52091+45762+18121+46162+65503+29351</f>
        <v>256990</v>
      </c>
      <c r="E12" s="39">
        <f>1209+1354+621+929+2047+1219</f>
        <v>7379</v>
      </c>
      <c r="F12" s="207">
        <f>179+254+128+169+181+61+157+347+184+621+708+326</f>
        <v>3315</v>
      </c>
      <c r="G12" s="3">
        <v>483755</v>
      </c>
      <c r="H12" s="39">
        <v>300773</v>
      </c>
      <c r="I12" s="39">
        <v>171543</v>
      </c>
      <c r="J12" s="39">
        <v>10285</v>
      </c>
      <c r="K12" s="207">
        <v>11439</v>
      </c>
      <c r="L12" s="3">
        <v>393197</v>
      </c>
      <c r="M12" s="39">
        <v>220533</v>
      </c>
      <c r="N12" s="39">
        <v>119905</v>
      </c>
      <c r="O12" s="39">
        <v>68848</v>
      </c>
      <c r="P12" s="207">
        <v>52759</v>
      </c>
      <c r="Q12" s="39">
        <v>378127</v>
      </c>
      <c r="R12" s="39">
        <v>153339</v>
      </c>
      <c r="S12" s="39">
        <v>102208</v>
      </c>
      <c r="T12" s="39">
        <v>106492</v>
      </c>
      <c r="U12" s="207">
        <v>72686</v>
      </c>
      <c r="V12" s="5">
        <v>370337</v>
      </c>
      <c r="W12" s="394">
        <v>202759</v>
      </c>
      <c r="X12" s="394">
        <v>90881</v>
      </c>
      <c r="Y12" s="394">
        <v>118273</v>
      </c>
      <c r="Z12" s="406">
        <v>76697</v>
      </c>
      <c r="AA12" s="394">
        <v>364592</v>
      </c>
      <c r="AB12" s="1">
        <v>136429</v>
      </c>
      <c r="AC12" s="394">
        <v>88397</v>
      </c>
      <c r="AD12" s="394">
        <v>122587</v>
      </c>
      <c r="AE12" s="394">
        <v>71924</v>
      </c>
      <c r="AF12" s="393">
        <v>362911</v>
      </c>
      <c r="AG12" s="394">
        <v>134268</v>
      </c>
      <c r="AH12" s="394">
        <v>87550</v>
      </c>
      <c r="AI12" s="394">
        <v>123799</v>
      </c>
      <c r="AJ12" s="490">
        <v>67125</v>
      </c>
      <c r="AK12" s="490">
        <v>352984</v>
      </c>
      <c r="AL12" s="490">
        <v>122547</v>
      </c>
      <c r="AM12" s="685">
        <v>90953</v>
      </c>
      <c r="AN12" s="685">
        <v>120064</v>
      </c>
      <c r="AO12" s="490">
        <v>65025</v>
      </c>
      <c r="AP12" s="394">
        <v>332116</v>
      </c>
      <c r="AQ12" s="394">
        <v>117401</v>
      </c>
      <c r="AR12" s="394">
        <v>77604</v>
      </c>
      <c r="AS12" s="394">
        <v>119016</v>
      </c>
      <c r="AT12" s="394">
        <v>66177</v>
      </c>
      <c r="AU12" s="393">
        <v>334607</v>
      </c>
      <c r="AV12" s="394">
        <v>113199</v>
      </c>
      <c r="AW12" s="394">
        <v>76479</v>
      </c>
      <c r="AX12" s="394">
        <v>125190</v>
      </c>
      <c r="AY12" s="394">
        <v>74927</v>
      </c>
      <c r="AZ12" s="1">
        <v>19432</v>
      </c>
      <c r="BA12" s="1">
        <v>0</v>
      </c>
      <c r="BB12" s="1">
        <v>4428</v>
      </c>
      <c r="BC12" s="1">
        <v>4487</v>
      </c>
      <c r="BD12" s="1">
        <v>46580</v>
      </c>
      <c r="BE12" s="393">
        <v>313025</v>
      </c>
      <c r="BF12" s="394">
        <v>91117</v>
      </c>
      <c r="BG12" s="394">
        <v>72585</v>
      </c>
      <c r="BH12" s="394">
        <v>126750</v>
      </c>
      <c r="BI12" s="394">
        <v>70308</v>
      </c>
      <c r="BJ12" s="393">
        <v>308720</v>
      </c>
      <c r="BK12" s="394"/>
      <c r="BL12" s="394"/>
      <c r="BM12" s="394"/>
      <c r="BN12" s="394"/>
      <c r="BO12" s="393">
        <v>319929</v>
      </c>
      <c r="BP12" s="394">
        <v>93745</v>
      </c>
      <c r="BQ12" s="394">
        <v>69612</v>
      </c>
      <c r="BR12" s="394">
        <v>131792</v>
      </c>
      <c r="BS12" s="394">
        <v>85742</v>
      </c>
      <c r="BT12" s="393">
        <v>303973</v>
      </c>
      <c r="BU12" s="394">
        <v>87430</v>
      </c>
      <c r="BV12" s="394">
        <v>63499</v>
      </c>
      <c r="BW12" s="394">
        <v>119359</v>
      </c>
      <c r="BX12" s="394">
        <v>22503</v>
      </c>
      <c r="BY12" s="1">
        <v>0</v>
      </c>
      <c r="BZ12" s="1">
        <v>9640</v>
      </c>
      <c r="CA12" s="1">
        <v>55455</v>
      </c>
      <c r="CB12" s="1">
        <v>53654</v>
      </c>
      <c r="CC12" s="118">
        <v>686060</v>
      </c>
      <c r="CD12" s="39">
        <v>452897</v>
      </c>
      <c r="CE12" s="39">
        <v>223687</v>
      </c>
      <c r="CF12" s="39">
        <v>119359</v>
      </c>
      <c r="CG12" s="207">
        <v>9476</v>
      </c>
      <c r="CH12" s="3">
        <v>718152</v>
      </c>
      <c r="CI12" s="39">
        <v>429759</v>
      </c>
      <c r="CJ12" s="39">
        <v>246874</v>
      </c>
      <c r="CK12" s="39">
        <v>40889</v>
      </c>
      <c r="CL12" s="207">
        <v>41519</v>
      </c>
      <c r="CM12" s="1">
        <v>678996</v>
      </c>
      <c r="CN12" s="39">
        <v>369120</v>
      </c>
      <c r="CO12" s="39">
        <v>232767</v>
      </c>
      <c r="CP12" s="39">
        <v>58034</v>
      </c>
      <c r="CQ12" s="207">
        <v>53676</v>
      </c>
      <c r="CR12" s="3">
        <v>613032</v>
      </c>
      <c r="CS12" s="39">
        <v>349260</v>
      </c>
      <c r="CT12" s="39">
        <v>218797</v>
      </c>
      <c r="CU12" s="39">
        <v>62461</v>
      </c>
      <c r="CV12" s="207">
        <v>44975</v>
      </c>
      <c r="CW12" s="39">
        <v>612627</v>
      </c>
      <c r="CX12" s="39">
        <v>307265</v>
      </c>
      <c r="CY12" s="39">
        <v>216709</v>
      </c>
      <c r="CZ12" s="39">
        <v>70557</v>
      </c>
      <c r="DA12" s="39">
        <v>48013</v>
      </c>
      <c r="DB12" s="39">
        <v>600108</v>
      </c>
      <c r="DC12" s="39">
        <v>299859</v>
      </c>
      <c r="DD12" s="39">
        <v>209931</v>
      </c>
      <c r="DE12" s="39">
        <v>72799</v>
      </c>
      <c r="DF12" s="39">
        <v>45473</v>
      </c>
      <c r="DG12" s="39">
        <v>590904</v>
      </c>
      <c r="DH12" s="39">
        <v>285998</v>
      </c>
      <c r="DI12" s="39">
        <v>218176</v>
      </c>
      <c r="DJ12" s="39">
        <v>67351</v>
      </c>
      <c r="DK12" s="39">
        <v>42311</v>
      </c>
      <c r="DL12" s="39">
        <v>593620</v>
      </c>
      <c r="DM12" s="39">
        <v>283446</v>
      </c>
      <c r="DN12" s="39">
        <v>219147</v>
      </c>
      <c r="DO12" s="39">
        <v>70806</v>
      </c>
      <c r="DP12" s="39">
        <v>45758</v>
      </c>
      <c r="DQ12" s="39">
        <v>588019</v>
      </c>
      <c r="DR12" s="39">
        <v>283748</v>
      </c>
      <c r="DS12" s="39">
        <v>205976</v>
      </c>
      <c r="DT12" s="39">
        <v>75320</v>
      </c>
      <c r="DU12" s="39">
        <v>52624</v>
      </c>
      <c r="DV12" s="118">
        <v>580411</v>
      </c>
      <c r="DW12" s="39">
        <v>265212</v>
      </c>
      <c r="DX12" s="39">
        <v>214510</v>
      </c>
      <c r="DY12" s="39">
        <v>76809</v>
      </c>
      <c r="DZ12" s="39">
        <v>52431</v>
      </c>
      <c r="EA12" s="118">
        <v>557379</v>
      </c>
      <c r="EB12" s="39"/>
      <c r="EC12" s="39"/>
      <c r="ED12" s="39"/>
      <c r="EE12" s="39"/>
      <c r="EF12" s="118">
        <v>536096</v>
      </c>
      <c r="EG12" s="39">
        <v>254440</v>
      </c>
      <c r="EH12" s="39">
        <v>195271</v>
      </c>
      <c r="EI12" s="39">
        <v>63106</v>
      </c>
      <c r="EJ12" s="39">
        <v>50312</v>
      </c>
      <c r="EK12" s="118">
        <v>536096</v>
      </c>
      <c r="EL12" s="39">
        <v>254440</v>
      </c>
      <c r="EM12" s="39">
        <v>195271</v>
      </c>
      <c r="EN12" s="39">
        <v>63106</v>
      </c>
      <c r="EO12" s="39">
        <v>50312</v>
      </c>
      <c r="EP12" s="118">
        <v>493904</v>
      </c>
      <c r="EQ12" s="39">
        <v>218566</v>
      </c>
      <c r="ER12" s="39">
        <v>181101</v>
      </c>
      <c r="ES12" s="39">
        <v>62556</v>
      </c>
      <c r="ET12" s="1">
        <v>15791</v>
      </c>
      <c r="EU12" s="1">
        <v>0</v>
      </c>
      <c r="EV12" s="1">
        <v>2465</v>
      </c>
      <c r="EW12" s="1">
        <v>38092</v>
      </c>
      <c r="EX12" s="1">
        <v>28769</v>
      </c>
      <c r="EY12" s="10">
        <v>980154</v>
      </c>
      <c r="EZ12" s="39">
        <v>550288</v>
      </c>
      <c r="FA12" s="39">
        <v>305619</v>
      </c>
      <c r="FB12" s="39">
        <v>191943</v>
      </c>
      <c r="FC12" s="382">
        <f t="shared" si="470"/>
        <v>124247</v>
      </c>
      <c r="FD12" s="230">
        <v>264432</v>
      </c>
      <c r="FE12" s="231">
        <v>362030</v>
      </c>
      <c r="FF12" s="231">
        <v>643967</v>
      </c>
      <c r="FG12" s="231">
        <v>956635</v>
      </c>
      <c r="FH12" s="10">
        <v>1740707</v>
      </c>
      <c r="FI12" s="39">
        <v>1414558.53</v>
      </c>
      <c r="FJ12" s="39">
        <v>294061.32299999997</v>
      </c>
      <c r="FK12" s="39">
        <v>16530.93</v>
      </c>
      <c r="FL12" s="207">
        <v>13376.377</v>
      </c>
      <c r="FM12" s="3">
        <v>2853605</v>
      </c>
      <c r="FN12" s="39">
        <v>2244288</v>
      </c>
      <c r="FO12" s="39">
        <v>558979</v>
      </c>
      <c r="FP12" s="39">
        <v>34575</v>
      </c>
      <c r="FQ12" s="207">
        <v>50338</v>
      </c>
      <c r="FR12" s="3">
        <v>4074616</v>
      </c>
      <c r="FS12" s="39">
        <v>2925956</v>
      </c>
      <c r="FT12" s="39">
        <v>966382</v>
      </c>
      <c r="FU12" s="39">
        <v>103453</v>
      </c>
      <c r="FV12" s="39">
        <v>182278</v>
      </c>
      <c r="FW12" s="232">
        <v>4888224</v>
      </c>
      <c r="FX12" s="39">
        <v>3220120</v>
      </c>
      <c r="FY12" s="39">
        <v>1395881</v>
      </c>
      <c r="FZ12" s="39">
        <v>252986</v>
      </c>
      <c r="GA12" s="39">
        <v>194952</v>
      </c>
      <c r="GB12" s="118">
        <v>5034193</v>
      </c>
      <c r="GC12" s="39">
        <v>3388764</v>
      </c>
      <c r="GD12" s="39">
        <v>1344649</v>
      </c>
      <c r="GE12" s="39">
        <v>300780</v>
      </c>
      <c r="GF12" s="39">
        <v>206515</v>
      </c>
      <c r="GG12" s="42">
        <v>5137996</v>
      </c>
      <c r="GH12" s="40">
        <v>3436325</v>
      </c>
      <c r="GI12" s="40">
        <v>1397429</v>
      </c>
      <c r="GJ12" s="40">
        <v>304242</v>
      </c>
      <c r="GK12" s="40">
        <v>212442</v>
      </c>
      <c r="GL12" s="10">
        <v>5171176</v>
      </c>
      <c r="GM12" s="39">
        <v>3416219</v>
      </c>
      <c r="GN12" s="39">
        <v>1429820</v>
      </c>
      <c r="GO12" s="39">
        <v>237889</v>
      </c>
      <c r="GP12" s="39">
        <v>275305</v>
      </c>
      <c r="GQ12" s="10">
        <v>5262865.8600000003</v>
      </c>
      <c r="GR12" s="39">
        <v>3466412.0999999996</v>
      </c>
      <c r="GS12" s="39">
        <v>1469459.085</v>
      </c>
      <c r="GT12" s="39">
        <v>245284.34699999998</v>
      </c>
      <c r="GU12" s="410">
        <f t="shared" si="471"/>
        <v>326994.67500000075</v>
      </c>
      <c r="GV12" s="39">
        <v>5349432</v>
      </c>
      <c r="GW12" s="39">
        <v>3348382</v>
      </c>
      <c r="GX12" s="39">
        <v>1507305</v>
      </c>
      <c r="GY12" s="39">
        <v>255702</v>
      </c>
      <c r="GZ12" s="39">
        <v>338117</v>
      </c>
      <c r="HA12" s="39">
        <v>5440937</v>
      </c>
      <c r="HB12" s="39">
        <v>3378623</v>
      </c>
      <c r="HC12" s="39">
        <v>1546350</v>
      </c>
      <c r="HD12" s="39">
        <v>264463</v>
      </c>
      <c r="HE12" s="39">
        <v>347836</v>
      </c>
      <c r="HF12" s="39">
        <v>5632520</v>
      </c>
      <c r="HG12" s="39">
        <v>3442990</v>
      </c>
      <c r="HH12" s="39">
        <v>1633148</v>
      </c>
      <c r="HI12" s="39">
        <v>283882</v>
      </c>
      <c r="HJ12" s="39">
        <v>373662</v>
      </c>
      <c r="HK12" s="39">
        <v>5758031</v>
      </c>
      <c r="HL12" s="39">
        <v>3479426</v>
      </c>
      <c r="HM12" s="39">
        <v>1676403</v>
      </c>
      <c r="HN12" s="39">
        <v>301546</v>
      </c>
      <c r="HO12" s="39">
        <v>402514</v>
      </c>
      <c r="HP12" s="118">
        <v>5862769</v>
      </c>
      <c r="HQ12" s="39">
        <v>3498190</v>
      </c>
      <c r="HR12" s="39">
        <v>1752500</v>
      </c>
      <c r="HS12" s="39">
        <v>298918</v>
      </c>
      <c r="HT12" s="39">
        <v>422303</v>
      </c>
      <c r="HU12" s="394">
        <v>235221</v>
      </c>
      <c r="HV12" s="1">
        <v>0</v>
      </c>
      <c r="HW12" s="1">
        <v>15584</v>
      </c>
      <c r="HX12" s="1">
        <v>85551</v>
      </c>
      <c r="HY12" s="1">
        <v>85947</v>
      </c>
      <c r="HZ12" s="118">
        <v>6002590</v>
      </c>
      <c r="IA12" s="39">
        <v>3558113</v>
      </c>
      <c r="IB12" s="39">
        <v>1792691</v>
      </c>
      <c r="IC12" s="39">
        <v>316966</v>
      </c>
      <c r="ID12" s="39">
        <v>438032</v>
      </c>
      <c r="IE12" s="393">
        <v>6112073</v>
      </c>
      <c r="IF12" s="394"/>
      <c r="IG12" s="394"/>
      <c r="IH12" s="394"/>
      <c r="II12" s="394"/>
      <c r="IJ12" s="393">
        <v>6224197</v>
      </c>
      <c r="IK12" s="394">
        <v>3599497</v>
      </c>
      <c r="IL12" s="394">
        <v>1922073</v>
      </c>
      <c r="IM12" s="394">
        <v>351767</v>
      </c>
      <c r="IN12" s="394">
        <v>474249</v>
      </c>
      <c r="IO12" s="393">
        <v>6436394</v>
      </c>
      <c r="IP12" s="394">
        <v>3608518</v>
      </c>
      <c r="IQ12" s="394">
        <v>1913622</v>
      </c>
      <c r="IR12" s="394">
        <v>392476</v>
      </c>
      <c r="IS12" s="394">
        <v>845058</v>
      </c>
      <c r="IT12" s="1">
        <v>281171</v>
      </c>
      <c r="IU12" s="1">
        <v>0</v>
      </c>
      <c r="IV12" s="1">
        <v>17517</v>
      </c>
      <c r="IW12" s="1">
        <v>407601</v>
      </c>
      <c r="IX12" s="1">
        <v>138769</v>
      </c>
      <c r="IY12" s="399">
        <f>201192+210325</f>
        <v>411517</v>
      </c>
      <c r="IZ12" s="394">
        <f>173789+169181</f>
        <v>342970</v>
      </c>
      <c r="JA12" s="394">
        <f>27873+32667</f>
        <v>60540</v>
      </c>
      <c r="JB12" s="394">
        <f>2081+2494</f>
        <v>4575</v>
      </c>
      <c r="JC12" s="406">
        <f>530+913+340+1245</f>
        <v>3028</v>
      </c>
      <c r="JD12" s="5">
        <v>883512</v>
      </c>
      <c r="JE12" s="394">
        <v>690617</v>
      </c>
      <c r="JF12" s="394">
        <v>177988</v>
      </c>
      <c r="JG12" s="394">
        <v>12892</v>
      </c>
      <c r="JH12" s="406">
        <v>14907</v>
      </c>
      <c r="JI12" s="5">
        <v>1328432</v>
      </c>
      <c r="JJ12" s="394">
        <v>920512</v>
      </c>
      <c r="JK12" s="394">
        <v>354883</v>
      </c>
      <c r="JL12" s="394">
        <v>33614</v>
      </c>
      <c r="JM12" s="406">
        <v>53037</v>
      </c>
      <c r="JN12" s="394">
        <v>1510274</v>
      </c>
      <c r="JO12" s="394">
        <v>972048</v>
      </c>
      <c r="JP12" s="394">
        <v>444716</v>
      </c>
      <c r="JQ12" s="394">
        <v>51448</v>
      </c>
      <c r="JR12" s="394">
        <v>71198</v>
      </c>
      <c r="JS12" s="5">
        <v>1689702</v>
      </c>
      <c r="JT12" s="394">
        <v>1068210</v>
      </c>
      <c r="JU12" s="394">
        <v>536342</v>
      </c>
      <c r="JV12" s="394">
        <v>72318</v>
      </c>
      <c r="JW12" s="406">
        <v>85150</v>
      </c>
      <c r="JX12" s="5">
        <v>1729316.5399999998</v>
      </c>
      <c r="JY12" s="394">
        <v>1080492.2999999998</v>
      </c>
      <c r="JZ12" s="394">
        <v>557932.47</v>
      </c>
      <c r="KA12" s="394">
        <v>76077.497999999992</v>
      </c>
      <c r="KB12" s="406">
        <v>90891.770000000019</v>
      </c>
      <c r="KC12" s="394">
        <v>1767834</v>
      </c>
      <c r="KD12" s="394">
        <v>1050267</v>
      </c>
      <c r="KE12" s="394">
        <v>580479</v>
      </c>
      <c r="KF12" s="394">
        <v>78821</v>
      </c>
      <c r="KG12" s="439">
        <v>92918</v>
      </c>
      <c r="KH12" s="439">
        <v>1805134</v>
      </c>
      <c r="KI12" s="439">
        <v>1065458</v>
      </c>
      <c r="KJ12" s="439">
        <v>594464</v>
      </c>
      <c r="KK12" s="439">
        <v>84558</v>
      </c>
      <c r="KL12" s="439">
        <v>94278</v>
      </c>
      <c r="KM12" s="439">
        <v>1851953</v>
      </c>
      <c r="KN12" s="439">
        <v>1084179</v>
      </c>
      <c r="KO12" s="439">
        <v>619483</v>
      </c>
      <c r="KP12" s="439">
        <v>86629</v>
      </c>
      <c r="KQ12" s="439">
        <v>93610</v>
      </c>
      <c r="KR12" s="439">
        <v>1878616</v>
      </c>
      <c r="KS12" s="439">
        <v>1098327</v>
      </c>
      <c r="KT12" s="439">
        <v>617805</v>
      </c>
      <c r="KU12" s="439">
        <v>95242</v>
      </c>
      <c r="KV12" s="439">
        <v>101567</v>
      </c>
      <c r="KW12" s="630">
        <v>1912413</v>
      </c>
      <c r="KX12" s="439">
        <v>1092387</v>
      </c>
      <c r="KY12" s="439">
        <v>655828</v>
      </c>
      <c r="KZ12" s="439">
        <v>91603</v>
      </c>
      <c r="LA12" s="439">
        <v>107969</v>
      </c>
      <c r="LB12" s="652">
        <v>1934611</v>
      </c>
      <c r="LC12" s="653">
        <v>1119257</v>
      </c>
      <c r="LD12" s="653">
        <v>649970</v>
      </c>
      <c r="LE12" s="653">
        <v>92137</v>
      </c>
      <c r="LF12" s="653">
        <v>101824</v>
      </c>
      <c r="LG12" s="652">
        <v>1945918</v>
      </c>
      <c r="LH12" s="653"/>
      <c r="LI12" s="439"/>
      <c r="LJ12" s="439"/>
      <c r="LK12" s="439"/>
      <c r="LL12" s="652">
        <v>1982684</v>
      </c>
      <c r="LM12" s="653">
        <v>1099510</v>
      </c>
      <c r="LN12" s="653">
        <v>698653</v>
      </c>
      <c r="LO12" s="653">
        <v>108632</v>
      </c>
      <c r="LP12" s="653">
        <v>119715</v>
      </c>
      <c r="LQ12" s="652">
        <v>2000942</v>
      </c>
      <c r="LR12" s="653">
        <v>1082344</v>
      </c>
      <c r="LS12" s="653">
        <v>673567</v>
      </c>
      <c r="LT12" s="653">
        <v>115091</v>
      </c>
      <c r="LU12" s="653">
        <v>225987</v>
      </c>
      <c r="LV12" s="1">
        <v>46184</v>
      </c>
      <c r="LW12" s="1">
        <v>0</v>
      </c>
      <c r="LX12" s="1">
        <v>6449</v>
      </c>
      <c r="LY12" s="1">
        <v>134395</v>
      </c>
      <c r="LZ12" s="1">
        <v>38959</v>
      </c>
      <c r="MA12" s="10">
        <v>199403</v>
      </c>
      <c r="MB12" s="39">
        <v>156057</v>
      </c>
      <c r="MC12" s="39">
        <v>38926</v>
      </c>
      <c r="MD12" s="39">
        <v>3411</v>
      </c>
      <c r="ME12" s="207">
        <v>4420</v>
      </c>
      <c r="MF12" s="3">
        <v>269740</v>
      </c>
      <c r="MG12" s="39">
        <v>188733</v>
      </c>
      <c r="MH12" s="39">
        <v>68260</v>
      </c>
      <c r="MI12" s="39">
        <v>7600</v>
      </c>
      <c r="MJ12" s="207">
        <v>12747</v>
      </c>
      <c r="MK12" s="39">
        <v>379421</v>
      </c>
      <c r="ML12" s="39">
        <v>242401</v>
      </c>
      <c r="MM12" s="39">
        <v>111516</v>
      </c>
      <c r="MN12" s="39">
        <v>13328</v>
      </c>
      <c r="MO12" s="39">
        <v>19004</v>
      </c>
      <c r="MP12" s="118">
        <v>407233</v>
      </c>
      <c r="MQ12" s="39">
        <v>254621</v>
      </c>
      <c r="MR12" s="39">
        <v>127745</v>
      </c>
      <c r="MS12" s="39">
        <v>19312</v>
      </c>
      <c r="MT12" s="39">
        <v>24867</v>
      </c>
      <c r="MU12" s="118"/>
      <c r="MV12" s="39"/>
      <c r="MW12" s="39"/>
      <c r="MX12" s="39"/>
      <c r="MY12" s="207"/>
      <c r="MZ12" s="39">
        <v>433809</v>
      </c>
      <c r="NA12" s="39">
        <v>257874</v>
      </c>
      <c r="NB12" s="39">
        <v>135951</v>
      </c>
      <c r="NC12" s="39">
        <v>21217</v>
      </c>
      <c r="ND12" s="39">
        <v>27538</v>
      </c>
      <c r="NE12" s="39">
        <v>452556</v>
      </c>
      <c r="NF12" s="39">
        <v>267712</v>
      </c>
      <c r="NG12" s="39">
        <v>143108</v>
      </c>
      <c r="NH12" s="39">
        <v>22025</v>
      </c>
      <c r="NI12" s="39">
        <v>27299</v>
      </c>
      <c r="NJ12" s="39">
        <v>462543</v>
      </c>
      <c r="NK12" s="39">
        <v>268385</v>
      </c>
      <c r="NL12" s="39">
        <v>152155</v>
      </c>
      <c r="NM12" s="39">
        <v>20748</v>
      </c>
      <c r="NN12" s="39">
        <v>207082</v>
      </c>
      <c r="NO12" s="39">
        <v>496008</v>
      </c>
      <c r="NP12" s="39">
        <v>295818</v>
      </c>
      <c r="NQ12" s="39">
        <v>153286</v>
      </c>
      <c r="NR12" s="39">
        <v>24558</v>
      </c>
      <c r="NS12" s="39">
        <v>30668</v>
      </c>
      <c r="NT12" s="39">
        <v>518208</v>
      </c>
      <c r="NU12" s="39">
        <v>294552</v>
      </c>
      <c r="NV12" s="39">
        <v>175859</v>
      </c>
      <c r="NW12" s="39">
        <v>25536</v>
      </c>
      <c r="NX12" s="39">
        <v>31019</v>
      </c>
      <c r="NY12" s="118">
        <v>540564</v>
      </c>
      <c r="NZ12" s="39">
        <v>311106</v>
      </c>
      <c r="OA12" s="39">
        <v>175974</v>
      </c>
      <c r="OB12" s="39">
        <v>26778</v>
      </c>
      <c r="OC12" s="39">
        <v>34693</v>
      </c>
      <c r="OD12" s="118">
        <v>562774</v>
      </c>
      <c r="OE12" s="39"/>
      <c r="OF12" s="39"/>
      <c r="OG12" s="39"/>
      <c r="OH12" s="39"/>
      <c r="OI12" s="118">
        <v>568130</v>
      </c>
      <c r="OJ12" s="39">
        <v>306606</v>
      </c>
      <c r="OK12" s="39">
        <v>204371</v>
      </c>
      <c r="OL12" s="39">
        <v>33490</v>
      </c>
      <c r="OM12" s="39">
        <v>37764</v>
      </c>
      <c r="ON12" s="118">
        <v>609570</v>
      </c>
      <c r="OO12" s="39">
        <v>321783</v>
      </c>
      <c r="OP12" s="39">
        <v>209000</v>
      </c>
      <c r="OQ12" s="39">
        <v>36935</v>
      </c>
      <c r="OR12" s="39">
        <v>11939</v>
      </c>
      <c r="OS12" s="1">
        <v>17874</v>
      </c>
      <c r="OT12" s="1">
        <v>0</v>
      </c>
      <c r="OU12" s="1">
        <v>1839</v>
      </c>
      <c r="OV12" s="1">
        <v>40445</v>
      </c>
      <c r="OW12" s="1">
        <v>11939</v>
      </c>
      <c r="OX12" s="402">
        <f t="shared" si="421"/>
        <v>905919</v>
      </c>
      <c r="OY12" s="382">
        <f t="shared" si="422"/>
        <v>592844</v>
      </c>
      <c r="OZ12" s="382">
        <f t="shared" si="423"/>
        <v>115333</v>
      </c>
      <c r="PA12" s="382">
        <f t="shared" si="424"/>
        <v>165764</v>
      </c>
      <c r="PB12" s="382">
        <f t="shared" si="425"/>
        <v>58665</v>
      </c>
      <c r="PC12" s="402">
        <f t="shared" si="426"/>
        <v>1529918</v>
      </c>
      <c r="PD12" s="382">
        <f t="shared" si="427"/>
        <v>1168422</v>
      </c>
      <c r="PE12" s="382">
        <f t="shared" si="428"/>
        <v>274819</v>
      </c>
      <c r="PF12" s="382">
        <f t="shared" si="429"/>
        <v>36595</v>
      </c>
      <c r="PG12" s="382">
        <f t="shared" si="430"/>
        <v>86677</v>
      </c>
      <c r="PH12" s="118">
        <v>1773765</v>
      </c>
      <c r="PI12" s="39">
        <v>1243413</v>
      </c>
      <c r="PJ12" s="39">
        <v>392460</v>
      </c>
      <c r="PK12" s="39">
        <v>66698</v>
      </c>
      <c r="PL12" s="39">
        <v>137892</v>
      </c>
      <c r="PM12" s="39">
        <v>1958110</v>
      </c>
      <c r="PN12" s="39">
        <v>1381251</v>
      </c>
      <c r="PO12" s="39">
        <v>405712</v>
      </c>
      <c r="PP12" s="39">
        <v>60404</v>
      </c>
      <c r="PQ12" s="39">
        <v>139272</v>
      </c>
      <c r="PR12" s="393"/>
      <c r="PS12" s="394"/>
      <c r="PT12" s="394"/>
      <c r="PU12" s="394"/>
      <c r="PV12" s="394"/>
      <c r="PW12" s="394">
        <v>2188068</v>
      </c>
      <c r="PX12" s="394">
        <v>1453770</v>
      </c>
      <c r="PY12" s="394">
        <v>505139</v>
      </c>
      <c r="PZ12" s="394">
        <v>82060</v>
      </c>
      <c r="QA12" s="406">
        <v>175266</v>
      </c>
      <c r="QB12" s="394">
        <v>2253778</v>
      </c>
      <c r="QC12" s="394">
        <v>1480947</v>
      </c>
      <c r="QD12" s="394">
        <v>530731</v>
      </c>
      <c r="QE12" s="394">
        <v>83984</v>
      </c>
      <c r="QF12" s="394">
        <v>183573</v>
      </c>
      <c r="QG12" s="394">
        <v>2373143</v>
      </c>
      <c r="QH12" s="394">
        <v>1543470</v>
      </c>
      <c r="QI12" s="394">
        <v>560149</v>
      </c>
      <c r="QJ12" s="394">
        <v>93496</v>
      </c>
      <c r="QK12" s="394">
        <v>207082</v>
      </c>
      <c r="QL12" s="393">
        <v>2496121</v>
      </c>
      <c r="QM12" s="394">
        <v>1598559</v>
      </c>
      <c r="QN12" s="394">
        <v>602891</v>
      </c>
      <c r="QO12" s="394">
        <v>103583</v>
      </c>
      <c r="QP12" s="394">
        <v>218727</v>
      </c>
      <c r="QQ12" s="393">
        <v>2584484</v>
      </c>
      <c r="QR12" s="394">
        <v>1615182</v>
      </c>
      <c r="QS12" s="394">
        <v>652411</v>
      </c>
      <c r="QT12" s="394">
        <v>109513</v>
      </c>
      <c r="QU12" s="394">
        <v>240227</v>
      </c>
      <c r="QV12" s="393">
        <v>2672042</v>
      </c>
      <c r="QW12" s="394">
        <v>1679525</v>
      </c>
      <c r="QX12" s="394">
        <v>661139</v>
      </c>
      <c r="QY12" s="394">
        <v>114018</v>
      </c>
      <c r="QZ12" s="394">
        <v>250526</v>
      </c>
      <c r="RA12" s="393">
        <v>2786807</v>
      </c>
      <c r="RB12" s="394"/>
      <c r="RC12" s="394"/>
      <c r="RD12" s="394"/>
      <c r="RE12" s="394"/>
      <c r="RF12" s="394">
        <v>2869698</v>
      </c>
      <c r="RG12" s="394">
        <v>1747826</v>
      </c>
      <c r="RH12" s="394">
        <v>746430</v>
      </c>
      <c r="RI12" s="394">
        <v>138425</v>
      </c>
      <c r="RJ12" s="394">
        <v>278737</v>
      </c>
      <c r="RK12" s="394">
        <v>3114646</v>
      </c>
      <c r="RL12" s="394">
        <v>1812491</v>
      </c>
      <c r="RM12" s="394">
        <v>808859</v>
      </c>
      <c r="RN12" s="394">
        <v>167601</v>
      </c>
      <c r="RO12" s="394">
        <v>462383</v>
      </c>
      <c r="RP12" s="1">
        <v>204777</v>
      </c>
      <c r="RQ12" s="1">
        <v>0</v>
      </c>
      <c r="RR12" s="1">
        <v>7133</v>
      </c>
      <c r="RS12" s="1">
        <v>196002</v>
      </c>
      <c r="RT12" s="1">
        <v>54471</v>
      </c>
      <c r="RU12" s="10">
        <v>519613</v>
      </c>
      <c r="RV12" s="3">
        <v>436787</v>
      </c>
      <c r="RW12" s="3">
        <v>71113</v>
      </c>
      <c r="RX12" s="3">
        <v>6796</v>
      </c>
      <c r="RY12" s="3">
        <v>11713</v>
      </c>
      <c r="RZ12" s="10">
        <v>829873</v>
      </c>
      <c r="SA12" s="39">
        <v>642432</v>
      </c>
      <c r="SB12" s="39">
        <v>142979</v>
      </c>
      <c r="SC12" s="39">
        <v>18560</v>
      </c>
      <c r="SD12" s="39">
        <v>44462</v>
      </c>
      <c r="SE12" s="118">
        <v>1026571</v>
      </c>
      <c r="SF12" s="39">
        <v>734868</v>
      </c>
      <c r="SG12" s="39">
        <v>202509</v>
      </c>
      <c r="SH12" s="39">
        <v>31895</v>
      </c>
      <c r="SI12" s="39">
        <v>72689</v>
      </c>
      <c r="SJ12" s="118">
        <v>1081088</v>
      </c>
      <c r="SK12" s="39">
        <v>775492</v>
      </c>
      <c r="SL12" s="39">
        <v>223907</v>
      </c>
      <c r="SM12" s="39">
        <v>38533</v>
      </c>
      <c r="SN12" s="39">
        <v>81689</v>
      </c>
      <c r="SO12" s="118">
        <v>1098771.52</v>
      </c>
      <c r="SP12" s="39">
        <v>783256.5</v>
      </c>
      <c r="SQ12" s="39">
        <v>230991.15</v>
      </c>
      <c r="SR12" s="39">
        <v>40224.883999999998</v>
      </c>
      <c r="SS12" s="39">
        <v>84523.870000000024</v>
      </c>
      <c r="ST12" s="118">
        <v>1120964</v>
      </c>
      <c r="SU12" s="39">
        <v>764288</v>
      </c>
      <c r="SV12" s="39">
        <v>240559</v>
      </c>
      <c r="SW12" s="39">
        <v>42454</v>
      </c>
      <c r="SX12" s="39">
        <v>88056</v>
      </c>
      <c r="SY12" s="39">
        <v>1141360</v>
      </c>
      <c r="SZ12" s="39">
        <v>769139</v>
      </c>
      <c r="TA12" s="39">
        <v>249883</v>
      </c>
      <c r="TB12" s="39">
        <v>42660</v>
      </c>
      <c r="TC12" s="39">
        <v>92524</v>
      </c>
      <c r="TD12" s="39">
        <v>1199733</v>
      </c>
      <c r="TE12" s="39">
        <v>803783</v>
      </c>
      <c r="TF12" s="39">
        <v>262168</v>
      </c>
      <c r="TG12" s="39">
        <v>50273</v>
      </c>
      <c r="TH12" s="39">
        <v>99779</v>
      </c>
      <c r="TI12" s="39">
        <v>1244449</v>
      </c>
      <c r="TJ12" s="39">
        <v>822566</v>
      </c>
      <c r="TK12" s="39">
        <v>279712</v>
      </c>
      <c r="TL12" s="39">
        <v>50952</v>
      </c>
      <c r="TM12" s="39">
        <v>104489</v>
      </c>
      <c r="TN12" s="39">
        <v>1270275</v>
      </c>
      <c r="TO12" s="39">
        <v>824821</v>
      </c>
      <c r="TP12" s="39">
        <v>288997</v>
      </c>
      <c r="TQ12" s="39">
        <v>52402</v>
      </c>
      <c r="TR12" s="39">
        <v>119736</v>
      </c>
      <c r="TS12" s="118">
        <v>1311611</v>
      </c>
      <c r="TT12" s="39">
        <v>850371</v>
      </c>
      <c r="TU12" s="39">
        <v>297068</v>
      </c>
      <c r="TV12" s="39">
        <v>59092</v>
      </c>
      <c r="TW12" s="39">
        <v>122478</v>
      </c>
      <c r="TX12" s="118">
        <v>1362317</v>
      </c>
      <c r="TY12" s="39"/>
      <c r="TZ12" s="39"/>
      <c r="UA12" s="39"/>
      <c r="UB12" s="39"/>
      <c r="UC12" s="118">
        <v>1410395</v>
      </c>
      <c r="UD12" s="39">
        <v>901858</v>
      </c>
      <c r="UE12" s="39">
        <v>327353</v>
      </c>
      <c r="UF12" s="39">
        <v>68751</v>
      </c>
      <c r="UG12" s="39">
        <v>133111</v>
      </c>
      <c r="UH12" s="118">
        <v>1514014</v>
      </c>
      <c r="UI12" s="39">
        <v>911212</v>
      </c>
      <c r="UJ12" s="39">
        <v>356848</v>
      </c>
      <c r="UK12" s="39">
        <v>86252</v>
      </c>
      <c r="UL12" s="39">
        <v>233758</v>
      </c>
      <c r="UM12" s="1">
        <v>100414</v>
      </c>
      <c r="UN12" s="1">
        <v>0</v>
      </c>
      <c r="UO12" s="1">
        <v>3036</v>
      </c>
      <c r="UP12" s="1">
        <v>100479</v>
      </c>
      <c r="UQ12" s="1">
        <v>42532</v>
      </c>
      <c r="UR12" s="588">
        <f t="shared" si="431"/>
        <v>113135</v>
      </c>
      <c r="US12" s="40">
        <v>66539</v>
      </c>
      <c r="UT12" s="40">
        <v>46596</v>
      </c>
      <c r="UU12" s="588">
        <f t="shared" si="432"/>
        <v>12634</v>
      </c>
      <c r="UV12" s="40">
        <v>4527</v>
      </c>
      <c r="UW12" s="40">
        <v>8107</v>
      </c>
      <c r="UX12" s="42">
        <v>218948</v>
      </c>
      <c r="UY12" s="588">
        <f t="shared" si="433"/>
        <v>125671</v>
      </c>
      <c r="UZ12" s="588">
        <f t="shared" si="434"/>
        <v>93277</v>
      </c>
      <c r="VA12" s="588">
        <f t="shared" si="435"/>
        <v>195054</v>
      </c>
      <c r="VB12" s="40">
        <v>116283</v>
      </c>
      <c r="VC12" s="40">
        <v>78771</v>
      </c>
      <c r="VD12" s="588">
        <f t="shared" si="436"/>
        <v>21078</v>
      </c>
      <c r="VE12" s="40">
        <v>7585</v>
      </c>
      <c r="VF12" s="40">
        <v>13493</v>
      </c>
      <c r="VG12" s="588">
        <f t="shared" si="437"/>
        <v>2816</v>
      </c>
      <c r="VH12" s="40">
        <v>1803</v>
      </c>
      <c r="VI12" s="40">
        <v>1013</v>
      </c>
      <c r="VJ12" s="42">
        <v>450267</v>
      </c>
      <c r="VK12" s="588">
        <f t="shared" si="438"/>
        <v>254608</v>
      </c>
      <c r="VL12" s="588">
        <f t="shared" si="439"/>
        <v>195659</v>
      </c>
      <c r="VM12" s="39">
        <f>160012+227091</f>
        <v>387103</v>
      </c>
      <c r="VN12" s="40">
        <v>227091</v>
      </c>
      <c r="VO12" s="40">
        <v>160012</v>
      </c>
      <c r="VP12" s="40">
        <v>27517</v>
      </c>
      <c r="VQ12" s="40">
        <v>35647</v>
      </c>
      <c r="VR12" s="39">
        <f>21326+31828</f>
        <v>53154</v>
      </c>
      <c r="VS12" s="40">
        <v>21326</v>
      </c>
      <c r="VT12" s="40">
        <v>31828</v>
      </c>
      <c r="VU12" s="39">
        <f>2609+1598</f>
        <v>4207</v>
      </c>
      <c r="VV12" s="40">
        <v>2609</v>
      </c>
      <c r="VW12" s="40">
        <v>1598</v>
      </c>
      <c r="VX12" s="233">
        <f t="shared" si="440"/>
        <v>5803</v>
      </c>
      <c r="VY12" s="233">
        <f t="shared" si="441"/>
        <v>3582</v>
      </c>
      <c r="VZ12" s="233">
        <f t="shared" si="442"/>
        <v>2221</v>
      </c>
      <c r="WA12" s="234">
        <f t="shared" si="443"/>
        <v>529</v>
      </c>
      <c r="WB12" s="234">
        <f t="shared" si="444"/>
        <v>371</v>
      </c>
      <c r="WC12" s="234">
        <f t="shared" si="445"/>
        <v>158</v>
      </c>
      <c r="WD12" s="40">
        <v>5274</v>
      </c>
      <c r="WE12" s="40">
        <v>3211</v>
      </c>
      <c r="WF12" s="40">
        <v>2063</v>
      </c>
      <c r="WG12" s="12">
        <f t="shared" si="446"/>
        <v>706516</v>
      </c>
      <c r="WH12" s="588">
        <f t="shared" si="447"/>
        <v>417695</v>
      </c>
      <c r="WI12" s="588">
        <f t="shared" si="448"/>
        <v>359463</v>
      </c>
      <c r="WJ12" s="11">
        <f t="shared" si="449"/>
        <v>436787</v>
      </c>
      <c r="WK12" s="90">
        <f t="shared" si="450"/>
        <v>644318</v>
      </c>
      <c r="WL12" s="40">
        <v>359885</v>
      </c>
      <c r="WM12" s="40">
        <v>284433</v>
      </c>
      <c r="WN12" s="40">
        <v>57810</v>
      </c>
      <c r="WO12" s="40">
        <v>75030</v>
      </c>
      <c r="WP12" s="11">
        <f t="shared" si="451"/>
        <v>76407</v>
      </c>
      <c r="WQ12" s="90">
        <f t="shared" si="452"/>
        <v>104537</v>
      </c>
      <c r="WR12" s="40">
        <v>41364</v>
      </c>
      <c r="WS12" s="40">
        <v>63173</v>
      </c>
      <c r="WT12" s="11">
        <f t="shared" si="453"/>
        <v>10720</v>
      </c>
      <c r="WU12" s="40">
        <v>6323</v>
      </c>
      <c r="WV12" s="40">
        <v>4397</v>
      </c>
      <c r="WW12" s="9">
        <f t="shared" si="454"/>
        <v>54245</v>
      </c>
      <c r="WX12" s="235">
        <f t="shared" si="455"/>
        <v>10123</v>
      </c>
      <c r="WY12" s="235">
        <f t="shared" si="456"/>
        <v>7460</v>
      </c>
      <c r="WZ12" s="236">
        <f t="shared" si="457"/>
        <v>109</v>
      </c>
      <c r="XA12" s="236">
        <f t="shared" si="458"/>
        <v>62</v>
      </c>
      <c r="XB12" s="236">
        <f t="shared" si="459"/>
        <v>47</v>
      </c>
      <c r="XC12" s="589">
        <f t="shared" si="460"/>
        <v>17474</v>
      </c>
      <c r="XD12" s="589">
        <f t="shared" si="461"/>
        <v>10061</v>
      </c>
      <c r="XE12" s="589">
        <f t="shared" si="462"/>
        <v>7413</v>
      </c>
      <c r="XF12" s="40">
        <v>617</v>
      </c>
      <c r="XG12" s="40">
        <v>488</v>
      </c>
      <c r="XH12" s="40">
        <v>9444</v>
      </c>
      <c r="XI12" s="40">
        <v>6925</v>
      </c>
      <c r="XJ12" s="590">
        <v>1260178</v>
      </c>
      <c r="XK12" s="40">
        <v>636734</v>
      </c>
      <c r="XL12" s="40">
        <v>623444</v>
      </c>
      <c r="XM12" s="5">
        <f t="shared" si="463"/>
        <v>979689</v>
      </c>
      <c r="XN12" s="5">
        <v>513276</v>
      </c>
      <c r="XO12" s="5">
        <v>466413</v>
      </c>
      <c r="XP12" s="84">
        <f t="shared" si="464"/>
        <v>961514</v>
      </c>
      <c r="XQ12" s="40">
        <v>503347</v>
      </c>
      <c r="XR12" s="40">
        <v>458167</v>
      </c>
      <c r="XS12" s="5">
        <f t="shared" si="465"/>
        <v>206559</v>
      </c>
      <c r="XT12" s="40">
        <v>83515</v>
      </c>
      <c r="XU12" s="40">
        <v>123044</v>
      </c>
      <c r="XV12" s="5">
        <f t="shared" si="466"/>
        <v>28995</v>
      </c>
      <c r="XW12" s="40">
        <v>15816</v>
      </c>
      <c r="XX12" s="40">
        <v>13179</v>
      </c>
      <c r="XY12" s="84">
        <f t="shared" si="467"/>
        <v>73930</v>
      </c>
      <c r="XZ12" s="84">
        <f t="shared" si="468"/>
        <v>39943</v>
      </c>
      <c r="YA12" s="84">
        <f t="shared" si="469"/>
        <v>33987</v>
      </c>
      <c r="YB12" s="587">
        <v>1578689</v>
      </c>
      <c r="YC12" s="40">
        <v>1138850</v>
      </c>
      <c r="YD12" s="40">
        <v>294196</v>
      </c>
      <c r="YE12" s="40">
        <v>47076</v>
      </c>
      <c r="YF12" s="5">
        <v>120268</v>
      </c>
      <c r="YG12" s="118">
        <v>1640314</v>
      </c>
      <c r="YH12" s="39">
        <v>1196757</v>
      </c>
      <c r="YI12" s="39">
        <v>317811</v>
      </c>
      <c r="YJ12" s="39">
        <v>125746</v>
      </c>
      <c r="YK12" s="39">
        <v>49999</v>
      </c>
      <c r="YL12" s="118">
        <v>1684388</v>
      </c>
      <c r="YM12" s="39">
        <v>1224314</v>
      </c>
      <c r="YN12" s="39">
        <v>330038</v>
      </c>
      <c r="YO12" s="39">
        <v>130036</v>
      </c>
      <c r="YP12" s="39">
        <v>53061</v>
      </c>
      <c r="YQ12" s="118">
        <v>1685250</v>
      </c>
      <c r="YR12" s="39">
        <v>1203731</v>
      </c>
      <c r="YS12" s="39">
        <v>341623</v>
      </c>
      <c r="YT12" s="39">
        <v>139896</v>
      </c>
      <c r="YU12" s="39">
        <v>56587</v>
      </c>
      <c r="YV12" s="10">
        <v>1710587.48</v>
      </c>
      <c r="YW12" s="39">
        <v>1221076.8</v>
      </c>
      <c r="YX12" s="39">
        <v>351817.29000000004</v>
      </c>
      <c r="YY12" s="39">
        <v>59025.644999999997</v>
      </c>
      <c r="YZ12" s="39">
        <v>137693.3899999999</v>
      </c>
      <c r="ZA12" s="39">
        <v>1754259</v>
      </c>
      <c r="ZB12" s="39">
        <v>1195896</v>
      </c>
      <c r="ZC12" s="39">
        <v>369188</v>
      </c>
      <c r="ZD12" s="39">
        <v>60843</v>
      </c>
      <c r="ZE12" s="1">
        <v>147728</v>
      </c>
      <c r="ZF12" s="1">
        <v>1801222</v>
      </c>
      <c r="ZG12" s="1">
        <v>1213235</v>
      </c>
      <c r="ZH12" s="1">
        <v>387623</v>
      </c>
      <c r="ZI12" s="1">
        <v>61959</v>
      </c>
      <c r="ZJ12" s="1">
        <v>156274</v>
      </c>
      <c r="ZK12" s="1">
        <v>1910600</v>
      </c>
      <c r="ZL12" s="1">
        <v>1275085</v>
      </c>
      <c r="ZM12" s="1">
        <v>407994</v>
      </c>
      <c r="ZN12" s="1">
        <v>72748</v>
      </c>
      <c r="ZO12" s="1">
        <v>177681</v>
      </c>
      <c r="ZP12" s="1">
        <v>2000113</v>
      </c>
      <c r="ZQ12" s="1">
        <v>1302741</v>
      </c>
      <c r="ZR12" s="1">
        <v>449605</v>
      </c>
      <c r="ZS12" s="1">
        <v>79025</v>
      </c>
      <c r="ZT12" s="1">
        <v>188059</v>
      </c>
      <c r="ZU12" s="1">
        <v>2066276</v>
      </c>
      <c r="ZV12" s="1">
        <v>1320630</v>
      </c>
      <c r="ZW12" s="1">
        <v>476552</v>
      </c>
      <c r="ZX12" s="1">
        <v>83977</v>
      </c>
      <c r="ZY12" s="1">
        <v>209208</v>
      </c>
      <c r="ZZ12" s="394">
        <v>156417</v>
      </c>
      <c r="AAA12" s="1">
        <v>0</v>
      </c>
      <c r="AAB12" s="1">
        <v>3385</v>
      </c>
      <c r="AAC12" s="1">
        <v>32211</v>
      </c>
      <c r="AAD12" s="1">
        <v>17195</v>
      </c>
      <c r="AAE12" s="50">
        <v>2131478</v>
      </c>
      <c r="AAF12" s="1">
        <v>1368419</v>
      </c>
      <c r="AAG12" s="1">
        <v>485165</v>
      </c>
      <c r="AAH12" s="1">
        <v>87240</v>
      </c>
      <c r="AAI12" s="1">
        <v>215833</v>
      </c>
      <c r="AAJ12" s="50">
        <v>2224033</v>
      </c>
      <c r="AAK12" s="1"/>
      <c r="AAL12" s="1"/>
      <c r="AAM12" s="1"/>
      <c r="AAN12" s="1"/>
      <c r="AAO12" s="68">
        <v>2301568</v>
      </c>
      <c r="AAP12" s="37">
        <v>1441220</v>
      </c>
      <c r="AAQ12" s="37">
        <v>542059</v>
      </c>
      <c r="AAR12" s="37">
        <v>104935</v>
      </c>
      <c r="AAS12" s="37">
        <v>240973</v>
      </c>
      <c r="AAT12" s="68">
        <v>2505076</v>
      </c>
      <c r="AAU12" s="37">
        <v>1490708</v>
      </c>
      <c r="AAV12" s="37">
        <v>599859</v>
      </c>
      <c r="AAW12" s="37">
        <v>130666</v>
      </c>
      <c r="AAX12" s="37">
        <v>390286</v>
      </c>
      <c r="AAY12" s="1">
        <v>186903</v>
      </c>
      <c r="AAZ12" s="1">
        <v>0</v>
      </c>
      <c r="ABA12" s="1">
        <v>5294</v>
      </c>
      <c r="ABB12" s="1">
        <v>155557</v>
      </c>
      <c r="ABC12" s="1">
        <v>42532</v>
      </c>
      <c r="ABD12" s="10">
        <v>430305</v>
      </c>
      <c r="ABE12" s="39">
        <v>337257</v>
      </c>
      <c r="ABF12" s="39">
        <v>63580</v>
      </c>
      <c r="ABG12" s="39">
        <v>10435</v>
      </c>
      <c r="ABH12" s="39">
        <v>29468</v>
      </c>
      <c r="ABI12" s="118">
        <v>552118</v>
      </c>
      <c r="ABJ12" s="39">
        <v>403982</v>
      </c>
      <c r="ABK12" s="39">
        <v>91687</v>
      </c>
      <c r="ABL12" s="39">
        <v>15181</v>
      </c>
      <c r="ABM12" s="39">
        <v>47579</v>
      </c>
      <c r="ABN12" s="10">
        <v>604162</v>
      </c>
      <c r="ABO12" s="39">
        <v>428239</v>
      </c>
      <c r="ABP12" s="39">
        <v>117716</v>
      </c>
      <c r="ABQ12" s="39">
        <v>18054</v>
      </c>
      <c r="ABR12" s="39">
        <v>58207</v>
      </c>
      <c r="ABS12" s="10">
        <v>611815.96000000008</v>
      </c>
      <c r="ABT12" s="39">
        <v>437820.3</v>
      </c>
      <c r="ABU12" s="39">
        <v>120826.14000000001</v>
      </c>
      <c r="ABV12" s="39">
        <v>18800.760999999999</v>
      </c>
      <c r="ABW12" s="207">
        <v>53169.520000000077</v>
      </c>
      <c r="ABX12" s="1">
        <v>633295</v>
      </c>
      <c r="ABY12" s="1">
        <v>431608</v>
      </c>
      <c r="ABZ12" s="1">
        <v>128629</v>
      </c>
      <c r="ACA12" s="1">
        <v>18389</v>
      </c>
      <c r="ACB12" s="49">
        <v>59672</v>
      </c>
      <c r="ACC12" s="1">
        <v>659862</v>
      </c>
      <c r="ACD12" s="1">
        <v>444096</v>
      </c>
      <c r="ACE12" s="1">
        <v>137740</v>
      </c>
      <c r="ACF12" s="1">
        <v>19299</v>
      </c>
      <c r="ACG12" s="1">
        <v>63750</v>
      </c>
      <c r="ACH12" s="1">
        <v>710867</v>
      </c>
      <c r="ACI12" s="1">
        <v>471302</v>
      </c>
      <c r="ACJ12" s="1">
        <v>145826</v>
      </c>
      <c r="ACK12" s="1">
        <v>22475</v>
      </c>
      <c r="ACL12" s="1">
        <v>77902</v>
      </c>
      <c r="ACM12" s="1">
        <v>755664</v>
      </c>
      <c r="ACN12" s="1">
        <v>480175</v>
      </c>
      <c r="ACO12" s="1">
        <v>169893</v>
      </c>
      <c r="ACP12" s="1">
        <v>28073</v>
      </c>
      <c r="ACQ12" s="1">
        <v>83570</v>
      </c>
      <c r="ACR12" s="1">
        <v>796001</v>
      </c>
      <c r="ACS12" s="1">
        <v>495809</v>
      </c>
      <c r="ACT12" s="1">
        <v>187555</v>
      </c>
      <c r="ACU12" s="1">
        <v>31575</v>
      </c>
      <c r="ACV12" s="1">
        <v>89472</v>
      </c>
      <c r="ADB12" s="50">
        <v>819867</v>
      </c>
      <c r="ADC12" s="1">
        <v>518048</v>
      </c>
      <c r="ADD12" s="1">
        <v>188097</v>
      </c>
      <c r="ADE12" s="1">
        <v>28148</v>
      </c>
      <c r="ADF12" s="1">
        <v>93355</v>
      </c>
      <c r="ADG12" s="50">
        <v>861716</v>
      </c>
      <c r="ADL12" s="50">
        <v>891173</v>
      </c>
      <c r="ADM12" s="1">
        <v>539362</v>
      </c>
      <c r="ADN12" s="1">
        <v>214706</v>
      </c>
      <c r="ADO12" s="1">
        <v>36184</v>
      </c>
      <c r="ADP12" s="1">
        <v>107862</v>
      </c>
      <c r="ADQ12" s="50">
        <v>991062</v>
      </c>
      <c r="ADR12" s="1">
        <v>579496</v>
      </c>
      <c r="ADS12" s="1">
        <v>243011</v>
      </c>
      <c r="ADT12" s="1">
        <v>44414</v>
      </c>
      <c r="ADU12" s="1">
        <v>156528</v>
      </c>
      <c r="ADV12" s="1">
        <v>86489</v>
      </c>
      <c r="ADW12" s="1">
        <v>0</v>
      </c>
      <c r="ADX12" s="1">
        <v>2258</v>
      </c>
      <c r="ADY12" s="1">
        <v>55078</v>
      </c>
      <c r="ADZ12" s="1">
        <v>12703</v>
      </c>
    </row>
    <row r="13" spans="1:806" ht="14.1">
      <c r="A13" s="138" t="s">
        <v>13</v>
      </c>
      <c r="B13" s="118">
        <f>74579+109347+139980+51270+108297+170311</f>
        <v>653784</v>
      </c>
      <c r="C13" s="39">
        <f>68281+102019+132924+46692+99392+161357</f>
        <v>610665</v>
      </c>
      <c r="D13" s="39">
        <f>5419+6108+5899+3778+7382+7446</f>
        <v>36032</v>
      </c>
      <c r="E13" s="39">
        <f>652+993+931+468+1049+1086</f>
        <v>5179</v>
      </c>
      <c r="F13" s="207">
        <f>123+100+154+97+120+70+109+106+166+223+343+240</f>
        <v>1851</v>
      </c>
      <c r="G13" s="3">
        <v>442579</v>
      </c>
      <c r="H13" s="39">
        <v>418668</v>
      </c>
      <c r="I13" s="39">
        <v>21820</v>
      </c>
      <c r="J13" s="39">
        <v>1315</v>
      </c>
      <c r="K13" s="207">
        <v>2091</v>
      </c>
      <c r="L13" s="3">
        <v>309293</v>
      </c>
      <c r="M13" s="39">
        <v>289669</v>
      </c>
      <c r="N13" s="39">
        <v>12281</v>
      </c>
      <c r="O13" s="39">
        <v>6461</v>
      </c>
      <c r="P13" s="207">
        <v>7343</v>
      </c>
      <c r="Q13" s="39">
        <v>249810</v>
      </c>
      <c r="R13" s="39">
        <v>225615</v>
      </c>
      <c r="S13" s="39">
        <v>9237</v>
      </c>
      <c r="T13" s="39">
        <v>11279</v>
      </c>
      <c r="U13" s="207">
        <v>8942</v>
      </c>
      <c r="V13" s="5">
        <v>228069</v>
      </c>
      <c r="W13" s="394">
        <v>208228</v>
      </c>
      <c r="X13" s="394">
        <v>9196</v>
      </c>
      <c r="Y13" s="394">
        <v>12903</v>
      </c>
      <c r="Z13" s="406">
        <v>10645</v>
      </c>
      <c r="AA13" s="394">
        <v>211805</v>
      </c>
      <c r="AB13" s="1">
        <v>183823</v>
      </c>
      <c r="AC13" s="394">
        <v>9174</v>
      </c>
      <c r="AD13" s="394">
        <v>13680</v>
      </c>
      <c r="AE13" s="394">
        <v>12040</v>
      </c>
      <c r="AF13" s="393">
        <v>203049</v>
      </c>
      <c r="AG13" s="394">
        <v>173945</v>
      </c>
      <c r="AH13" s="394">
        <v>9384</v>
      </c>
      <c r="AI13" s="394">
        <v>14636</v>
      </c>
      <c r="AJ13" s="490">
        <v>12189</v>
      </c>
      <c r="AK13" s="490">
        <v>195578</v>
      </c>
      <c r="AL13" s="490">
        <v>166775</v>
      </c>
      <c r="AM13" s="685">
        <v>7495</v>
      </c>
      <c r="AN13" s="685">
        <v>15820</v>
      </c>
      <c r="AO13" s="490">
        <v>12113</v>
      </c>
      <c r="AP13" s="394">
        <v>183951</v>
      </c>
      <c r="AQ13" s="394">
        <v>153420</v>
      </c>
      <c r="AR13" s="394">
        <v>10480</v>
      </c>
      <c r="AS13" s="394">
        <v>13842</v>
      </c>
      <c r="AT13" s="394">
        <v>12106</v>
      </c>
      <c r="AU13" s="393">
        <v>170725</v>
      </c>
      <c r="AV13" s="394">
        <v>143158</v>
      </c>
      <c r="AW13" s="394">
        <v>8490</v>
      </c>
      <c r="AX13" s="394">
        <v>12900</v>
      </c>
      <c r="AY13" s="394">
        <v>12007</v>
      </c>
      <c r="AZ13" s="1">
        <v>3660</v>
      </c>
      <c r="BA13" s="1">
        <v>0</v>
      </c>
      <c r="BB13" s="1">
        <v>758</v>
      </c>
      <c r="BC13" s="1">
        <v>1290</v>
      </c>
      <c r="BD13" s="1">
        <v>6299</v>
      </c>
      <c r="BE13" s="393">
        <v>164235</v>
      </c>
      <c r="BF13" s="394">
        <v>140310</v>
      </c>
      <c r="BG13" s="394">
        <v>6671</v>
      </c>
      <c r="BH13" s="394">
        <v>11707</v>
      </c>
      <c r="BI13" s="394">
        <v>9702</v>
      </c>
      <c r="BJ13" s="393">
        <v>160136</v>
      </c>
      <c r="BK13" s="394"/>
      <c r="BL13" s="394"/>
      <c r="BM13" s="394"/>
      <c r="BN13" s="394"/>
      <c r="BO13" s="393">
        <v>154759</v>
      </c>
      <c r="BP13" s="394">
        <v>124229</v>
      </c>
      <c r="BQ13" s="394">
        <v>8198</v>
      </c>
      <c r="BR13" s="394">
        <v>16027</v>
      </c>
      <c r="BS13" s="394">
        <v>13009</v>
      </c>
      <c r="BT13" s="393">
        <v>143467</v>
      </c>
      <c r="BU13" s="394">
        <v>111128</v>
      </c>
      <c r="BV13" s="394">
        <v>6937</v>
      </c>
      <c r="BW13" s="394">
        <v>16168</v>
      </c>
      <c r="BX13" s="394">
        <v>4132</v>
      </c>
      <c r="BY13" s="1">
        <v>0</v>
      </c>
      <c r="BZ13" s="1">
        <v>297</v>
      </c>
      <c r="CA13" s="1">
        <v>12012</v>
      </c>
      <c r="CB13" s="1">
        <v>7010</v>
      </c>
      <c r="CC13" s="118">
        <v>383278</v>
      </c>
      <c r="CD13" s="39">
        <v>346512</v>
      </c>
      <c r="CE13" s="39">
        <v>34471</v>
      </c>
      <c r="CF13" s="39">
        <v>16168</v>
      </c>
      <c r="CG13" s="207">
        <v>2295</v>
      </c>
      <c r="CH13" s="3">
        <v>375707</v>
      </c>
      <c r="CI13" s="39">
        <v>334833</v>
      </c>
      <c r="CJ13" s="39">
        <v>33396</v>
      </c>
      <c r="CK13" s="39">
        <v>5056</v>
      </c>
      <c r="CL13" s="207">
        <v>7478</v>
      </c>
      <c r="CM13" s="1">
        <v>330320</v>
      </c>
      <c r="CN13" s="39">
        <v>289837</v>
      </c>
      <c r="CO13" s="39">
        <v>29596</v>
      </c>
      <c r="CP13" s="39">
        <v>6468</v>
      </c>
      <c r="CQ13" s="207">
        <v>6671</v>
      </c>
      <c r="CR13" s="3">
        <v>301231</v>
      </c>
      <c r="CS13" s="39">
        <v>265808</v>
      </c>
      <c r="CT13" s="39">
        <v>26388</v>
      </c>
      <c r="CU13" s="39">
        <v>8444</v>
      </c>
      <c r="CV13" s="207">
        <v>9035</v>
      </c>
      <c r="CW13" s="39">
        <v>289032</v>
      </c>
      <c r="CX13" s="39">
        <v>248160</v>
      </c>
      <c r="CY13" s="39">
        <v>26836</v>
      </c>
      <c r="CZ13" s="39">
        <v>8992</v>
      </c>
      <c r="DA13" s="39">
        <v>8638</v>
      </c>
      <c r="DB13" s="39">
        <v>278926</v>
      </c>
      <c r="DC13" s="39">
        <v>241771</v>
      </c>
      <c r="DD13" s="39">
        <v>24963</v>
      </c>
      <c r="DE13" s="39">
        <v>8002</v>
      </c>
      <c r="DF13" s="39">
        <v>7182</v>
      </c>
      <c r="DG13" s="39">
        <v>265461</v>
      </c>
      <c r="DH13" s="39">
        <v>229032</v>
      </c>
      <c r="DI13" s="39">
        <v>23499</v>
      </c>
      <c r="DJ13" s="39">
        <v>8684</v>
      </c>
      <c r="DK13" s="39">
        <v>7930</v>
      </c>
      <c r="DL13" s="39">
        <v>260013</v>
      </c>
      <c r="DM13" s="39">
        <v>221594</v>
      </c>
      <c r="DN13" s="39">
        <v>24903</v>
      </c>
      <c r="DO13" s="39">
        <v>8552</v>
      </c>
      <c r="DP13" s="39">
        <v>8433</v>
      </c>
      <c r="DQ13" s="39">
        <v>257735</v>
      </c>
      <c r="DR13" s="39">
        <v>218664</v>
      </c>
      <c r="DS13" s="39">
        <v>24145</v>
      </c>
      <c r="DT13" s="39">
        <v>10492</v>
      </c>
      <c r="DU13" s="39">
        <v>7817</v>
      </c>
      <c r="DV13" s="118">
        <v>248251</v>
      </c>
      <c r="DW13" s="39">
        <v>215279</v>
      </c>
      <c r="DX13" s="39">
        <v>19137</v>
      </c>
      <c r="DY13" s="39">
        <v>8656</v>
      </c>
      <c r="DZ13" s="39">
        <v>8452</v>
      </c>
      <c r="EA13" s="118">
        <v>240928</v>
      </c>
      <c r="EB13" s="39"/>
      <c r="EC13" s="39"/>
      <c r="ED13" s="39"/>
      <c r="EE13" s="39"/>
      <c r="EF13" s="118">
        <v>235894</v>
      </c>
      <c r="EG13" s="39">
        <v>201828</v>
      </c>
      <c r="EH13" s="39">
        <v>19302</v>
      </c>
      <c r="EI13" s="39">
        <v>9097</v>
      </c>
      <c r="EJ13" s="39">
        <v>8732</v>
      </c>
      <c r="EK13" s="118">
        <v>235894</v>
      </c>
      <c r="EL13" s="39">
        <v>201828</v>
      </c>
      <c r="EM13" s="39">
        <v>19302</v>
      </c>
      <c r="EN13" s="39">
        <v>9097</v>
      </c>
      <c r="EO13" s="39">
        <v>8732</v>
      </c>
      <c r="EP13" s="118">
        <v>226253</v>
      </c>
      <c r="EQ13" s="39">
        <v>183564</v>
      </c>
      <c r="ER13" s="39">
        <v>17344</v>
      </c>
      <c r="ES13" s="39">
        <v>10519</v>
      </c>
      <c r="ET13" s="1">
        <v>3367</v>
      </c>
      <c r="EU13" s="1">
        <v>0</v>
      </c>
      <c r="EV13" s="1">
        <v>732</v>
      </c>
      <c r="EW13" s="1">
        <v>15778</v>
      </c>
      <c r="EX13" s="1">
        <v>4090</v>
      </c>
      <c r="EY13" s="10">
        <v>516719</v>
      </c>
      <c r="EZ13" s="39">
        <v>460318</v>
      </c>
      <c r="FA13" s="39">
        <v>36180</v>
      </c>
      <c r="FB13" s="39">
        <v>22490</v>
      </c>
      <c r="FC13" s="382">
        <f t="shared" si="470"/>
        <v>20221</v>
      </c>
      <c r="FD13" s="230">
        <v>222973</v>
      </c>
      <c r="FE13" s="231">
        <v>340225</v>
      </c>
      <c r="FF13" s="231">
        <v>444072</v>
      </c>
      <c r="FG13" s="231">
        <v>660102</v>
      </c>
      <c r="FH13" s="10">
        <v>1107557</v>
      </c>
      <c r="FI13" s="39">
        <v>1033219.9670000001</v>
      </c>
      <c r="FJ13" s="39">
        <v>62819.309000000001</v>
      </c>
      <c r="FK13" s="39">
        <v>5434.91</v>
      </c>
      <c r="FL13" s="207">
        <v>5826.348</v>
      </c>
      <c r="FM13" s="3">
        <v>1507976</v>
      </c>
      <c r="FN13" s="39">
        <v>1405269</v>
      </c>
      <c r="FO13" s="39">
        <v>90536</v>
      </c>
      <c r="FP13" s="39">
        <v>7506</v>
      </c>
      <c r="FQ13" s="207">
        <v>12171</v>
      </c>
      <c r="FR13" s="3">
        <v>1961397</v>
      </c>
      <c r="FS13" s="39">
        <v>1795129</v>
      </c>
      <c r="FT13" s="39">
        <v>124644</v>
      </c>
      <c r="FU13" s="39">
        <v>16614</v>
      </c>
      <c r="FV13" s="39">
        <v>41624</v>
      </c>
      <c r="FW13" s="232">
        <v>2228543</v>
      </c>
      <c r="FX13" s="39">
        <v>2014449</v>
      </c>
      <c r="FY13" s="39">
        <v>161726</v>
      </c>
      <c r="FZ13" s="39">
        <v>32840</v>
      </c>
      <c r="GA13" s="39">
        <v>26372</v>
      </c>
      <c r="GB13" s="118">
        <v>2283201</v>
      </c>
      <c r="GC13" s="39">
        <v>2076250</v>
      </c>
      <c r="GD13" s="39">
        <v>152519</v>
      </c>
      <c r="GE13" s="39">
        <v>54432</v>
      </c>
      <c r="GF13" s="39">
        <v>29259</v>
      </c>
      <c r="GG13" s="42">
        <v>2312303</v>
      </c>
      <c r="GH13" s="40">
        <v>2098818</v>
      </c>
      <c r="GI13" s="40">
        <v>156678</v>
      </c>
      <c r="GJ13" s="40">
        <v>56807</v>
      </c>
      <c r="GK13" s="40">
        <v>31324</v>
      </c>
      <c r="GL13" s="10">
        <v>2350529</v>
      </c>
      <c r="GM13" s="39">
        <v>2125510</v>
      </c>
      <c r="GN13" s="39">
        <v>164743</v>
      </c>
      <c r="GO13" s="39">
        <v>37863</v>
      </c>
      <c r="GP13" s="39">
        <v>41777</v>
      </c>
      <c r="GQ13" s="10">
        <v>2386198.5959999999</v>
      </c>
      <c r="GR13" s="39">
        <v>2155124.2080000001</v>
      </c>
      <c r="GS13" s="39">
        <v>169390.50400000002</v>
      </c>
      <c r="GT13" s="39">
        <v>39809.061000000002</v>
      </c>
      <c r="GU13" s="410">
        <f t="shared" si="471"/>
        <v>61683.883999999787</v>
      </c>
      <c r="GV13" s="39">
        <v>2421838</v>
      </c>
      <c r="GW13" s="39">
        <v>2156496</v>
      </c>
      <c r="GX13" s="39">
        <v>171670</v>
      </c>
      <c r="GY13" s="39">
        <v>43441</v>
      </c>
      <c r="GZ13" s="39">
        <v>64287</v>
      </c>
      <c r="HA13" s="39">
        <v>2455204</v>
      </c>
      <c r="HB13" s="39">
        <v>2180571</v>
      </c>
      <c r="HC13" s="39">
        <v>175889</v>
      </c>
      <c r="HD13" s="39">
        <v>45539</v>
      </c>
      <c r="HE13" s="39">
        <v>67909</v>
      </c>
      <c r="HF13" s="39">
        <v>2506142</v>
      </c>
      <c r="HG13" s="39">
        <v>2215993</v>
      </c>
      <c r="HH13" s="39">
        <v>186383</v>
      </c>
      <c r="HI13" s="39">
        <v>45632</v>
      </c>
      <c r="HJ13" s="39">
        <v>72157</v>
      </c>
      <c r="HK13" s="39">
        <v>2544826</v>
      </c>
      <c r="HL13" s="39">
        <v>2246417</v>
      </c>
      <c r="HM13" s="39">
        <v>187808</v>
      </c>
      <c r="HN13" s="39">
        <v>48160</v>
      </c>
      <c r="HO13" s="39">
        <v>45542</v>
      </c>
      <c r="HP13" s="118">
        <v>2567049</v>
      </c>
      <c r="HQ13" s="39">
        <v>2264826</v>
      </c>
      <c r="HR13" s="39">
        <v>190429</v>
      </c>
      <c r="HS13" s="39">
        <v>48900</v>
      </c>
      <c r="HT13" s="39">
        <v>52753</v>
      </c>
      <c r="HU13" s="394">
        <v>34162</v>
      </c>
      <c r="HV13" s="1">
        <v>0</v>
      </c>
      <c r="HW13" s="1">
        <v>7072</v>
      </c>
      <c r="HX13" s="1">
        <v>0</v>
      </c>
      <c r="HY13" s="1">
        <v>11519</v>
      </c>
      <c r="HZ13" s="118">
        <v>2606467</v>
      </c>
      <c r="IA13" s="39">
        <v>2282144</v>
      </c>
      <c r="IB13" s="39">
        <v>198499</v>
      </c>
      <c r="IC13" s="39">
        <v>56071</v>
      </c>
      <c r="ID13" s="39">
        <v>78076</v>
      </c>
      <c r="IE13" s="393">
        <v>2638350</v>
      </c>
      <c r="IF13" s="394"/>
      <c r="IG13" s="394"/>
      <c r="IH13" s="394"/>
      <c r="II13" s="394"/>
      <c r="IJ13" s="393">
        <v>2657789</v>
      </c>
      <c r="IK13" s="394">
        <v>2322767</v>
      </c>
      <c r="IL13" s="394">
        <v>205082</v>
      </c>
      <c r="IM13" s="394">
        <v>59393</v>
      </c>
      <c r="IN13" s="394">
        <v>81519</v>
      </c>
      <c r="IO13" s="393">
        <v>2708147</v>
      </c>
      <c r="IP13" s="394">
        <v>2331702</v>
      </c>
      <c r="IQ13" s="394">
        <v>177441</v>
      </c>
      <c r="IR13" s="394">
        <v>61829</v>
      </c>
      <c r="IS13" s="394">
        <v>180498</v>
      </c>
      <c r="IT13" s="1">
        <v>34620</v>
      </c>
      <c r="IU13" s="1">
        <v>0</v>
      </c>
      <c r="IV13" s="1">
        <v>0</v>
      </c>
      <c r="IW13" s="1">
        <v>123463</v>
      </c>
      <c r="IX13" s="1">
        <v>22415</v>
      </c>
      <c r="IY13" s="399">
        <f>107197+116345</f>
        <v>223542</v>
      </c>
      <c r="IZ13" s="394">
        <f>99177+106412</f>
        <v>205589</v>
      </c>
      <c r="JA13" s="394">
        <f>6803+8596</f>
        <v>15399</v>
      </c>
      <c r="JB13" s="394">
        <f>695+573</f>
        <v>1268</v>
      </c>
      <c r="JC13" s="406">
        <f>191+388+121+498</f>
        <v>1198</v>
      </c>
      <c r="JD13" s="5">
        <v>448837</v>
      </c>
      <c r="JE13" s="394">
        <v>411545</v>
      </c>
      <c r="JF13" s="394">
        <v>33814</v>
      </c>
      <c r="JG13" s="394">
        <v>2785</v>
      </c>
      <c r="JH13" s="406">
        <v>3478</v>
      </c>
      <c r="JI13" s="5">
        <v>619651</v>
      </c>
      <c r="JJ13" s="394">
        <v>557640</v>
      </c>
      <c r="JK13" s="394">
        <v>49387</v>
      </c>
      <c r="JL13" s="394">
        <v>5945</v>
      </c>
      <c r="JM13" s="406">
        <v>12624</v>
      </c>
      <c r="JN13" s="394">
        <v>696329</v>
      </c>
      <c r="JO13" s="394">
        <v>621451</v>
      </c>
      <c r="JP13" s="394">
        <v>57024</v>
      </c>
      <c r="JQ13" s="394">
        <v>6756</v>
      </c>
      <c r="JR13" s="394">
        <v>14232</v>
      </c>
      <c r="JS13" s="5">
        <v>775577</v>
      </c>
      <c r="JT13" s="394">
        <v>687311</v>
      </c>
      <c r="JU13" s="394">
        <v>69507</v>
      </c>
      <c r="JV13" s="394">
        <v>12601</v>
      </c>
      <c r="JW13" s="406">
        <v>18759</v>
      </c>
      <c r="JX13" s="5">
        <v>789593.69600000011</v>
      </c>
      <c r="JY13" s="394">
        <v>700938.45600000001</v>
      </c>
      <c r="JZ13" s="394">
        <v>69482.997999999992</v>
      </c>
      <c r="KA13" s="394">
        <v>12771.295</v>
      </c>
      <c r="KB13" s="406">
        <v>19172.242000000115</v>
      </c>
      <c r="KC13" s="394">
        <v>808333</v>
      </c>
      <c r="KD13" s="394">
        <v>709281</v>
      </c>
      <c r="KE13" s="394">
        <v>70400</v>
      </c>
      <c r="KF13" s="394">
        <v>13455</v>
      </c>
      <c r="KG13" s="439">
        <v>19390</v>
      </c>
      <c r="KH13" s="439">
        <v>823121</v>
      </c>
      <c r="KI13" s="439">
        <v>721437</v>
      </c>
      <c r="KJ13" s="439">
        <v>72126</v>
      </c>
      <c r="KK13" s="439">
        <v>14064</v>
      </c>
      <c r="KL13" s="439">
        <v>20176</v>
      </c>
      <c r="KM13" s="439">
        <v>842858</v>
      </c>
      <c r="KN13" s="439">
        <v>735032</v>
      </c>
      <c r="KO13" s="439">
        <v>74900</v>
      </c>
      <c r="KP13" s="439">
        <v>14066</v>
      </c>
      <c r="KQ13" s="439">
        <v>23785</v>
      </c>
      <c r="KR13" s="439">
        <v>846111</v>
      </c>
      <c r="KS13" s="439">
        <v>738428</v>
      </c>
      <c r="KT13" s="439">
        <v>74437</v>
      </c>
      <c r="KU13" s="439">
        <v>13629</v>
      </c>
      <c r="KV13" s="439">
        <v>22206</v>
      </c>
      <c r="KW13" s="630">
        <v>896409</v>
      </c>
      <c r="KX13" s="439">
        <v>777451</v>
      </c>
      <c r="KY13" s="439">
        <v>86088</v>
      </c>
      <c r="KZ13" s="439">
        <v>14329</v>
      </c>
      <c r="LA13" s="439">
        <v>23209</v>
      </c>
      <c r="LB13" s="652">
        <v>885855</v>
      </c>
      <c r="LC13" s="653">
        <v>766895</v>
      </c>
      <c r="LD13" s="653">
        <v>77530</v>
      </c>
      <c r="LE13" s="653">
        <v>18250</v>
      </c>
      <c r="LF13" s="653">
        <v>24501</v>
      </c>
      <c r="LG13" s="652">
        <v>893654</v>
      </c>
      <c r="LH13" s="653"/>
      <c r="LI13" s="439"/>
      <c r="LJ13" s="439"/>
      <c r="LK13" s="439"/>
      <c r="LL13" s="652">
        <v>879223</v>
      </c>
      <c r="LM13" s="653">
        <v>758318</v>
      </c>
      <c r="LN13" s="653">
        <v>83355</v>
      </c>
      <c r="LO13" s="653">
        <v>18249</v>
      </c>
      <c r="LP13" s="653">
        <v>22859</v>
      </c>
      <c r="LQ13" s="652">
        <v>869779</v>
      </c>
      <c r="LR13" s="653">
        <v>737972</v>
      </c>
      <c r="LS13" s="653">
        <v>63177</v>
      </c>
      <c r="LT13" s="653">
        <v>20180</v>
      </c>
      <c r="LU13" s="653">
        <v>63985</v>
      </c>
      <c r="LV13" s="1">
        <v>6846</v>
      </c>
      <c r="LW13" s="1">
        <v>0</v>
      </c>
      <c r="LX13" s="1">
        <v>2478</v>
      </c>
      <c r="LY13" s="1">
        <v>46304</v>
      </c>
      <c r="LZ13" s="1">
        <v>8357</v>
      </c>
      <c r="MA13" s="10">
        <v>94610</v>
      </c>
      <c r="MB13" s="39">
        <v>86907</v>
      </c>
      <c r="MC13" s="39">
        <v>6829</v>
      </c>
      <c r="MD13" s="39">
        <v>657</v>
      </c>
      <c r="ME13" s="207">
        <v>874</v>
      </c>
      <c r="MF13" s="3">
        <v>129481</v>
      </c>
      <c r="MG13" s="39">
        <v>117235</v>
      </c>
      <c r="MH13" s="39">
        <v>9348</v>
      </c>
      <c r="MI13" s="39">
        <v>1263</v>
      </c>
      <c r="MJ13" s="207">
        <v>2898</v>
      </c>
      <c r="MK13" s="39">
        <v>177947</v>
      </c>
      <c r="ML13" s="39">
        <v>159540</v>
      </c>
      <c r="MM13" s="39">
        <v>13050</v>
      </c>
      <c r="MN13" s="39">
        <v>2059</v>
      </c>
      <c r="MO13" s="39">
        <v>4321</v>
      </c>
      <c r="MP13" s="118">
        <v>192700</v>
      </c>
      <c r="MQ13" s="39">
        <v>172766</v>
      </c>
      <c r="MR13" s="39">
        <v>15315</v>
      </c>
      <c r="MS13" s="39">
        <v>2260</v>
      </c>
      <c r="MT13" s="39">
        <v>4619</v>
      </c>
      <c r="MU13" s="118"/>
      <c r="MV13" s="39"/>
      <c r="MW13" s="39"/>
      <c r="MX13" s="39"/>
      <c r="MY13" s="207"/>
      <c r="MZ13" s="39">
        <v>205573</v>
      </c>
      <c r="NA13" s="39">
        <v>183325</v>
      </c>
      <c r="NB13" s="39">
        <v>15053</v>
      </c>
      <c r="NC13" s="39">
        <v>3124</v>
      </c>
      <c r="ND13" s="39">
        <v>5017</v>
      </c>
      <c r="NE13" s="39">
        <v>212970</v>
      </c>
      <c r="NF13" s="39">
        <v>189884</v>
      </c>
      <c r="NG13" s="39">
        <v>15229</v>
      </c>
      <c r="NH13" s="39">
        <v>3588</v>
      </c>
      <c r="NI13" s="39">
        <v>5247</v>
      </c>
      <c r="NJ13" s="39">
        <v>228473</v>
      </c>
      <c r="NK13" s="39">
        <v>202400</v>
      </c>
      <c r="NL13" s="39">
        <v>15992</v>
      </c>
      <c r="NM13" s="39">
        <v>5017</v>
      </c>
      <c r="NN13" s="39">
        <v>35330</v>
      </c>
      <c r="NO13" s="39">
        <v>235061</v>
      </c>
      <c r="NP13" s="39">
        <v>206571</v>
      </c>
      <c r="NQ13" s="39">
        <v>18723</v>
      </c>
      <c r="NR13" s="39">
        <v>3892</v>
      </c>
      <c r="NS13" s="39">
        <v>7039</v>
      </c>
      <c r="NT13" s="39">
        <v>256369</v>
      </c>
      <c r="NU13" s="39">
        <v>226663</v>
      </c>
      <c r="NV13" s="39">
        <v>20971</v>
      </c>
      <c r="NW13" s="39">
        <v>3727</v>
      </c>
      <c r="NX13" s="39">
        <v>6090</v>
      </c>
      <c r="NY13" s="118">
        <v>241585</v>
      </c>
      <c r="NZ13" s="39">
        <v>213393</v>
      </c>
      <c r="OA13" s="39">
        <v>16546</v>
      </c>
      <c r="OB13" s="39">
        <v>5607</v>
      </c>
      <c r="OC13" s="39">
        <v>6836</v>
      </c>
      <c r="OD13" s="118">
        <v>261964</v>
      </c>
      <c r="OE13" s="39"/>
      <c r="OF13" s="39"/>
      <c r="OG13" s="39"/>
      <c r="OH13" s="39"/>
      <c r="OI13" s="118">
        <v>260188</v>
      </c>
      <c r="OJ13" s="39">
        <v>227564</v>
      </c>
      <c r="OK13" s="39">
        <v>20128</v>
      </c>
      <c r="OL13" s="39">
        <v>6137</v>
      </c>
      <c r="OM13" s="39">
        <v>7059</v>
      </c>
      <c r="ON13" s="118">
        <v>275708</v>
      </c>
      <c r="OO13" s="39">
        <v>238458</v>
      </c>
      <c r="OP13" s="39">
        <v>16342</v>
      </c>
      <c r="OQ13" s="39">
        <v>4676</v>
      </c>
      <c r="OR13" s="39">
        <v>2025</v>
      </c>
      <c r="OS13" s="1">
        <v>2813</v>
      </c>
      <c r="OT13" s="1">
        <v>0</v>
      </c>
      <c r="OU13" s="1">
        <v>793</v>
      </c>
      <c r="OV13" s="1">
        <v>13849</v>
      </c>
      <c r="OW13" s="1">
        <v>2025</v>
      </c>
      <c r="OX13" s="402">
        <f t="shared" si="421"/>
        <v>305720</v>
      </c>
      <c r="OY13" s="382">
        <f t="shared" si="422"/>
        <v>266711</v>
      </c>
      <c r="OZ13" s="382">
        <f t="shared" si="423"/>
        <v>14040</v>
      </c>
      <c r="PA13" s="382">
        <f t="shared" si="424"/>
        <v>37024</v>
      </c>
      <c r="PB13" s="382">
        <f t="shared" si="425"/>
        <v>8915</v>
      </c>
      <c r="PC13" s="402">
        <f t="shared" si="426"/>
        <v>582950</v>
      </c>
      <c r="PD13" s="382">
        <f t="shared" si="427"/>
        <v>537164</v>
      </c>
      <c r="PE13" s="382">
        <f t="shared" si="428"/>
        <v>27504</v>
      </c>
      <c r="PF13" s="382">
        <f t="shared" si="429"/>
        <v>4909</v>
      </c>
      <c r="PG13" s="382">
        <f t="shared" si="430"/>
        <v>18282</v>
      </c>
      <c r="PH13" s="118">
        <v>654680</v>
      </c>
      <c r="PI13" s="39">
        <v>593462</v>
      </c>
      <c r="PJ13" s="39">
        <v>37851</v>
      </c>
      <c r="PK13" s="39">
        <v>8738</v>
      </c>
      <c r="PL13" s="39">
        <v>23367</v>
      </c>
      <c r="PM13" s="39">
        <v>731555</v>
      </c>
      <c r="PN13" s="39">
        <v>663690</v>
      </c>
      <c r="PO13" s="39">
        <v>36712</v>
      </c>
      <c r="PP13" s="39">
        <v>9439</v>
      </c>
      <c r="PQ13" s="39">
        <v>24760</v>
      </c>
      <c r="PR13" s="393"/>
      <c r="PS13" s="394"/>
      <c r="PT13" s="394"/>
      <c r="PU13" s="394"/>
      <c r="PV13" s="394"/>
      <c r="PW13" s="394">
        <v>823716</v>
      </c>
      <c r="PX13" s="394">
        <v>737184</v>
      </c>
      <c r="PY13" s="394">
        <v>46569</v>
      </c>
      <c r="PZ13" s="394">
        <v>12544</v>
      </c>
      <c r="QA13" s="406">
        <v>30697</v>
      </c>
      <c r="QB13" s="394">
        <v>853390</v>
      </c>
      <c r="QC13" s="394">
        <v>762181</v>
      </c>
      <c r="QD13" s="394">
        <v>47699</v>
      </c>
      <c r="QE13" s="394">
        <v>14043</v>
      </c>
      <c r="QF13" s="394">
        <v>33477</v>
      </c>
      <c r="QG13" s="394">
        <v>888174</v>
      </c>
      <c r="QH13" s="394">
        <v>789820</v>
      </c>
      <c r="QI13" s="394">
        <v>51326</v>
      </c>
      <c r="QJ13" s="394">
        <v>16400</v>
      </c>
      <c r="QK13" s="394">
        <v>35330</v>
      </c>
      <c r="QL13" s="393">
        <v>931235</v>
      </c>
      <c r="QM13" s="394">
        <v>824804</v>
      </c>
      <c r="QN13" s="394">
        <v>55193</v>
      </c>
      <c r="QO13" s="394">
        <v>16432</v>
      </c>
      <c r="QP13" s="394">
        <v>26678</v>
      </c>
      <c r="QQ13" s="393">
        <v>958710</v>
      </c>
      <c r="QR13" s="394">
        <v>853550</v>
      </c>
      <c r="QS13" s="394">
        <v>53413</v>
      </c>
      <c r="QT13" s="394">
        <v>18656</v>
      </c>
      <c r="QU13" s="394">
        <v>27700</v>
      </c>
      <c r="QV13" s="393">
        <v>965137</v>
      </c>
      <c r="QW13" s="394">
        <v>848138</v>
      </c>
      <c r="QX13" s="394">
        <v>59168</v>
      </c>
      <c r="QY13" s="394">
        <v>21836</v>
      </c>
      <c r="QZ13" s="394">
        <v>39833</v>
      </c>
      <c r="RA13" s="393">
        <v>1015749</v>
      </c>
      <c r="RB13" s="394"/>
      <c r="RC13" s="394"/>
      <c r="RD13" s="394"/>
      <c r="RE13" s="394"/>
      <c r="RF13" s="394">
        <v>1026111</v>
      </c>
      <c r="RG13" s="394">
        <v>895839</v>
      </c>
      <c r="RH13" s="394">
        <v>65000</v>
      </c>
      <c r="RI13" s="394">
        <v>22827</v>
      </c>
      <c r="RJ13" s="394">
        <v>45143</v>
      </c>
      <c r="RK13" s="394">
        <v>1106122</v>
      </c>
      <c r="RL13" s="394">
        <v>961670</v>
      </c>
      <c r="RM13" s="394">
        <v>56902</v>
      </c>
      <c r="RN13" s="394">
        <v>22501</v>
      </c>
      <c r="RO13" s="394">
        <v>81116</v>
      </c>
      <c r="RP13" s="1">
        <v>24384</v>
      </c>
      <c r="RQ13" s="1">
        <v>0</v>
      </c>
      <c r="RR13" s="1">
        <v>0</v>
      </c>
      <c r="RS13" s="1">
        <v>49190</v>
      </c>
      <c r="RT13" s="1">
        <v>7542</v>
      </c>
      <c r="RU13" s="10">
        <v>189539</v>
      </c>
      <c r="RV13" s="3">
        <v>179804</v>
      </c>
      <c r="RW13" s="3">
        <v>7211</v>
      </c>
      <c r="RX13" s="3">
        <v>1026</v>
      </c>
      <c r="RY13" s="3">
        <v>2524</v>
      </c>
      <c r="RZ13" s="10">
        <v>271418</v>
      </c>
      <c r="SA13" s="39">
        <v>252166</v>
      </c>
      <c r="SB13" s="39">
        <v>11661</v>
      </c>
      <c r="SC13" s="39">
        <v>2169</v>
      </c>
      <c r="SD13" s="39">
        <v>7591</v>
      </c>
      <c r="SE13" s="118">
        <v>329624</v>
      </c>
      <c r="SF13" s="39">
        <v>299675</v>
      </c>
      <c r="SG13" s="39">
        <v>15943</v>
      </c>
      <c r="SH13" s="39">
        <v>4476</v>
      </c>
      <c r="SI13" s="39">
        <v>10954</v>
      </c>
      <c r="SJ13" s="118">
        <v>354144</v>
      </c>
      <c r="SK13" s="39">
        <v>323777</v>
      </c>
      <c r="SL13" s="39">
        <v>18114</v>
      </c>
      <c r="SM13" s="39">
        <v>4937</v>
      </c>
      <c r="SN13" s="39">
        <v>12253</v>
      </c>
      <c r="SO13" s="118">
        <v>359961.83199999999</v>
      </c>
      <c r="SP13" s="39">
        <v>329545.69199999998</v>
      </c>
      <c r="SQ13" s="39">
        <v>18706.960999999999</v>
      </c>
      <c r="SR13" s="39">
        <v>5295.415</v>
      </c>
      <c r="SS13" s="39">
        <v>11709.179000000015</v>
      </c>
      <c r="ST13" s="118">
        <v>366856</v>
      </c>
      <c r="SU13" s="39">
        <v>329810</v>
      </c>
      <c r="SV13" s="39">
        <v>19222</v>
      </c>
      <c r="SW13" s="39">
        <v>5739</v>
      </c>
      <c r="SX13" s="39">
        <v>13641</v>
      </c>
      <c r="SY13" s="39">
        <v>377048</v>
      </c>
      <c r="SZ13" s="39">
        <v>337810</v>
      </c>
      <c r="TA13" s="39">
        <v>19824</v>
      </c>
      <c r="TB13" s="39">
        <v>6319</v>
      </c>
      <c r="TC13" s="39">
        <v>15175</v>
      </c>
      <c r="TD13" s="39">
        <v>386963</v>
      </c>
      <c r="TE13" s="39">
        <v>346302</v>
      </c>
      <c r="TF13" s="39">
        <v>20637</v>
      </c>
      <c r="TG13" s="39">
        <v>5366</v>
      </c>
      <c r="TH13" s="39">
        <v>15911</v>
      </c>
      <c r="TI13" s="39">
        <v>406865</v>
      </c>
      <c r="TJ13" s="39">
        <v>362079</v>
      </c>
      <c r="TK13" s="39">
        <v>23016</v>
      </c>
      <c r="TL13" s="39">
        <v>7478</v>
      </c>
      <c r="TM13" s="39">
        <v>15927</v>
      </c>
      <c r="TN13" s="39">
        <v>419081</v>
      </c>
      <c r="TO13" s="39">
        <v>374686</v>
      </c>
      <c r="TP13" s="39">
        <v>20010</v>
      </c>
      <c r="TQ13" s="39">
        <v>9625</v>
      </c>
      <c r="TR13" s="39">
        <v>16931</v>
      </c>
      <c r="TS13" s="118">
        <v>423916</v>
      </c>
      <c r="TT13" s="39">
        <v>369910</v>
      </c>
      <c r="TU13" s="39">
        <v>29086</v>
      </c>
      <c r="TV13" s="39">
        <v>9890</v>
      </c>
      <c r="TW13" s="39">
        <v>17044</v>
      </c>
      <c r="TX13" s="118">
        <v>442090</v>
      </c>
      <c r="TY13" s="39"/>
      <c r="TZ13" s="39"/>
      <c r="UA13" s="39"/>
      <c r="UB13" s="39"/>
      <c r="UC13" s="118">
        <v>453040</v>
      </c>
      <c r="UD13" s="39">
        <v>395062</v>
      </c>
      <c r="UE13" s="39">
        <v>27468</v>
      </c>
      <c r="UF13" s="39">
        <v>10685</v>
      </c>
      <c r="UG13" s="39">
        <v>21927</v>
      </c>
      <c r="UH13" s="118">
        <v>488546</v>
      </c>
      <c r="UI13" s="39">
        <v>424931</v>
      </c>
      <c r="UJ13" s="39">
        <v>26313</v>
      </c>
      <c r="UK13" s="39">
        <v>10509</v>
      </c>
      <c r="UL13" s="39">
        <v>35165</v>
      </c>
      <c r="UM13" s="1">
        <v>10437</v>
      </c>
      <c r="UN13" s="1">
        <v>0</v>
      </c>
      <c r="UO13" s="1">
        <v>558</v>
      </c>
      <c r="UP13" s="1">
        <v>21320</v>
      </c>
      <c r="UQ13" s="1">
        <v>5517</v>
      </c>
      <c r="UR13" s="588">
        <f t="shared" si="431"/>
        <v>75802</v>
      </c>
      <c r="US13" s="40">
        <v>44797</v>
      </c>
      <c r="UT13" s="40">
        <v>31005</v>
      </c>
      <c r="UU13" s="588">
        <f t="shared" si="432"/>
        <v>3045</v>
      </c>
      <c r="UV13" s="40">
        <v>1299</v>
      </c>
      <c r="UW13" s="40">
        <v>1746</v>
      </c>
      <c r="UX13" s="42">
        <v>123947</v>
      </c>
      <c r="UY13" s="588">
        <f t="shared" si="433"/>
        <v>70095</v>
      </c>
      <c r="UZ13" s="588">
        <f t="shared" si="434"/>
        <v>53852</v>
      </c>
      <c r="VA13" s="588">
        <f t="shared" si="435"/>
        <v>119317</v>
      </c>
      <c r="VB13" s="40">
        <v>67972</v>
      </c>
      <c r="VC13" s="40">
        <v>51345</v>
      </c>
      <c r="VD13" s="588">
        <f t="shared" si="436"/>
        <v>3624</v>
      </c>
      <c r="VE13" s="40">
        <v>1462</v>
      </c>
      <c r="VF13" s="40">
        <v>2162</v>
      </c>
      <c r="VG13" s="588">
        <f t="shared" si="437"/>
        <v>1006</v>
      </c>
      <c r="VH13" s="40">
        <v>661</v>
      </c>
      <c r="VI13" s="40">
        <v>345</v>
      </c>
      <c r="VJ13" s="42">
        <v>231139</v>
      </c>
      <c r="VK13" s="588">
        <f t="shared" si="438"/>
        <v>129052</v>
      </c>
      <c r="VL13" s="588">
        <f t="shared" si="439"/>
        <v>102087</v>
      </c>
      <c r="VM13" s="39">
        <f>96165+122904</f>
        <v>219069</v>
      </c>
      <c r="VN13" s="40">
        <v>122904</v>
      </c>
      <c r="VO13" s="40">
        <v>96165</v>
      </c>
      <c r="VP13" s="40">
        <v>6148</v>
      </c>
      <c r="VQ13" s="40">
        <v>5922</v>
      </c>
      <c r="VR13" s="39">
        <f>3995+4235</f>
        <v>8230</v>
      </c>
      <c r="VS13" s="40">
        <v>3995</v>
      </c>
      <c r="VT13" s="40">
        <v>4235</v>
      </c>
      <c r="VU13" s="39">
        <f>665+579</f>
        <v>1244</v>
      </c>
      <c r="VV13" s="40">
        <v>665</v>
      </c>
      <c r="VW13" s="40">
        <v>579</v>
      </c>
      <c r="VX13" s="233">
        <f t="shared" si="440"/>
        <v>2596</v>
      </c>
      <c r="VY13" s="233">
        <f t="shared" si="441"/>
        <v>1488</v>
      </c>
      <c r="VZ13" s="233">
        <f t="shared" si="442"/>
        <v>1108</v>
      </c>
      <c r="WA13" s="234">
        <f t="shared" si="443"/>
        <v>62</v>
      </c>
      <c r="WB13" s="234">
        <f t="shared" si="444"/>
        <v>50</v>
      </c>
      <c r="WC13" s="234">
        <f t="shared" si="445"/>
        <v>12</v>
      </c>
      <c r="WD13" s="40">
        <v>2534</v>
      </c>
      <c r="WE13" s="40">
        <v>1438</v>
      </c>
      <c r="WF13" s="40">
        <v>1096</v>
      </c>
      <c r="WG13" s="12">
        <f t="shared" si="446"/>
        <v>211110</v>
      </c>
      <c r="WH13" s="588">
        <f t="shared" si="447"/>
        <v>166673</v>
      </c>
      <c r="WI13" s="588">
        <f t="shared" si="448"/>
        <v>151454</v>
      </c>
      <c r="WJ13" s="11">
        <f t="shared" si="449"/>
        <v>179804</v>
      </c>
      <c r="WK13" s="90">
        <f t="shared" si="450"/>
        <v>300338</v>
      </c>
      <c r="WL13" s="40">
        <v>157982</v>
      </c>
      <c r="WM13" s="40">
        <v>142356</v>
      </c>
      <c r="WN13" s="40">
        <v>8691</v>
      </c>
      <c r="WO13" s="40">
        <v>9098</v>
      </c>
      <c r="WP13" s="11">
        <f t="shared" si="451"/>
        <v>7211</v>
      </c>
      <c r="WQ13" s="90">
        <f t="shared" si="452"/>
        <v>11307</v>
      </c>
      <c r="WR13" s="40">
        <v>4889</v>
      </c>
      <c r="WS13" s="40">
        <v>6418</v>
      </c>
      <c r="WT13" s="11">
        <f t="shared" si="453"/>
        <v>1922</v>
      </c>
      <c r="WU13" s="40">
        <v>1128</v>
      </c>
      <c r="WV13" s="40">
        <v>794</v>
      </c>
      <c r="WW13" s="9">
        <f t="shared" si="454"/>
        <v>8041</v>
      </c>
      <c r="WX13" s="235">
        <f t="shared" si="455"/>
        <v>2674</v>
      </c>
      <c r="WY13" s="235">
        <f t="shared" si="456"/>
        <v>1886</v>
      </c>
      <c r="WZ13" s="236">
        <f t="shared" si="457"/>
        <v>16</v>
      </c>
      <c r="XA13" s="236">
        <f t="shared" si="458"/>
        <v>13</v>
      </c>
      <c r="XB13" s="236">
        <f t="shared" si="459"/>
        <v>3</v>
      </c>
      <c r="XC13" s="589">
        <f t="shared" si="460"/>
        <v>4544</v>
      </c>
      <c r="XD13" s="589">
        <f t="shared" si="461"/>
        <v>2661</v>
      </c>
      <c r="XE13" s="589">
        <f t="shared" si="462"/>
        <v>1883</v>
      </c>
      <c r="XF13" s="40">
        <v>173</v>
      </c>
      <c r="XG13" s="40">
        <v>172</v>
      </c>
      <c r="XH13" s="40">
        <v>2488</v>
      </c>
      <c r="XI13" s="40">
        <v>1711</v>
      </c>
      <c r="XJ13" s="590">
        <v>453469</v>
      </c>
      <c r="XK13" s="40">
        <v>226434</v>
      </c>
      <c r="XL13" s="40">
        <v>227035</v>
      </c>
      <c r="XM13" s="5">
        <f t="shared" si="463"/>
        <v>419929</v>
      </c>
      <c r="XN13" s="5">
        <v>209804</v>
      </c>
      <c r="XO13" s="5">
        <v>210125</v>
      </c>
      <c r="XP13" s="84">
        <f t="shared" si="464"/>
        <v>417561</v>
      </c>
      <c r="XQ13" s="40">
        <v>208518</v>
      </c>
      <c r="XR13" s="40">
        <v>209043</v>
      </c>
      <c r="XS13" s="5">
        <f t="shared" si="465"/>
        <v>18156</v>
      </c>
      <c r="XT13" s="40">
        <v>8032</v>
      </c>
      <c r="XU13" s="40">
        <v>10124</v>
      </c>
      <c r="XV13" s="5">
        <f t="shared" si="466"/>
        <v>3646</v>
      </c>
      <c r="XW13" s="40">
        <v>1987</v>
      </c>
      <c r="XX13" s="40">
        <v>1659</v>
      </c>
      <c r="XY13" s="84">
        <f t="shared" si="467"/>
        <v>15384</v>
      </c>
      <c r="XZ13" s="84">
        <f t="shared" si="468"/>
        <v>8598</v>
      </c>
      <c r="YA13" s="84">
        <f t="shared" si="469"/>
        <v>6786</v>
      </c>
      <c r="YB13" s="587">
        <v>553608</v>
      </c>
      <c r="YC13" s="40">
        <v>504150</v>
      </c>
      <c r="YD13" s="40">
        <v>23662</v>
      </c>
      <c r="YE13" s="40">
        <v>7380</v>
      </c>
      <c r="YF13" s="5">
        <v>20439</v>
      </c>
      <c r="YG13" s="118">
        <v>567846</v>
      </c>
      <c r="YH13" s="39">
        <v>521789</v>
      </c>
      <c r="YI13" s="39">
        <v>25282</v>
      </c>
      <c r="YJ13" s="39">
        <v>20775</v>
      </c>
      <c r="YK13" s="39">
        <v>6902</v>
      </c>
      <c r="YL13" s="118">
        <v>580967</v>
      </c>
      <c r="YM13" s="39">
        <v>532667</v>
      </c>
      <c r="YN13" s="39">
        <v>26493</v>
      </c>
      <c r="YO13" s="39">
        <v>21807</v>
      </c>
      <c r="YP13" s="39">
        <v>6911</v>
      </c>
      <c r="YQ13" s="118">
        <v>590415</v>
      </c>
      <c r="YR13" s="39">
        <v>538008</v>
      </c>
      <c r="YS13" s="39">
        <v>28958</v>
      </c>
      <c r="YT13" s="39">
        <v>23449</v>
      </c>
      <c r="YU13" s="39">
        <v>8073</v>
      </c>
      <c r="YV13" s="10">
        <v>606709.86199999996</v>
      </c>
      <c r="YW13" s="39">
        <v>551858.26199999999</v>
      </c>
      <c r="YX13" s="39">
        <v>29807.794999999998</v>
      </c>
      <c r="YY13" s="39">
        <v>8348.0660000000007</v>
      </c>
      <c r="YZ13" s="39">
        <v>25043.804999999978</v>
      </c>
      <c r="ZA13" s="39">
        <v>618143</v>
      </c>
      <c r="ZB13" s="39">
        <v>553859</v>
      </c>
      <c r="ZC13" s="39">
        <v>31516</v>
      </c>
      <c r="ZD13" s="39">
        <v>9420</v>
      </c>
      <c r="ZE13" s="1">
        <v>25680</v>
      </c>
      <c r="ZF13" s="1">
        <v>640420</v>
      </c>
      <c r="ZG13" s="1">
        <v>572297</v>
      </c>
      <c r="ZH13" s="1">
        <v>32470</v>
      </c>
      <c r="ZI13" s="1">
        <v>10455</v>
      </c>
      <c r="ZJ13" s="1">
        <v>28230</v>
      </c>
      <c r="ZK13" s="1">
        <v>659701</v>
      </c>
      <c r="ZL13" s="1">
        <v>587420</v>
      </c>
      <c r="ZM13" s="1">
        <v>35334</v>
      </c>
      <c r="ZN13" s="1">
        <v>11383</v>
      </c>
      <c r="ZO13" s="1">
        <v>28588</v>
      </c>
      <c r="ZP13" s="1">
        <v>696174</v>
      </c>
      <c r="ZQ13" s="1">
        <v>618233</v>
      </c>
      <c r="ZR13" s="1">
        <v>36470</v>
      </c>
      <c r="ZS13" s="1">
        <v>12540</v>
      </c>
      <c r="ZT13" s="1">
        <v>22884</v>
      </c>
      <c r="ZU13" s="1">
        <v>702341</v>
      </c>
      <c r="ZV13" s="1">
        <v>626887</v>
      </c>
      <c r="ZW13" s="1">
        <v>32442</v>
      </c>
      <c r="ZX13" s="1">
        <v>14929</v>
      </c>
      <c r="ZY13" s="1">
        <v>24439</v>
      </c>
      <c r="ZZ13" s="394">
        <v>20564</v>
      </c>
      <c r="AAA13" s="1">
        <v>0</v>
      </c>
      <c r="AAB13" s="1">
        <v>972</v>
      </c>
      <c r="AAC13" s="1">
        <v>0</v>
      </c>
      <c r="AAD13" s="1">
        <v>2903</v>
      </c>
      <c r="AAE13" s="50">
        <v>723552</v>
      </c>
      <c r="AAF13" s="1">
        <v>634745</v>
      </c>
      <c r="AAG13" s="1">
        <v>42622</v>
      </c>
      <c r="AAH13" s="1">
        <v>16229</v>
      </c>
      <c r="AAI13" s="1">
        <v>32997</v>
      </c>
      <c r="AAJ13" s="50">
        <v>753785</v>
      </c>
      <c r="AAK13" s="1"/>
      <c r="AAL13" s="1"/>
      <c r="AAM13" s="1"/>
      <c r="AAN13" s="1"/>
      <c r="AAO13" s="68">
        <v>765923</v>
      </c>
      <c r="AAP13" s="37">
        <v>668275</v>
      </c>
      <c r="AAQ13" s="37">
        <v>44872</v>
      </c>
      <c r="AAR13" s="37">
        <v>16690</v>
      </c>
      <c r="AAS13" s="37">
        <v>38521</v>
      </c>
      <c r="AAT13" s="68">
        <v>830414</v>
      </c>
      <c r="AAU13" s="37">
        <v>723212</v>
      </c>
      <c r="AAV13" s="37">
        <v>40560</v>
      </c>
      <c r="AAW13" s="37">
        <v>17825</v>
      </c>
      <c r="AAX13" s="37">
        <v>62429</v>
      </c>
      <c r="AAY13" s="1">
        <v>21571</v>
      </c>
      <c r="AAZ13" s="1">
        <v>0</v>
      </c>
      <c r="ABA13" s="1">
        <v>0</v>
      </c>
      <c r="ABB13" s="1">
        <v>35341</v>
      </c>
      <c r="ABC13" s="1">
        <v>5517</v>
      </c>
      <c r="ABD13" s="10">
        <v>182051</v>
      </c>
      <c r="ABE13" s="39">
        <v>167763</v>
      </c>
      <c r="ABF13" s="39">
        <v>6495</v>
      </c>
      <c r="ABG13" s="39">
        <v>1477</v>
      </c>
      <c r="ABH13" s="39">
        <v>7793</v>
      </c>
      <c r="ABI13" s="118">
        <v>223984</v>
      </c>
      <c r="ABJ13" s="39">
        <v>204475</v>
      </c>
      <c r="ABK13" s="39">
        <v>7719</v>
      </c>
      <c r="ABL13" s="39">
        <v>2904</v>
      </c>
      <c r="ABM13" s="39">
        <v>9485</v>
      </c>
      <c r="ABN13" s="10">
        <v>236271</v>
      </c>
      <c r="ABO13" s="39">
        <v>214231</v>
      </c>
      <c r="ABP13" s="39">
        <v>10844</v>
      </c>
      <c r="ABQ13" s="39">
        <v>3136</v>
      </c>
      <c r="ABR13" s="39">
        <v>11196</v>
      </c>
      <c r="ABS13" s="10">
        <v>246748.03000000003</v>
      </c>
      <c r="ABT13" s="39">
        <v>222312.57</v>
      </c>
      <c r="ABU13" s="39">
        <v>11100.834000000001</v>
      </c>
      <c r="ABV13" s="39">
        <v>3052.6510000000003</v>
      </c>
      <c r="ABW13" s="207">
        <v>13334.62600000002</v>
      </c>
      <c r="ABX13" s="1">
        <v>251287</v>
      </c>
      <c r="ABY13" s="1">
        <v>224049</v>
      </c>
      <c r="ABZ13" s="1">
        <v>12294</v>
      </c>
      <c r="ACA13" s="1">
        <v>3681</v>
      </c>
      <c r="ACB13" s="49">
        <v>12039</v>
      </c>
      <c r="ACC13" s="1">
        <v>263372</v>
      </c>
      <c r="ACD13" s="1">
        <v>234487</v>
      </c>
      <c r="ACE13" s="1">
        <v>12646</v>
      </c>
      <c r="ACF13" s="1">
        <v>4136</v>
      </c>
      <c r="ACG13" s="1">
        <v>13055</v>
      </c>
      <c r="ACH13" s="1">
        <v>272738</v>
      </c>
      <c r="ACI13" s="1">
        <v>241118</v>
      </c>
      <c r="ACJ13" s="1">
        <v>14697</v>
      </c>
      <c r="ACK13" s="1">
        <v>6017</v>
      </c>
      <c r="ACL13" s="1">
        <v>12677</v>
      </c>
      <c r="ACM13" s="1">
        <v>289309</v>
      </c>
      <c r="ACN13" s="1">
        <v>256154</v>
      </c>
      <c r="ACO13" s="1">
        <v>13454</v>
      </c>
      <c r="ACP13" s="1">
        <v>5062</v>
      </c>
      <c r="ACQ13" s="1">
        <v>15166</v>
      </c>
      <c r="ACR13" s="1">
        <v>283260</v>
      </c>
      <c r="ACS13" s="1">
        <v>252201</v>
      </c>
      <c r="ACT13" s="1">
        <v>12432</v>
      </c>
      <c r="ACU13" s="1">
        <v>5304</v>
      </c>
      <c r="ACV13" s="1">
        <v>14319</v>
      </c>
      <c r="ADB13" s="50">
        <v>299636</v>
      </c>
      <c r="ADC13" s="1">
        <v>264835</v>
      </c>
      <c r="ADD13" s="1">
        <v>13536</v>
      </c>
      <c r="ADE13" s="1">
        <v>6339</v>
      </c>
      <c r="ADF13" s="1">
        <v>15953</v>
      </c>
      <c r="ADG13" s="50">
        <v>311695</v>
      </c>
      <c r="ADL13" s="50">
        <v>312883</v>
      </c>
      <c r="ADM13" s="1">
        <v>273213</v>
      </c>
      <c r="ADN13" s="1">
        <v>17404</v>
      </c>
      <c r="ADO13" s="1">
        <v>6005</v>
      </c>
      <c r="ADP13" s="1">
        <v>17538</v>
      </c>
      <c r="ADQ13" s="50">
        <v>341868</v>
      </c>
      <c r="ADR13" s="1">
        <v>298281</v>
      </c>
      <c r="ADS13" s="1">
        <v>14247</v>
      </c>
      <c r="ADT13" s="1">
        <v>7316</v>
      </c>
      <c r="ADU13" s="1">
        <v>28050</v>
      </c>
      <c r="ADV13" s="1">
        <v>11134</v>
      </c>
      <c r="ADW13" s="1">
        <v>0</v>
      </c>
      <c r="ADX13" s="1">
        <v>228</v>
      </c>
      <c r="ADY13" s="1">
        <v>14021</v>
      </c>
      <c r="ADZ13" s="1">
        <v>2667</v>
      </c>
    </row>
    <row r="14" spans="1:806" ht="14.1">
      <c r="A14" s="138" t="s">
        <v>14</v>
      </c>
      <c r="B14" s="118">
        <f>90813+117900+63387+86044+133186+77260</f>
        <v>568590</v>
      </c>
      <c r="C14" s="39">
        <f>42682+73634+43099+40982+76071+48419</f>
        <v>324887</v>
      </c>
      <c r="D14" s="39">
        <f>44977+40517+18473+42009+52259+26255</f>
        <v>224490</v>
      </c>
      <c r="E14" s="39">
        <f>2026+2734+1421+1943+3424+2087</f>
        <v>13635</v>
      </c>
      <c r="F14" s="207">
        <f>645+459+206+377+511+156+522+366+156+529+974+311</f>
        <v>5212</v>
      </c>
      <c r="G14" s="3">
        <v>372913</v>
      </c>
      <c r="H14" s="39">
        <v>215750</v>
      </c>
      <c r="I14" s="39">
        <v>147552</v>
      </c>
      <c r="J14" s="39">
        <v>9203</v>
      </c>
      <c r="K14" s="207">
        <v>9611</v>
      </c>
      <c r="L14" s="3">
        <v>257710</v>
      </c>
      <c r="M14" s="39">
        <v>143433</v>
      </c>
      <c r="N14" s="39">
        <v>99796</v>
      </c>
      <c r="O14" s="39">
        <v>9252</v>
      </c>
      <c r="P14" s="207">
        <v>14481</v>
      </c>
      <c r="Q14" s="39">
        <v>203208</v>
      </c>
      <c r="R14" s="39">
        <v>108985</v>
      </c>
      <c r="S14" s="39">
        <v>74997</v>
      </c>
      <c r="T14" s="39">
        <v>10697</v>
      </c>
      <c r="U14" s="207">
        <v>13433</v>
      </c>
      <c r="V14" s="5">
        <v>194000</v>
      </c>
      <c r="W14" s="394">
        <v>111066</v>
      </c>
      <c r="X14" s="394">
        <v>67368</v>
      </c>
      <c r="Y14" s="394">
        <v>18209</v>
      </c>
      <c r="Z14" s="406">
        <v>15566</v>
      </c>
      <c r="AA14" s="394">
        <v>185655</v>
      </c>
      <c r="AB14" s="1">
        <v>89725</v>
      </c>
      <c r="AC14" s="394">
        <v>64836</v>
      </c>
      <c r="AD14" s="394">
        <v>21299</v>
      </c>
      <c r="AE14" s="394">
        <v>18236</v>
      </c>
      <c r="AF14" s="393">
        <v>181275</v>
      </c>
      <c r="AG14" s="394">
        <v>86747</v>
      </c>
      <c r="AH14" s="394">
        <v>62826</v>
      </c>
      <c r="AI14" s="394">
        <v>21087</v>
      </c>
      <c r="AJ14" s="490">
        <v>18386</v>
      </c>
      <c r="AK14" s="490">
        <v>174289</v>
      </c>
      <c r="AL14" s="490">
        <v>84997</v>
      </c>
      <c r="AM14" s="685">
        <v>57340</v>
      </c>
      <c r="AN14" s="685">
        <v>21451</v>
      </c>
      <c r="AO14" s="490">
        <v>15848</v>
      </c>
      <c r="AP14" s="394">
        <v>159933</v>
      </c>
      <c r="AQ14" s="394">
        <v>74085</v>
      </c>
      <c r="AR14" s="394">
        <v>52657</v>
      </c>
      <c r="AS14" s="394">
        <v>20258</v>
      </c>
      <c r="AT14" s="394">
        <v>19978</v>
      </c>
      <c r="AU14" s="393">
        <v>160929</v>
      </c>
      <c r="AV14" s="394">
        <v>77913</v>
      </c>
      <c r="AW14" s="394">
        <v>54260</v>
      </c>
      <c r="AX14" s="394">
        <v>20114</v>
      </c>
      <c r="AY14" s="394">
        <v>17305</v>
      </c>
      <c r="AZ14" s="1">
        <v>5234</v>
      </c>
      <c r="BA14" s="1">
        <v>0</v>
      </c>
      <c r="BB14" s="1">
        <v>2421</v>
      </c>
      <c r="BC14" s="1">
        <v>2276</v>
      </c>
      <c r="BD14" s="1">
        <v>7374</v>
      </c>
      <c r="BE14" s="393">
        <v>152771</v>
      </c>
      <c r="BF14" s="394">
        <v>67465</v>
      </c>
      <c r="BG14" s="394">
        <v>49327</v>
      </c>
      <c r="BH14" s="394">
        <v>25854</v>
      </c>
      <c r="BI14" s="394">
        <v>22854</v>
      </c>
      <c r="BJ14" s="393">
        <v>146205</v>
      </c>
      <c r="BK14" s="394"/>
      <c r="BL14" s="394"/>
      <c r="BM14" s="394"/>
      <c r="BN14" s="394"/>
      <c r="BO14" s="393">
        <v>138644</v>
      </c>
      <c r="BP14" s="394">
        <v>68152</v>
      </c>
      <c r="BQ14" s="394">
        <v>38977</v>
      </c>
      <c r="BR14" s="394">
        <v>22038</v>
      </c>
      <c r="BS14" s="394">
        <v>18601</v>
      </c>
      <c r="BT14" s="393">
        <v>134092</v>
      </c>
      <c r="BU14" s="394">
        <v>57528</v>
      </c>
      <c r="BV14" s="394">
        <v>43102</v>
      </c>
      <c r="BW14" s="394">
        <v>19883</v>
      </c>
      <c r="BX14" s="394">
        <v>7432</v>
      </c>
      <c r="BY14" s="1">
        <v>0</v>
      </c>
      <c r="BZ14" s="1">
        <v>2444</v>
      </c>
      <c r="CA14" s="1">
        <v>12745</v>
      </c>
      <c r="CB14" s="1">
        <v>9114</v>
      </c>
      <c r="CC14" s="118">
        <v>430959</v>
      </c>
      <c r="CD14" s="39">
        <v>252730</v>
      </c>
      <c r="CE14" s="39">
        <v>170986</v>
      </c>
      <c r="CF14" s="39">
        <v>19883</v>
      </c>
      <c r="CG14" s="207">
        <v>7243</v>
      </c>
      <c r="CH14" s="3">
        <v>441342</v>
      </c>
      <c r="CI14" s="39">
        <v>236144</v>
      </c>
      <c r="CJ14" s="39">
        <v>189485</v>
      </c>
      <c r="CK14" s="39">
        <v>10354</v>
      </c>
      <c r="CL14" s="207">
        <v>15713</v>
      </c>
      <c r="CM14" s="1">
        <v>366397</v>
      </c>
      <c r="CN14" s="39">
        <v>191005</v>
      </c>
      <c r="CO14" s="39">
        <v>154911</v>
      </c>
      <c r="CP14" s="39">
        <v>11850</v>
      </c>
      <c r="CQ14" s="207">
        <v>13423</v>
      </c>
      <c r="CR14" s="3">
        <v>338358</v>
      </c>
      <c r="CS14" s="39">
        <v>179600</v>
      </c>
      <c r="CT14" s="39">
        <v>143530</v>
      </c>
      <c r="CU14" s="39">
        <v>14505</v>
      </c>
      <c r="CV14" s="207">
        <v>15228</v>
      </c>
      <c r="CW14" s="39">
        <v>337589</v>
      </c>
      <c r="CX14" s="39">
        <v>164333</v>
      </c>
      <c r="CY14" s="39">
        <v>147314</v>
      </c>
      <c r="CZ14" s="39">
        <v>15986</v>
      </c>
      <c r="DA14" s="39">
        <v>15742</v>
      </c>
      <c r="DB14" s="39">
        <v>335096</v>
      </c>
      <c r="DC14" s="39">
        <v>160808</v>
      </c>
      <c r="DD14" s="39">
        <v>147923</v>
      </c>
      <c r="DE14" s="39">
        <v>16016</v>
      </c>
      <c r="DF14" s="39">
        <v>15119</v>
      </c>
      <c r="DG14" s="39">
        <v>328214</v>
      </c>
      <c r="DH14" s="39">
        <v>156487</v>
      </c>
      <c r="DI14" s="39">
        <v>145609</v>
      </c>
      <c r="DJ14" s="39">
        <v>14770</v>
      </c>
      <c r="DK14" s="39">
        <v>14750</v>
      </c>
      <c r="DL14" s="39">
        <v>316837</v>
      </c>
      <c r="DM14" s="39">
        <v>150679</v>
      </c>
      <c r="DN14" s="39">
        <v>140760</v>
      </c>
      <c r="DO14" s="39">
        <v>15174</v>
      </c>
      <c r="DP14" s="39">
        <v>14794</v>
      </c>
      <c r="DQ14" s="39">
        <v>325509</v>
      </c>
      <c r="DR14" s="39">
        <v>151655</v>
      </c>
      <c r="DS14" s="39">
        <v>147398</v>
      </c>
      <c r="DT14" s="39">
        <v>17330</v>
      </c>
      <c r="DU14" s="39">
        <v>18107</v>
      </c>
      <c r="DV14" s="118">
        <v>311048</v>
      </c>
      <c r="DW14" s="39">
        <v>142870</v>
      </c>
      <c r="DX14" s="39">
        <v>144669</v>
      </c>
      <c r="DY14" s="39">
        <v>17415</v>
      </c>
      <c r="DZ14" s="39">
        <v>13053</v>
      </c>
      <c r="EA14" s="118">
        <v>296354</v>
      </c>
      <c r="EB14" s="39"/>
      <c r="EC14" s="39"/>
      <c r="ED14" s="39"/>
      <c r="EE14" s="39"/>
      <c r="EF14" s="118">
        <v>302200</v>
      </c>
      <c r="EG14" s="39">
        <v>147249</v>
      </c>
      <c r="EH14" s="39">
        <v>130856</v>
      </c>
      <c r="EI14" s="39">
        <v>16220</v>
      </c>
      <c r="EJ14" s="39">
        <v>12094</v>
      </c>
      <c r="EK14" s="118">
        <v>302200</v>
      </c>
      <c r="EL14" s="39">
        <v>147249</v>
      </c>
      <c r="EM14" s="39">
        <v>130856</v>
      </c>
      <c r="EN14" s="39">
        <v>16220</v>
      </c>
      <c r="EO14" s="39">
        <v>12094</v>
      </c>
      <c r="EP14" s="118">
        <v>281205</v>
      </c>
      <c r="EQ14" s="39">
        <v>125336</v>
      </c>
      <c r="ER14" s="39">
        <v>121559</v>
      </c>
      <c r="ES14" s="39">
        <v>15857</v>
      </c>
      <c r="ET14" s="1">
        <v>5670</v>
      </c>
      <c r="EU14" s="1">
        <v>0</v>
      </c>
      <c r="EV14" s="1">
        <v>2389</v>
      </c>
      <c r="EW14" s="1">
        <v>16621</v>
      </c>
      <c r="EX14" s="1">
        <v>7449</v>
      </c>
      <c r="EY14" s="10">
        <v>526903</v>
      </c>
      <c r="EZ14" s="39">
        <v>281136</v>
      </c>
      <c r="FA14" s="39">
        <v>213194</v>
      </c>
      <c r="FB14" s="39">
        <v>34075</v>
      </c>
      <c r="FC14" s="382">
        <f t="shared" si="470"/>
        <v>32573</v>
      </c>
      <c r="FD14" s="230">
        <v>211250</v>
      </c>
      <c r="FE14" s="231">
        <v>305610</v>
      </c>
      <c r="FF14" s="231">
        <v>530109</v>
      </c>
      <c r="FG14" s="231">
        <v>763363</v>
      </c>
      <c r="FH14" s="10">
        <v>1315827</v>
      </c>
      <c r="FI14" s="39">
        <v>1041640.873</v>
      </c>
      <c r="FJ14" s="39">
        <v>233719.42500000002</v>
      </c>
      <c r="FK14" s="39">
        <v>28819.657999999999</v>
      </c>
      <c r="FL14" s="207">
        <v>10138.412</v>
      </c>
      <c r="FM14" s="3">
        <v>1733122</v>
      </c>
      <c r="FN14" s="39">
        <v>1345122</v>
      </c>
      <c r="FO14" s="39">
        <v>360271</v>
      </c>
      <c r="FP14" s="39">
        <v>35934</v>
      </c>
      <c r="FQ14" s="207">
        <v>27729</v>
      </c>
      <c r="FR14" s="3">
        <v>2076416</v>
      </c>
      <c r="FS14" s="39">
        <v>1517193</v>
      </c>
      <c r="FT14" s="39">
        <v>495518</v>
      </c>
      <c r="FU14" s="39">
        <v>43739</v>
      </c>
      <c r="FV14" s="39">
        <v>63705</v>
      </c>
      <c r="FW14" s="232">
        <v>2197220</v>
      </c>
      <c r="FX14" s="39">
        <v>1530198</v>
      </c>
      <c r="FY14" s="39">
        <v>633231</v>
      </c>
      <c r="FZ14" s="39">
        <v>67224</v>
      </c>
      <c r="GA14" s="39">
        <v>55374</v>
      </c>
      <c r="GB14" s="118">
        <v>2206544</v>
      </c>
      <c r="GC14" s="39">
        <v>1587683</v>
      </c>
      <c r="GD14" s="39">
        <v>546696</v>
      </c>
      <c r="GE14" s="39">
        <v>72165</v>
      </c>
      <c r="GF14" s="39">
        <v>56070</v>
      </c>
      <c r="GG14" s="42">
        <v>2309516</v>
      </c>
      <c r="GH14" s="40">
        <v>1635565</v>
      </c>
      <c r="GI14" s="40">
        <v>599899</v>
      </c>
      <c r="GJ14" s="40">
        <v>74052</v>
      </c>
      <c r="GK14" s="40">
        <v>61694</v>
      </c>
      <c r="GL14" s="10">
        <v>2368354</v>
      </c>
      <c r="GM14" s="39">
        <v>1656730</v>
      </c>
      <c r="GN14" s="39">
        <v>625525</v>
      </c>
      <c r="GO14" s="39">
        <v>73674</v>
      </c>
      <c r="GP14" s="39">
        <v>65440</v>
      </c>
      <c r="GQ14" s="10">
        <v>2416690.6740000001</v>
      </c>
      <c r="GR14" s="39">
        <v>1682882.3040000002</v>
      </c>
      <c r="GS14" s="39">
        <v>639581.25</v>
      </c>
      <c r="GT14" s="39">
        <v>80002.727999999988</v>
      </c>
      <c r="GU14" s="410">
        <f t="shared" si="471"/>
        <v>94227.119999999879</v>
      </c>
      <c r="GV14" s="39">
        <v>2457149</v>
      </c>
      <c r="GW14" s="39">
        <v>1650554</v>
      </c>
      <c r="GX14" s="39">
        <v>653403</v>
      </c>
      <c r="GY14" s="39">
        <v>83483</v>
      </c>
      <c r="GZ14" s="39">
        <v>93276</v>
      </c>
      <c r="HA14" s="39">
        <v>2493990</v>
      </c>
      <c r="HB14" s="39">
        <v>1669688</v>
      </c>
      <c r="HC14" s="39">
        <v>665701</v>
      </c>
      <c r="HD14" s="39">
        <v>88287</v>
      </c>
      <c r="HE14" s="39">
        <v>94447</v>
      </c>
      <c r="HF14" s="39">
        <v>2558185</v>
      </c>
      <c r="HG14" s="39">
        <v>1692477</v>
      </c>
      <c r="HH14" s="39">
        <v>699940</v>
      </c>
      <c r="HI14" s="39">
        <v>92865</v>
      </c>
      <c r="HJ14" s="39">
        <v>95374</v>
      </c>
      <c r="HK14" s="39">
        <v>2618485</v>
      </c>
      <c r="HL14" s="39">
        <v>1720821</v>
      </c>
      <c r="HM14" s="39">
        <v>721227</v>
      </c>
      <c r="HN14" s="39">
        <v>100211</v>
      </c>
      <c r="HO14" s="39">
        <v>103989</v>
      </c>
      <c r="HP14" s="118">
        <v>2628582</v>
      </c>
      <c r="HQ14" s="39">
        <v>1720971</v>
      </c>
      <c r="HR14" s="39">
        <v>729113</v>
      </c>
      <c r="HS14" s="39">
        <v>98749</v>
      </c>
      <c r="HT14" s="39">
        <v>110433</v>
      </c>
      <c r="HU14" s="394">
        <v>43251</v>
      </c>
      <c r="HV14" s="1">
        <v>0</v>
      </c>
      <c r="HW14" s="1">
        <v>11462</v>
      </c>
      <c r="HX14" s="1">
        <v>30371</v>
      </c>
      <c r="HY14" s="1">
        <v>25349</v>
      </c>
      <c r="HZ14" s="118">
        <v>2656458</v>
      </c>
      <c r="IA14" s="39">
        <v>1737717</v>
      </c>
      <c r="IB14" s="39">
        <v>741500</v>
      </c>
      <c r="IC14" s="39">
        <v>97154</v>
      </c>
      <c r="ID14" s="39">
        <v>109097</v>
      </c>
      <c r="IE14" s="393">
        <v>2683174</v>
      </c>
      <c r="IF14" s="394"/>
      <c r="IG14" s="394"/>
      <c r="IH14" s="394"/>
      <c r="II14" s="394"/>
      <c r="IJ14" s="393">
        <v>2699357</v>
      </c>
      <c r="IK14" s="394">
        <v>1722650</v>
      </c>
      <c r="IL14" s="394">
        <v>778698</v>
      </c>
      <c r="IM14" s="394">
        <v>106766</v>
      </c>
      <c r="IN14" s="394">
        <v>123682</v>
      </c>
      <c r="IO14" s="393">
        <v>2701889</v>
      </c>
      <c r="IP14" s="394">
        <v>1703666</v>
      </c>
      <c r="IQ14" s="394">
        <v>749171</v>
      </c>
      <c r="IR14" s="394">
        <v>108017</v>
      </c>
      <c r="IS14" s="394">
        <v>225785</v>
      </c>
      <c r="IT14" s="1">
        <v>44784</v>
      </c>
      <c r="IU14" s="1">
        <v>0</v>
      </c>
      <c r="IV14" s="1">
        <v>11011</v>
      </c>
      <c r="IW14" s="1">
        <v>136688</v>
      </c>
      <c r="IX14" s="1">
        <v>33302</v>
      </c>
      <c r="IY14" s="399">
        <f>145024+147769</f>
        <v>292793</v>
      </c>
      <c r="IZ14" s="394">
        <f>114264+115955</f>
        <v>230219</v>
      </c>
      <c r="JA14" s="394">
        <f>23783+28875</f>
        <v>52658</v>
      </c>
      <c r="JB14" s="394">
        <f>3527+3916</f>
        <v>7443</v>
      </c>
      <c r="JC14" s="406">
        <f>356+763+195+745</f>
        <v>2059</v>
      </c>
      <c r="JD14" s="5">
        <v>520671</v>
      </c>
      <c r="JE14" s="394">
        <v>395945</v>
      </c>
      <c r="JF14" s="394">
        <v>116018</v>
      </c>
      <c r="JG14" s="394">
        <v>13393</v>
      </c>
      <c r="JH14" s="406">
        <v>8708</v>
      </c>
      <c r="JI14" s="5">
        <v>657284</v>
      </c>
      <c r="JJ14" s="394">
        <v>464844</v>
      </c>
      <c r="JK14" s="394">
        <v>171533</v>
      </c>
      <c r="JL14" s="394">
        <v>15892</v>
      </c>
      <c r="JM14" s="406">
        <v>20907</v>
      </c>
      <c r="JN14" s="394">
        <v>665133</v>
      </c>
      <c r="JO14" s="394">
        <v>456157</v>
      </c>
      <c r="JP14" s="394">
        <v>176399</v>
      </c>
      <c r="JQ14" s="394">
        <v>17392</v>
      </c>
      <c r="JR14" s="394">
        <v>21105</v>
      </c>
      <c r="JS14" s="5">
        <v>757630</v>
      </c>
      <c r="JT14" s="394">
        <v>510672</v>
      </c>
      <c r="JU14" s="394">
        <v>220569</v>
      </c>
      <c r="JV14" s="394">
        <v>22990</v>
      </c>
      <c r="JW14" s="406">
        <v>26389</v>
      </c>
      <c r="JX14" s="5">
        <v>777108.81599999999</v>
      </c>
      <c r="JY14" s="394">
        <v>522951.74400000001</v>
      </c>
      <c r="JZ14" s="394">
        <v>225985.375</v>
      </c>
      <c r="KA14" s="394">
        <v>24616.224000000002</v>
      </c>
      <c r="KB14" s="406">
        <v>28171.696999999986</v>
      </c>
      <c r="KC14" s="394">
        <v>791755</v>
      </c>
      <c r="KD14" s="394">
        <v>511335</v>
      </c>
      <c r="KE14" s="394">
        <v>233922</v>
      </c>
      <c r="KF14" s="394">
        <v>26714</v>
      </c>
      <c r="KG14" s="439">
        <v>27785</v>
      </c>
      <c r="KH14" s="439">
        <v>809716</v>
      </c>
      <c r="KI14" s="439">
        <v>519203</v>
      </c>
      <c r="KJ14" s="439">
        <v>240318</v>
      </c>
      <c r="KK14" s="439">
        <v>29132</v>
      </c>
      <c r="KL14" s="439">
        <v>28983</v>
      </c>
      <c r="KM14" s="439">
        <v>823061</v>
      </c>
      <c r="KN14" s="439">
        <v>523926</v>
      </c>
      <c r="KO14" s="439">
        <v>247971</v>
      </c>
      <c r="KP14" s="439">
        <v>31862</v>
      </c>
      <c r="KQ14" s="439">
        <v>27782</v>
      </c>
      <c r="KR14" s="439">
        <v>843894</v>
      </c>
      <c r="KS14" s="439">
        <v>534075</v>
      </c>
      <c r="KT14" s="439">
        <v>253755</v>
      </c>
      <c r="KU14" s="439">
        <v>31506</v>
      </c>
      <c r="KV14" s="439">
        <v>34435</v>
      </c>
      <c r="KW14" s="630">
        <v>841403</v>
      </c>
      <c r="KX14" s="439">
        <v>528984</v>
      </c>
      <c r="KY14" s="439">
        <v>254355</v>
      </c>
      <c r="KZ14" s="439">
        <v>34515</v>
      </c>
      <c r="LA14" s="439">
        <v>33602</v>
      </c>
      <c r="LB14" s="652">
        <v>852407</v>
      </c>
      <c r="LC14" s="653">
        <v>529819</v>
      </c>
      <c r="LD14" s="653">
        <v>265697</v>
      </c>
      <c r="LE14" s="653">
        <v>34754</v>
      </c>
      <c r="LF14" s="653">
        <v>32933</v>
      </c>
      <c r="LG14" s="652">
        <v>852749</v>
      </c>
      <c r="LH14" s="653"/>
      <c r="LI14" s="439"/>
      <c r="LJ14" s="439"/>
      <c r="LK14" s="439"/>
      <c r="LL14" s="652">
        <v>849056</v>
      </c>
      <c r="LM14" s="653">
        <v>521636</v>
      </c>
      <c r="LN14" s="653">
        <v>266370</v>
      </c>
      <c r="LO14" s="653">
        <v>34386</v>
      </c>
      <c r="LP14" s="653">
        <v>37576</v>
      </c>
      <c r="LQ14" s="652">
        <v>854078</v>
      </c>
      <c r="LR14" s="653">
        <v>508200</v>
      </c>
      <c r="LS14" s="653">
        <v>263893</v>
      </c>
      <c r="LT14" s="653">
        <v>32996</v>
      </c>
      <c r="LU14" s="653">
        <v>74102</v>
      </c>
      <c r="LV14" s="1">
        <v>11884</v>
      </c>
      <c r="LW14" s="1">
        <v>0</v>
      </c>
      <c r="LX14" s="1">
        <v>3840</v>
      </c>
      <c r="LY14" s="1">
        <v>48059</v>
      </c>
      <c r="LZ14" s="1">
        <v>10319</v>
      </c>
      <c r="MA14" s="10">
        <v>83049</v>
      </c>
      <c r="MB14" s="39">
        <v>63058</v>
      </c>
      <c r="MC14" s="39">
        <v>17864</v>
      </c>
      <c r="MD14" s="39">
        <v>2722</v>
      </c>
      <c r="ME14" s="207">
        <v>2127</v>
      </c>
      <c r="MF14" s="3">
        <v>95798</v>
      </c>
      <c r="MG14" s="39">
        <v>69796</v>
      </c>
      <c r="MH14" s="39">
        <v>21920</v>
      </c>
      <c r="MI14" s="39">
        <v>2909</v>
      </c>
      <c r="MJ14" s="207">
        <v>4082</v>
      </c>
      <c r="MK14" s="39">
        <v>122911</v>
      </c>
      <c r="ML14" s="39">
        <v>84663</v>
      </c>
      <c r="MM14" s="39">
        <v>31803</v>
      </c>
      <c r="MN14" s="39">
        <v>3315</v>
      </c>
      <c r="MO14" s="39">
        <v>4332</v>
      </c>
      <c r="MP14" s="118">
        <v>142540</v>
      </c>
      <c r="MQ14" s="39">
        <v>99920</v>
      </c>
      <c r="MR14" s="39">
        <v>36589</v>
      </c>
      <c r="MS14" s="39">
        <v>4599</v>
      </c>
      <c r="MT14" s="39">
        <v>6031</v>
      </c>
      <c r="MU14" s="118"/>
      <c r="MV14" s="39"/>
      <c r="MW14" s="39"/>
      <c r="MX14" s="39"/>
      <c r="MY14" s="207"/>
      <c r="MZ14" s="39">
        <v>154698</v>
      </c>
      <c r="NA14" s="39">
        <v>103420</v>
      </c>
      <c r="NB14" s="39">
        <v>40891</v>
      </c>
      <c r="NC14" s="39">
        <v>5686</v>
      </c>
      <c r="ND14" s="39">
        <v>6769</v>
      </c>
      <c r="NE14" s="39">
        <v>160232</v>
      </c>
      <c r="NF14" s="39">
        <v>107896</v>
      </c>
      <c r="NG14" s="39">
        <v>41947</v>
      </c>
      <c r="NH14" s="39">
        <v>6146</v>
      </c>
      <c r="NI14" s="39">
        <v>6427</v>
      </c>
      <c r="NJ14" s="39">
        <v>165066</v>
      </c>
      <c r="NK14" s="39">
        <v>108090</v>
      </c>
      <c r="NL14" s="39">
        <v>46296</v>
      </c>
      <c r="NM14" s="39">
        <v>6049</v>
      </c>
      <c r="NN14" s="39">
        <v>40651</v>
      </c>
      <c r="NO14" s="39">
        <v>189683</v>
      </c>
      <c r="NP14" s="39">
        <v>126544</v>
      </c>
      <c r="NQ14" s="39">
        <v>49001</v>
      </c>
      <c r="NR14" s="39">
        <v>7904</v>
      </c>
      <c r="NS14" s="39">
        <v>8222</v>
      </c>
      <c r="NT14" s="39">
        <v>187288</v>
      </c>
      <c r="NU14" s="39">
        <v>122607</v>
      </c>
      <c r="NV14" s="39">
        <v>51711</v>
      </c>
      <c r="NW14" s="39">
        <v>7444</v>
      </c>
      <c r="NX14" s="39">
        <v>7803</v>
      </c>
      <c r="NY14" s="118">
        <v>185409</v>
      </c>
      <c r="NZ14" s="39">
        <v>121211</v>
      </c>
      <c r="OA14" s="39">
        <v>49076</v>
      </c>
      <c r="OB14" s="39">
        <v>8427</v>
      </c>
      <c r="OC14" s="39">
        <v>8486</v>
      </c>
      <c r="OD14" s="118">
        <v>203074</v>
      </c>
      <c r="OE14" s="39"/>
      <c r="OF14" s="39"/>
      <c r="OG14" s="39"/>
      <c r="OH14" s="39"/>
      <c r="OI14" s="118">
        <v>202310</v>
      </c>
      <c r="OJ14" s="39">
        <v>128557</v>
      </c>
      <c r="OK14" s="39">
        <v>58403</v>
      </c>
      <c r="OL14" s="39">
        <v>8727</v>
      </c>
      <c r="OM14" s="39">
        <v>9797</v>
      </c>
      <c r="ON14" s="118">
        <v>211237</v>
      </c>
      <c r="OO14" s="39">
        <v>131631</v>
      </c>
      <c r="OP14" s="39">
        <v>57677</v>
      </c>
      <c r="OQ14" s="39">
        <v>9648</v>
      </c>
      <c r="OR14" s="39">
        <v>3335</v>
      </c>
      <c r="OS14" s="1">
        <v>3280</v>
      </c>
      <c r="OT14" s="1">
        <v>0</v>
      </c>
      <c r="OU14" s="1">
        <v>837</v>
      </c>
      <c r="OV14" s="1">
        <v>12752</v>
      </c>
      <c r="OW14" s="1">
        <v>3335</v>
      </c>
      <c r="OX14" s="402">
        <f t="shared" si="421"/>
        <v>373198</v>
      </c>
      <c r="OY14" s="382">
        <f t="shared" si="422"/>
        <v>285882</v>
      </c>
      <c r="OZ14" s="382">
        <f t="shared" si="423"/>
        <v>59802</v>
      </c>
      <c r="PA14" s="382">
        <f t="shared" si="424"/>
        <v>49946</v>
      </c>
      <c r="PB14" s="382">
        <f t="shared" si="425"/>
        <v>15037</v>
      </c>
      <c r="PC14" s="402">
        <f t="shared" si="426"/>
        <v>615576</v>
      </c>
      <c r="PD14" s="382">
        <f t="shared" si="427"/>
        <v>482701</v>
      </c>
      <c r="PE14" s="382">
        <f t="shared" si="428"/>
        <v>107395</v>
      </c>
      <c r="PF14" s="382">
        <f t="shared" si="429"/>
        <v>15274</v>
      </c>
      <c r="PG14" s="382">
        <f t="shared" si="430"/>
        <v>25480</v>
      </c>
      <c r="PH14" s="118">
        <v>650158</v>
      </c>
      <c r="PI14" s="39">
        <v>499737</v>
      </c>
      <c r="PJ14" s="39">
        <v>120343</v>
      </c>
      <c r="PK14" s="39">
        <v>20932</v>
      </c>
      <c r="PL14" s="39">
        <v>30078</v>
      </c>
      <c r="PM14" s="39">
        <v>679117</v>
      </c>
      <c r="PN14" s="39">
        <v>512013</v>
      </c>
      <c r="PO14" s="39">
        <v>124897</v>
      </c>
      <c r="PP14" s="39">
        <v>18237</v>
      </c>
      <c r="PQ14" s="39">
        <v>28988</v>
      </c>
      <c r="PR14" s="393"/>
      <c r="PS14" s="394"/>
      <c r="PT14" s="394"/>
      <c r="PU14" s="394"/>
      <c r="PV14" s="394"/>
      <c r="PW14" s="394">
        <v>796128</v>
      </c>
      <c r="PX14" s="394">
        <v>584218</v>
      </c>
      <c r="PY14" s="394">
        <v>153470</v>
      </c>
      <c r="PZ14" s="394">
        <v>26284</v>
      </c>
      <c r="QA14" s="406">
        <v>38226</v>
      </c>
      <c r="QB14" s="394">
        <v>820168</v>
      </c>
      <c r="QC14" s="394">
        <v>600563</v>
      </c>
      <c r="QD14" s="394">
        <v>159879</v>
      </c>
      <c r="QE14" s="394">
        <v>27970</v>
      </c>
      <c r="QF14" s="394">
        <v>38138</v>
      </c>
      <c r="QG14" s="394">
        <v>866662</v>
      </c>
      <c r="QH14" s="394">
        <v>628683</v>
      </c>
      <c r="QI14" s="394">
        <v>173486</v>
      </c>
      <c r="QJ14" s="394">
        <v>29224</v>
      </c>
      <c r="QK14" s="394">
        <v>40651</v>
      </c>
      <c r="QL14" s="393">
        <v>907741</v>
      </c>
      <c r="QM14" s="394">
        <v>653991</v>
      </c>
      <c r="QN14" s="394">
        <v>186444</v>
      </c>
      <c r="QO14" s="394">
        <v>32072</v>
      </c>
      <c r="QP14" s="394">
        <v>42836</v>
      </c>
      <c r="QQ14" s="393">
        <v>915194</v>
      </c>
      <c r="QR14" s="394">
        <v>658826</v>
      </c>
      <c r="QS14" s="394">
        <v>189128</v>
      </c>
      <c r="QT14" s="394">
        <v>29865</v>
      </c>
      <c r="QU14" s="394">
        <v>44106</v>
      </c>
      <c r="QV14" s="393">
        <v>927934</v>
      </c>
      <c r="QW14" s="394">
        <v>670749</v>
      </c>
      <c r="QX14" s="394">
        <v>185528</v>
      </c>
      <c r="QY14" s="394">
        <v>30397</v>
      </c>
      <c r="QZ14" s="394">
        <v>47843</v>
      </c>
      <c r="RA14" s="393">
        <v>961727</v>
      </c>
      <c r="RB14" s="394"/>
      <c r="RC14" s="394"/>
      <c r="RD14" s="394"/>
      <c r="RE14" s="394"/>
      <c r="RF14" s="394">
        <v>986585</v>
      </c>
      <c r="RG14" s="394">
        <v>687874</v>
      </c>
      <c r="RH14" s="394">
        <v>220181</v>
      </c>
      <c r="RI14" s="394">
        <v>33981</v>
      </c>
      <c r="RJ14" s="394">
        <v>54351</v>
      </c>
      <c r="RK14" s="394">
        <v>1035606</v>
      </c>
      <c r="RL14" s="394">
        <v>722626</v>
      </c>
      <c r="RM14" s="394">
        <v>208207</v>
      </c>
      <c r="RN14" s="394">
        <v>43018</v>
      </c>
      <c r="RO14" s="394">
        <v>95745</v>
      </c>
      <c r="RP14" s="1">
        <v>26374</v>
      </c>
      <c r="RQ14" s="1">
        <v>0</v>
      </c>
      <c r="RR14" s="1">
        <v>3049</v>
      </c>
      <c r="RS14" s="1">
        <v>54582</v>
      </c>
      <c r="RT14" s="1">
        <v>11740</v>
      </c>
      <c r="RU14" s="10">
        <v>267055</v>
      </c>
      <c r="RV14" s="3">
        <v>222824</v>
      </c>
      <c r="RW14" s="3">
        <v>39726</v>
      </c>
      <c r="RX14" s="3">
        <v>5394</v>
      </c>
      <c r="RY14" s="3">
        <v>4505</v>
      </c>
      <c r="RZ14" s="10">
        <v>339711</v>
      </c>
      <c r="SA14" s="39">
        <v>271852</v>
      </c>
      <c r="SB14" s="39">
        <v>56197</v>
      </c>
      <c r="SC14" s="39">
        <v>7606</v>
      </c>
      <c r="SD14" s="39">
        <v>11662</v>
      </c>
      <c r="SE14" s="118">
        <v>368810</v>
      </c>
      <c r="SF14" s="39">
        <v>284029</v>
      </c>
      <c r="SG14" s="39">
        <v>63592</v>
      </c>
      <c r="SH14" s="39">
        <v>10020</v>
      </c>
      <c r="SI14" s="39">
        <v>13594</v>
      </c>
      <c r="SJ14" s="118">
        <v>412873</v>
      </c>
      <c r="SK14" s="39">
        <v>322859</v>
      </c>
      <c r="SL14" s="39">
        <v>72821</v>
      </c>
      <c r="SM14" s="39">
        <v>13198</v>
      </c>
      <c r="SN14" s="39">
        <v>17193</v>
      </c>
      <c r="SO14" s="118">
        <v>420933.94200000004</v>
      </c>
      <c r="SP14" s="39">
        <v>330285.31200000003</v>
      </c>
      <c r="SQ14" s="39">
        <v>73338.649999999994</v>
      </c>
      <c r="SR14" s="39">
        <v>13447.752</v>
      </c>
      <c r="SS14" s="39">
        <v>17309.98000000001</v>
      </c>
      <c r="ST14" s="118">
        <v>426147</v>
      </c>
      <c r="SU14" s="39">
        <v>322149</v>
      </c>
      <c r="SV14" s="39">
        <v>74600</v>
      </c>
      <c r="SW14" s="39">
        <v>13860</v>
      </c>
      <c r="SX14" s="39">
        <v>18339</v>
      </c>
      <c r="SY14" s="39">
        <v>436351</v>
      </c>
      <c r="SZ14" s="39">
        <v>328585</v>
      </c>
      <c r="TA14" s="39">
        <v>78413</v>
      </c>
      <c r="TB14" s="39">
        <v>14463</v>
      </c>
      <c r="TC14" s="39">
        <v>17556</v>
      </c>
      <c r="TD14" s="39">
        <v>463860</v>
      </c>
      <c r="TE14" s="39">
        <v>347732</v>
      </c>
      <c r="TF14" s="39">
        <v>84977</v>
      </c>
      <c r="TG14" s="39">
        <v>14285</v>
      </c>
      <c r="TH14" s="39">
        <v>19163</v>
      </c>
      <c r="TI14" s="39">
        <v>470739</v>
      </c>
      <c r="TJ14" s="39">
        <v>349020</v>
      </c>
      <c r="TK14" s="39">
        <v>88604</v>
      </c>
      <c r="TL14" s="39">
        <v>15523</v>
      </c>
      <c r="TM14" s="39">
        <v>20393</v>
      </c>
      <c r="TN14" s="39">
        <v>473299</v>
      </c>
      <c r="TO14" s="39">
        <v>353995</v>
      </c>
      <c r="TP14" s="39">
        <v>87507</v>
      </c>
      <c r="TQ14" s="39">
        <v>15432</v>
      </c>
      <c r="TR14" s="39">
        <v>20281</v>
      </c>
      <c r="TS14" s="118">
        <v>482439</v>
      </c>
      <c r="TT14" s="39">
        <v>363161</v>
      </c>
      <c r="TU14" s="39">
        <v>86576</v>
      </c>
      <c r="TV14" s="39">
        <v>14166</v>
      </c>
      <c r="TW14" s="39">
        <v>21867</v>
      </c>
      <c r="TX14" s="118">
        <v>496634</v>
      </c>
      <c r="TY14" s="39"/>
      <c r="TZ14" s="39"/>
      <c r="UA14" s="39"/>
      <c r="UB14" s="39"/>
      <c r="UC14" s="118">
        <v>503947</v>
      </c>
      <c r="UD14" s="39">
        <v>366441</v>
      </c>
      <c r="UE14" s="39">
        <v>99994</v>
      </c>
      <c r="UF14" s="39">
        <v>16666</v>
      </c>
      <c r="UG14" s="39">
        <v>25064</v>
      </c>
      <c r="UH14" s="118">
        <v>523475</v>
      </c>
      <c r="UI14" s="39">
        <v>379964</v>
      </c>
      <c r="UJ14" s="39">
        <v>91745</v>
      </c>
      <c r="UK14" s="39">
        <v>22694</v>
      </c>
      <c r="UL14" s="39">
        <v>47382</v>
      </c>
      <c r="UM14" s="1">
        <v>13471</v>
      </c>
      <c r="UN14" s="1">
        <v>0</v>
      </c>
      <c r="UO14" s="1">
        <v>1469</v>
      </c>
      <c r="UP14" s="1">
        <v>26027</v>
      </c>
      <c r="UQ14" s="1">
        <v>8405</v>
      </c>
      <c r="UR14" s="588">
        <f t="shared" si="431"/>
        <v>98351</v>
      </c>
      <c r="US14" s="40">
        <v>59640</v>
      </c>
      <c r="UT14" s="40">
        <v>38711</v>
      </c>
      <c r="UU14" s="588">
        <f t="shared" si="432"/>
        <v>11787</v>
      </c>
      <c r="UV14" s="40">
        <v>4132</v>
      </c>
      <c r="UW14" s="40">
        <v>7655</v>
      </c>
      <c r="UX14" s="42">
        <v>167209</v>
      </c>
      <c r="UY14" s="588">
        <f t="shared" si="433"/>
        <v>95507</v>
      </c>
      <c r="UZ14" s="588">
        <f t="shared" si="434"/>
        <v>71702</v>
      </c>
      <c r="VA14" s="588">
        <f t="shared" si="435"/>
        <v>143528</v>
      </c>
      <c r="VB14" s="40">
        <v>85927</v>
      </c>
      <c r="VC14" s="40">
        <v>57601</v>
      </c>
      <c r="VD14" s="588">
        <f t="shared" si="436"/>
        <v>19698</v>
      </c>
      <c r="VE14" s="40">
        <v>6967</v>
      </c>
      <c r="VF14" s="40">
        <v>12731</v>
      </c>
      <c r="VG14" s="588">
        <f t="shared" si="437"/>
        <v>3983</v>
      </c>
      <c r="VH14" s="40">
        <v>2613</v>
      </c>
      <c r="VI14" s="40">
        <v>1370</v>
      </c>
      <c r="VJ14" s="42">
        <v>317223</v>
      </c>
      <c r="VK14" s="588">
        <f t="shared" si="438"/>
        <v>178440</v>
      </c>
      <c r="VL14" s="588">
        <f t="shared" si="439"/>
        <v>138783</v>
      </c>
      <c r="VM14" s="39">
        <f>107251+155128</f>
        <v>262379</v>
      </c>
      <c r="VN14" s="40">
        <v>155128</v>
      </c>
      <c r="VO14" s="40">
        <v>107251</v>
      </c>
      <c r="VP14" s="40">
        <v>23312</v>
      </c>
      <c r="VQ14" s="40">
        <v>31532</v>
      </c>
      <c r="VR14" s="39">
        <f>16425+27001</f>
        <v>43426</v>
      </c>
      <c r="VS14" s="40">
        <v>16425</v>
      </c>
      <c r="VT14" s="40">
        <v>27001</v>
      </c>
      <c r="VU14" s="39">
        <f>2953+4116</f>
        <v>7069</v>
      </c>
      <c r="VV14" s="40">
        <v>4116</v>
      </c>
      <c r="VW14" s="40">
        <v>2953</v>
      </c>
      <c r="VX14" s="233">
        <f t="shared" si="440"/>
        <v>4349</v>
      </c>
      <c r="VY14" s="233">
        <f t="shared" si="441"/>
        <v>2771</v>
      </c>
      <c r="VZ14" s="233">
        <f t="shared" si="442"/>
        <v>1578</v>
      </c>
      <c r="WA14" s="234">
        <f t="shared" si="443"/>
        <v>421</v>
      </c>
      <c r="WB14" s="234">
        <f t="shared" si="444"/>
        <v>322</v>
      </c>
      <c r="WC14" s="234">
        <f t="shared" si="445"/>
        <v>99</v>
      </c>
      <c r="WD14" s="40">
        <v>3928</v>
      </c>
      <c r="WE14" s="40">
        <v>2449</v>
      </c>
      <c r="WF14" s="40">
        <v>1479</v>
      </c>
      <c r="WG14" s="12">
        <f t="shared" si="446"/>
        <v>290149</v>
      </c>
      <c r="WH14" s="588">
        <f t="shared" si="447"/>
        <v>212703</v>
      </c>
      <c r="WI14" s="588">
        <f t="shared" si="448"/>
        <v>196420</v>
      </c>
      <c r="WJ14" s="11">
        <f t="shared" si="449"/>
        <v>222824</v>
      </c>
      <c r="WK14" s="90">
        <f t="shared" si="450"/>
        <v>331383</v>
      </c>
      <c r="WL14" s="40">
        <v>181452</v>
      </c>
      <c r="WM14" s="40">
        <v>149931</v>
      </c>
      <c r="WN14" s="40">
        <v>31251</v>
      </c>
      <c r="WO14" s="40">
        <v>46489</v>
      </c>
      <c r="WP14" s="11">
        <f t="shared" si="451"/>
        <v>41938</v>
      </c>
      <c r="WQ14" s="90">
        <f t="shared" si="452"/>
        <v>61454</v>
      </c>
      <c r="WR14" s="40">
        <v>21925</v>
      </c>
      <c r="WS14" s="40">
        <v>39529</v>
      </c>
      <c r="WT14" s="11">
        <f t="shared" si="453"/>
        <v>8814</v>
      </c>
      <c r="WU14" s="40">
        <v>4964</v>
      </c>
      <c r="WV14" s="40">
        <v>3850</v>
      </c>
      <c r="WW14" s="9">
        <f t="shared" si="454"/>
        <v>12910</v>
      </c>
      <c r="WX14" s="235">
        <f t="shared" si="455"/>
        <v>4362</v>
      </c>
      <c r="WY14" s="235">
        <f t="shared" si="456"/>
        <v>3110</v>
      </c>
      <c r="WZ14" s="236">
        <f t="shared" si="457"/>
        <v>225</v>
      </c>
      <c r="XA14" s="236">
        <f t="shared" si="458"/>
        <v>88</v>
      </c>
      <c r="XB14" s="236">
        <f t="shared" si="459"/>
        <v>137</v>
      </c>
      <c r="XC14" s="589">
        <f t="shared" si="460"/>
        <v>7247</v>
      </c>
      <c r="XD14" s="589">
        <f t="shared" si="461"/>
        <v>4274</v>
      </c>
      <c r="XE14" s="589">
        <f t="shared" si="462"/>
        <v>2973</v>
      </c>
      <c r="XF14" s="40">
        <v>332</v>
      </c>
      <c r="XG14" s="40">
        <v>228</v>
      </c>
      <c r="XH14" s="40">
        <v>3942</v>
      </c>
      <c r="XI14" s="40">
        <v>2745</v>
      </c>
      <c r="XJ14" s="590">
        <v>519778</v>
      </c>
      <c r="XK14" s="40">
        <v>252505</v>
      </c>
      <c r="XL14" s="40">
        <v>267273</v>
      </c>
      <c r="XM14" s="5">
        <f t="shared" si="463"/>
        <v>412905</v>
      </c>
      <c r="XN14" s="5">
        <v>210990</v>
      </c>
      <c r="XO14" s="5">
        <v>201915</v>
      </c>
      <c r="XP14" s="84">
        <f t="shared" si="464"/>
        <v>404104</v>
      </c>
      <c r="XQ14" s="40">
        <v>206431</v>
      </c>
      <c r="XR14" s="40">
        <v>197673</v>
      </c>
      <c r="XS14" s="5">
        <f t="shared" si="465"/>
        <v>85475</v>
      </c>
      <c r="XT14" s="40">
        <v>30446</v>
      </c>
      <c r="XU14" s="40">
        <v>55029</v>
      </c>
      <c r="XV14" s="5">
        <f t="shared" si="466"/>
        <v>12365</v>
      </c>
      <c r="XW14" s="40">
        <v>6231</v>
      </c>
      <c r="XX14" s="40">
        <v>6134</v>
      </c>
      <c r="XY14" s="84">
        <f t="shared" si="467"/>
        <v>21398</v>
      </c>
      <c r="XZ14" s="84">
        <f t="shared" si="468"/>
        <v>11069</v>
      </c>
      <c r="YA14" s="84">
        <f t="shared" si="469"/>
        <v>10329</v>
      </c>
      <c r="YB14" s="587">
        <v>556206</v>
      </c>
      <c r="YC14" s="40">
        <v>427350</v>
      </c>
      <c r="YD14" s="40">
        <v>93094</v>
      </c>
      <c r="YE14" s="40">
        <v>14922</v>
      </c>
      <c r="YF14" s="5">
        <v>24656</v>
      </c>
      <c r="YG14" s="118">
        <v>561225</v>
      </c>
      <c r="YH14" s="39">
        <v>447249</v>
      </c>
      <c r="YI14" s="39">
        <v>89049</v>
      </c>
      <c r="YJ14" s="39">
        <v>24927</v>
      </c>
      <c r="YK14" s="39">
        <v>14902</v>
      </c>
      <c r="YL14" s="118">
        <v>591932</v>
      </c>
      <c r="YM14" s="39">
        <v>467505</v>
      </c>
      <c r="YN14" s="39">
        <v>99935</v>
      </c>
      <c r="YO14" s="39">
        <v>24492</v>
      </c>
      <c r="YP14" s="39">
        <v>16180</v>
      </c>
      <c r="YQ14" s="118">
        <v>612012</v>
      </c>
      <c r="YR14" s="39">
        <v>474757</v>
      </c>
      <c r="YS14" s="39">
        <v>108138</v>
      </c>
      <c r="YT14" s="39">
        <v>29117</v>
      </c>
      <c r="YU14" s="39">
        <v>19295</v>
      </c>
      <c r="YV14" s="10">
        <v>629929.11600000004</v>
      </c>
      <c r="YW14" s="39">
        <v>487564.03200000001</v>
      </c>
      <c r="YX14" s="39">
        <v>110860.75</v>
      </c>
      <c r="YY14" s="39">
        <v>20057.664000000001</v>
      </c>
      <c r="YZ14" s="39">
        <v>31504.334000000032</v>
      </c>
      <c r="ZA14" s="39">
        <v>641430</v>
      </c>
      <c r="ZB14" s="39">
        <v>480798</v>
      </c>
      <c r="ZC14" s="39">
        <v>112579</v>
      </c>
      <c r="ZD14" s="39">
        <v>20598</v>
      </c>
      <c r="ZE14" s="1">
        <v>31457</v>
      </c>
      <c r="ZF14" s="1">
        <v>659936</v>
      </c>
      <c r="ZG14" s="1">
        <v>492667</v>
      </c>
      <c r="ZH14" s="1">
        <v>117932</v>
      </c>
      <c r="ZI14" s="1">
        <v>21824</v>
      </c>
      <c r="ZJ14" s="1">
        <v>31711</v>
      </c>
      <c r="ZK14" s="1">
        <v>701596</v>
      </c>
      <c r="ZL14" s="1">
        <v>520593</v>
      </c>
      <c r="ZM14" s="1">
        <v>127190</v>
      </c>
      <c r="ZN14" s="1">
        <v>23175</v>
      </c>
      <c r="ZO14" s="1">
        <v>34404</v>
      </c>
      <c r="ZP14" s="1">
        <v>718058</v>
      </c>
      <c r="ZQ14" s="1">
        <v>527447</v>
      </c>
      <c r="ZR14" s="1">
        <v>137443</v>
      </c>
      <c r="ZS14" s="1">
        <v>24168</v>
      </c>
      <c r="ZT14" s="1">
        <v>34614</v>
      </c>
      <c r="ZU14" s="1">
        <v>727906</v>
      </c>
      <c r="ZV14" s="1">
        <v>536219</v>
      </c>
      <c r="ZW14" s="1">
        <v>137417</v>
      </c>
      <c r="ZX14" s="1">
        <v>22421</v>
      </c>
      <c r="ZY14" s="1">
        <v>36303</v>
      </c>
      <c r="ZZ14" s="394">
        <v>23125</v>
      </c>
      <c r="AAA14" s="1">
        <v>0</v>
      </c>
      <c r="AAB14" s="1">
        <v>1427</v>
      </c>
      <c r="AAC14" s="1">
        <v>8318</v>
      </c>
      <c r="AAD14" s="1">
        <v>3433</v>
      </c>
      <c r="AAE14" s="50">
        <v>742525</v>
      </c>
      <c r="AAF14" s="1">
        <v>549538</v>
      </c>
      <c r="AAG14" s="1">
        <v>136452</v>
      </c>
      <c r="AAH14" s="1">
        <v>21970</v>
      </c>
      <c r="AAI14" s="1">
        <v>39357</v>
      </c>
      <c r="AAJ14" s="50">
        <v>758653</v>
      </c>
      <c r="AAK14" s="1"/>
      <c r="AAL14" s="1"/>
      <c r="AAM14" s="1"/>
      <c r="AAN14" s="1"/>
      <c r="AAO14" s="68">
        <v>784275</v>
      </c>
      <c r="AAP14" s="37">
        <v>559317</v>
      </c>
      <c r="AAQ14" s="37">
        <v>161778</v>
      </c>
      <c r="AAR14" s="37">
        <v>25254</v>
      </c>
      <c r="AAS14" s="37">
        <v>44554</v>
      </c>
      <c r="AAT14" s="68">
        <v>824369</v>
      </c>
      <c r="AAU14" s="37">
        <v>590995</v>
      </c>
      <c r="AAV14" s="37">
        <v>150530</v>
      </c>
      <c r="AAW14" s="37">
        <v>33370</v>
      </c>
      <c r="AAX14" s="37">
        <v>75541</v>
      </c>
      <c r="AAY14" s="1">
        <v>23094</v>
      </c>
      <c r="AAZ14" s="1">
        <v>0</v>
      </c>
      <c r="ABA14" s="1">
        <v>2212</v>
      </c>
      <c r="ABB14" s="1">
        <v>41830</v>
      </c>
      <c r="ABC14" s="1">
        <v>8405</v>
      </c>
      <c r="ABD14" s="10">
        <v>180067</v>
      </c>
      <c r="ABE14" s="39">
        <v>141053</v>
      </c>
      <c r="ABF14" s="39">
        <v>29278</v>
      </c>
      <c r="ABG14" s="39">
        <v>4759</v>
      </c>
      <c r="ABH14" s="39">
        <v>9736</v>
      </c>
      <c r="ABI14" s="118">
        <v>187396</v>
      </c>
      <c r="ABJ14" s="39">
        <v>143321</v>
      </c>
      <c r="ABK14" s="39">
        <v>29502</v>
      </c>
      <c r="ABL14" s="39">
        <v>4902</v>
      </c>
      <c r="ABM14" s="39">
        <v>11062</v>
      </c>
      <c r="ABN14" s="10">
        <v>199139</v>
      </c>
      <c r="ABO14" s="39">
        <v>151898</v>
      </c>
      <c r="ABP14" s="39">
        <v>35317</v>
      </c>
      <c r="ABQ14" s="39">
        <v>6097</v>
      </c>
      <c r="ABR14" s="39">
        <v>11924</v>
      </c>
      <c r="ABS14" s="10">
        <v>208995.17399999997</v>
      </c>
      <c r="ABT14" s="39">
        <v>157278.72</v>
      </c>
      <c r="ABU14" s="39">
        <v>37522.100000000006</v>
      </c>
      <c r="ABV14" s="39">
        <v>6609.9119999999994</v>
      </c>
      <c r="ABW14" s="207">
        <v>14194.353999999963</v>
      </c>
      <c r="ABX14" s="1">
        <v>215283</v>
      </c>
      <c r="ABY14" s="1">
        <v>158649</v>
      </c>
      <c r="ABZ14" s="1">
        <v>37979</v>
      </c>
      <c r="ACA14" s="1">
        <v>6738</v>
      </c>
      <c r="ACB14" s="49">
        <v>13118</v>
      </c>
      <c r="ACC14" s="1">
        <v>223585</v>
      </c>
      <c r="ACD14" s="1">
        <v>164082</v>
      </c>
      <c r="ACE14" s="1">
        <v>39519</v>
      </c>
      <c r="ACF14" s="1">
        <v>7361</v>
      </c>
      <c r="ACG14" s="1">
        <v>14155</v>
      </c>
      <c r="ACH14" s="1">
        <v>237736</v>
      </c>
      <c r="ACI14" s="1">
        <v>172861</v>
      </c>
      <c r="ACJ14" s="1">
        <v>42213</v>
      </c>
      <c r="ACK14" s="1">
        <v>8890</v>
      </c>
      <c r="ACL14" s="1">
        <v>15241</v>
      </c>
      <c r="ACM14" s="1">
        <v>247319</v>
      </c>
      <c r="ACN14" s="1">
        <v>178427</v>
      </c>
      <c r="ACO14" s="1">
        <v>48839</v>
      </c>
      <c r="ACP14" s="1">
        <v>8645</v>
      </c>
      <c r="ACQ14" s="1">
        <v>14221</v>
      </c>
      <c r="ACR14" s="1">
        <v>254607</v>
      </c>
      <c r="ACS14" s="1">
        <v>182224</v>
      </c>
      <c r="ACT14" s="1">
        <v>49910</v>
      </c>
      <c r="ACU14" s="1">
        <v>6989</v>
      </c>
      <c r="ACV14" s="1">
        <v>16022</v>
      </c>
      <c r="ADB14" s="50">
        <v>260086</v>
      </c>
      <c r="ADC14" s="1">
        <v>186377</v>
      </c>
      <c r="ADD14" s="1">
        <v>49876</v>
      </c>
      <c r="ADE14" s="1">
        <v>7804</v>
      </c>
      <c r="ADF14" s="1">
        <v>17490</v>
      </c>
      <c r="ADG14" s="50">
        <v>262019</v>
      </c>
      <c r="ADL14" s="50">
        <v>280328</v>
      </c>
      <c r="ADM14" s="1">
        <v>192876</v>
      </c>
      <c r="ADN14" s="1">
        <v>61784</v>
      </c>
      <c r="ADO14" s="1">
        <v>8588</v>
      </c>
      <c r="ADP14" s="1">
        <v>19490</v>
      </c>
      <c r="ADQ14" s="50">
        <v>300894</v>
      </c>
      <c r="ADR14" s="1">
        <v>211031</v>
      </c>
      <c r="ADS14" s="1">
        <v>58785</v>
      </c>
      <c r="ADT14" s="1">
        <v>10676</v>
      </c>
      <c r="ADU14" s="1">
        <v>28159</v>
      </c>
      <c r="ADV14" s="1">
        <v>9623</v>
      </c>
      <c r="ADW14" s="1">
        <v>0</v>
      </c>
      <c r="ADX14" s="1">
        <v>743</v>
      </c>
      <c r="ADY14" s="1">
        <v>15803</v>
      </c>
      <c r="ADZ14" s="1">
        <v>1990</v>
      </c>
    </row>
    <row r="15" spans="1:806" ht="14.1">
      <c r="A15" s="138" t="s">
        <v>15</v>
      </c>
      <c r="B15" s="118">
        <f>32183+95762+69507+29742+102393+82015</f>
        <v>411602</v>
      </c>
      <c r="C15" s="39">
        <f>16933+66954+54964+16920+72357+64383</f>
        <v>292511</v>
      </c>
      <c r="D15" s="39">
        <f>14291+27011+13463+10987+26817+15914</f>
        <v>108483</v>
      </c>
      <c r="E15" s="39">
        <f>453+899+576+797+1634+939</f>
        <v>5298</v>
      </c>
      <c r="F15" s="207">
        <f>130+290+138+318+529+306+75+228+112+890+1297+609</f>
        <v>4922</v>
      </c>
      <c r="G15" s="3">
        <v>246505</v>
      </c>
      <c r="H15" s="39">
        <v>164757</v>
      </c>
      <c r="I15" s="39">
        <v>68386</v>
      </c>
      <c r="J15" s="39">
        <v>11365</v>
      </c>
      <c r="K15" s="207">
        <v>13362</v>
      </c>
      <c r="L15" s="3">
        <v>178169</v>
      </c>
      <c r="M15" s="39">
        <v>102464</v>
      </c>
      <c r="N15" s="39">
        <v>47404</v>
      </c>
      <c r="O15" s="39">
        <v>27827</v>
      </c>
      <c r="P15" s="207">
        <v>28301</v>
      </c>
      <c r="Q15" s="39">
        <v>160153</v>
      </c>
      <c r="R15" s="39">
        <v>66702</v>
      </c>
      <c r="S15" s="39">
        <v>38184</v>
      </c>
      <c r="T15" s="39">
        <v>44626</v>
      </c>
      <c r="U15" s="207">
        <v>38969</v>
      </c>
      <c r="V15" s="5">
        <v>178669</v>
      </c>
      <c r="W15" s="394">
        <v>90883</v>
      </c>
      <c r="X15" s="394">
        <v>37921</v>
      </c>
      <c r="Y15" s="394">
        <v>68456</v>
      </c>
      <c r="Z15" s="406">
        <v>49865</v>
      </c>
      <c r="AA15" s="394">
        <v>174799</v>
      </c>
      <c r="AB15" s="1">
        <v>51818</v>
      </c>
      <c r="AC15" s="394">
        <v>37911</v>
      </c>
      <c r="AD15" s="394">
        <v>71723</v>
      </c>
      <c r="AE15" s="394">
        <v>55277</v>
      </c>
      <c r="AF15" s="393">
        <v>170082</v>
      </c>
      <c r="AG15" s="394">
        <v>48221</v>
      </c>
      <c r="AH15" s="394">
        <v>37301</v>
      </c>
      <c r="AI15" s="394">
        <v>70025</v>
      </c>
      <c r="AJ15" s="490">
        <v>56445</v>
      </c>
      <c r="AK15" s="490">
        <v>167204</v>
      </c>
      <c r="AL15" s="490">
        <v>44216</v>
      </c>
      <c r="AM15" s="685">
        <v>32985</v>
      </c>
      <c r="AN15" s="685">
        <v>76502</v>
      </c>
      <c r="AO15" s="490">
        <v>52831</v>
      </c>
      <c r="AP15" s="394">
        <v>173874</v>
      </c>
      <c r="AQ15" s="394">
        <v>44010</v>
      </c>
      <c r="AR15" s="394">
        <v>32806</v>
      </c>
      <c r="AS15" s="394">
        <v>82160</v>
      </c>
      <c r="AT15" s="394">
        <v>68248</v>
      </c>
      <c r="AU15" s="393">
        <v>166606</v>
      </c>
      <c r="AV15" s="394">
        <v>41950</v>
      </c>
      <c r="AW15" s="394">
        <v>29621</v>
      </c>
      <c r="AX15" s="394">
        <v>80681</v>
      </c>
      <c r="AY15" s="394">
        <v>62507</v>
      </c>
      <c r="AZ15" s="1">
        <v>12768</v>
      </c>
      <c r="BA15" s="1">
        <v>0</v>
      </c>
      <c r="BB15" s="1">
        <v>939</v>
      </c>
      <c r="BC15" s="1">
        <v>3588</v>
      </c>
      <c r="BD15" s="1">
        <v>45212</v>
      </c>
      <c r="BE15" s="393">
        <v>165505</v>
      </c>
      <c r="BF15" s="394">
        <v>39977</v>
      </c>
      <c r="BG15" s="394">
        <v>30150</v>
      </c>
      <c r="BH15" s="394">
        <v>77491</v>
      </c>
      <c r="BI15" s="394">
        <v>73307</v>
      </c>
      <c r="BJ15" s="393">
        <v>155580</v>
      </c>
      <c r="BK15" s="394"/>
      <c r="BL15" s="394"/>
      <c r="BM15" s="394"/>
      <c r="BN15" s="394"/>
      <c r="BO15" s="393">
        <v>168321</v>
      </c>
      <c r="BP15" s="394">
        <v>36658</v>
      </c>
      <c r="BQ15" s="394">
        <v>32272</v>
      </c>
      <c r="BR15" s="394">
        <v>79935</v>
      </c>
      <c r="BS15" s="394">
        <v>73218</v>
      </c>
      <c r="BT15" s="393">
        <v>160195</v>
      </c>
      <c r="BU15" s="394">
        <v>27881</v>
      </c>
      <c r="BV15" s="394">
        <v>29359</v>
      </c>
      <c r="BW15" s="394">
        <v>80143</v>
      </c>
      <c r="BX15" s="394">
        <v>18260</v>
      </c>
      <c r="BY15" s="1">
        <v>0</v>
      </c>
      <c r="BZ15" s="1">
        <v>2911</v>
      </c>
      <c r="CA15" s="1">
        <v>16693</v>
      </c>
      <c r="CB15" s="1">
        <v>62267</v>
      </c>
      <c r="CC15" s="118">
        <v>427427</v>
      </c>
      <c r="CD15" s="39">
        <v>276455</v>
      </c>
      <c r="CE15" s="39">
        <v>139710</v>
      </c>
      <c r="CF15" s="39">
        <v>80143</v>
      </c>
      <c r="CG15" s="207">
        <v>11262</v>
      </c>
      <c r="CH15" s="3">
        <v>386917</v>
      </c>
      <c r="CI15" s="39">
        <v>218708</v>
      </c>
      <c r="CJ15" s="39">
        <v>141012</v>
      </c>
      <c r="CK15" s="39">
        <v>19566</v>
      </c>
      <c r="CL15" s="207">
        <v>27197</v>
      </c>
      <c r="CM15" s="1">
        <v>324805</v>
      </c>
      <c r="CN15" s="39">
        <v>165620</v>
      </c>
      <c r="CO15" s="39">
        <v>121797</v>
      </c>
      <c r="CP15" s="39">
        <v>25071</v>
      </c>
      <c r="CQ15" s="207">
        <v>27635</v>
      </c>
      <c r="CR15" s="3">
        <v>283929</v>
      </c>
      <c r="CS15" s="39">
        <v>150715</v>
      </c>
      <c r="CT15" s="39">
        <v>103910</v>
      </c>
      <c r="CU15" s="39">
        <v>33216</v>
      </c>
      <c r="CV15" s="207">
        <v>29304</v>
      </c>
      <c r="CW15" s="39">
        <v>271251</v>
      </c>
      <c r="CX15" s="39">
        <v>125129</v>
      </c>
      <c r="CY15" s="39">
        <v>97978</v>
      </c>
      <c r="CZ15" s="39">
        <v>35543</v>
      </c>
      <c r="DA15" s="39">
        <v>31744</v>
      </c>
      <c r="DB15" s="39">
        <v>266447</v>
      </c>
      <c r="DC15" s="39">
        <v>120156</v>
      </c>
      <c r="DD15" s="39">
        <v>95685</v>
      </c>
      <c r="DE15" s="39">
        <v>37272</v>
      </c>
      <c r="DF15" s="39">
        <v>33063</v>
      </c>
      <c r="DG15" s="39">
        <v>255410</v>
      </c>
      <c r="DH15" s="39">
        <v>113980</v>
      </c>
      <c r="DI15" s="39">
        <v>90925</v>
      </c>
      <c r="DJ15" s="39">
        <v>38483</v>
      </c>
      <c r="DK15" s="39">
        <v>32485</v>
      </c>
      <c r="DL15" s="39">
        <v>251792</v>
      </c>
      <c r="DM15" s="39">
        <v>111320</v>
      </c>
      <c r="DN15" s="39">
        <v>86014</v>
      </c>
      <c r="DO15" s="39">
        <v>40095</v>
      </c>
      <c r="DP15" s="39">
        <v>36835</v>
      </c>
      <c r="DQ15" s="39">
        <v>240623</v>
      </c>
      <c r="DR15" s="39">
        <v>105564</v>
      </c>
      <c r="DS15" s="39">
        <v>85380</v>
      </c>
      <c r="DT15" s="39">
        <v>35053</v>
      </c>
      <c r="DU15" s="39">
        <v>34384</v>
      </c>
      <c r="DV15" s="118">
        <v>254504</v>
      </c>
      <c r="DW15" s="39">
        <v>103461</v>
      </c>
      <c r="DX15" s="39">
        <v>92327</v>
      </c>
      <c r="DY15" s="39">
        <v>44913</v>
      </c>
      <c r="DZ15" s="39">
        <v>42676</v>
      </c>
      <c r="EA15" s="118">
        <v>240551</v>
      </c>
      <c r="EB15" s="39"/>
      <c r="EC15" s="39"/>
      <c r="ED15" s="39"/>
      <c r="EE15" s="39"/>
      <c r="EF15" s="118">
        <v>233831</v>
      </c>
      <c r="EG15" s="39">
        <v>94116</v>
      </c>
      <c r="EH15" s="39">
        <v>86109</v>
      </c>
      <c r="EI15" s="39">
        <v>37802</v>
      </c>
      <c r="EJ15" s="39">
        <v>39758</v>
      </c>
      <c r="EK15" s="118">
        <v>233831</v>
      </c>
      <c r="EL15" s="39">
        <v>94116</v>
      </c>
      <c r="EM15" s="39">
        <v>86109</v>
      </c>
      <c r="EN15" s="39">
        <v>37802</v>
      </c>
      <c r="EO15" s="39">
        <v>39758</v>
      </c>
      <c r="EP15" s="118">
        <v>220623</v>
      </c>
      <c r="EQ15" s="39">
        <v>80554</v>
      </c>
      <c r="ER15" s="39">
        <v>79232</v>
      </c>
      <c r="ES15" s="39">
        <v>40704</v>
      </c>
      <c r="ET15" s="1">
        <v>12575</v>
      </c>
      <c r="EU15" s="1">
        <v>0</v>
      </c>
      <c r="EV15" s="1">
        <v>1371</v>
      </c>
      <c r="EW15" s="1">
        <v>15604</v>
      </c>
      <c r="EX15" s="1">
        <v>28399</v>
      </c>
      <c r="EY15" s="10">
        <v>453028</v>
      </c>
      <c r="EZ15" s="39">
        <v>229996</v>
      </c>
      <c r="FA15" s="39">
        <v>135898</v>
      </c>
      <c r="FB15" s="39">
        <v>105069</v>
      </c>
      <c r="FC15" s="382">
        <f t="shared" si="470"/>
        <v>87134</v>
      </c>
      <c r="FD15" s="230">
        <v>216832</v>
      </c>
      <c r="FE15" s="231">
        <v>420515</v>
      </c>
      <c r="FF15" s="231">
        <v>677409</v>
      </c>
      <c r="FG15" s="231">
        <v>1089763</v>
      </c>
      <c r="FH15" s="10">
        <v>1685553</v>
      </c>
      <c r="FI15" s="39">
        <v>1347247.4920000001</v>
      </c>
      <c r="FJ15" s="39">
        <v>278190.13200000004</v>
      </c>
      <c r="FK15" s="39">
        <v>23655.3</v>
      </c>
      <c r="FL15" s="207">
        <v>33275.457000000002</v>
      </c>
      <c r="FM15" s="3">
        <v>2448733</v>
      </c>
      <c r="FN15" s="39">
        <v>1857829</v>
      </c>
      <c r="FO15" s="39">
        <v>499283</v>
      </c>
      <c r="FP15" s="39">
        <v>47003</v>
      </c>
      <c r="FQ15" s="207">
        <v>91621</v>
      </c>
      <c r="FR15" s="3">
        <v>2930509</v>
      </c>
      <c r="FS15" s="39">
        <v>2025415</v>
      </c>
      <c r="FT15" s="39">
        <v>706552</v>
      </c>
      <c r="FU15" s="39">
        <v>77036</v>
      </c>
      <c r="FV15" s="39">
        <v>198542</v>
      </c>
      <c r="FW15" s="232">
        <v>3214597</v>
      </c>
      <c r="FX15" s="39">
        <v>2042421</v>
      </c>
      <c r="FY15" s="39">
        <v>900700</v>
      </c>
      <c r="FZ15" s="39">
        <v>146307</v>
      </c>
      <c r="GA15" s="39">
        <v>121236</v>
      </c>
      <c r="GB15" s="118">
        <v>3257523</v>
      </c>
      <c r="GC15" s="39">
        <v>2123923</v>
      </c>
      <c r="GD15" s="39">
        <v>861323</v>
      </c>
      <c r="GE15" s="39">
        <v>272277</v>
      </c>
      <c r="GF15" s="39">
        <v>126341</v>
      </c>
      <c r="GG15" s="42">
        <v>3306201</v>
      </c>
      <c r="GH15" s="40">
        <v>2137642</v>
      </c>
      <c r="GI15" s="40">
        <v>889304</v>
      </c>
      <c r="GJ15" s="40">
        <v>279255</v>
      </c>
      <c r="GK15" s="40">
        <v>132613</v>
      </c>
      <c r="GL15" s="10">
        <v>3363476</v>
      </c>
      <c r="GM15" s="39">
        <v>2143785</v>
      </c>
      <c r="GN15" s="39">
        <v>917074</v>
      </c>
      <c r="GO15" s="39">
        <v>150658</v>
      </c>
      <c r="GP15" s="39">
        <v>255146</v>
      </c>
      <c r="GQ15" s="10">
        <v>3419003.3729999997</v>
      </c>
      <c r="GR15" s="39">
        <v>2165798.6800000002</v>
      </c>
      <c r="GS15" s="39">
        <v>942657.94400000002</v>
      </c>
      <c r="GT15" s="39">
        <v>159588.171</v>
      </c>
      <c r="GU15" s="410">
        <f t="shared" si="471"/>
        <v>310546.74899999949</v>
      </c>
      <c r="GV15" s="39">
        <v>3476916</v>
      </c>
      <c r="GW15" s="39">
        <v>2092502</v>
      </c>
      <c r="GX15" s="39">
        <v>960072</v>
      </c>
      <c r="GY15" s="39">
        <v>169784</v>
      </c>
      <c r="GZ15" s="39">
        <v>327075</v>
      </c>
      <c r="HA15" s="39">
        <v>3534269</v>
      </c>
      <c r="HB15" s="39">
        <v>2106839</v>
      </c>
      <c r="HC15" s="39">
        <v>980785</v>
      </c>
      <c r="HD15" s="39">
        <v>182064</v>
      </c>
      <c r="HE15" s="39">
        <v>343410</v>
      </c>
      <c r="HF15" s="39">
        <v>3640199</v>
      </c>
      <c r="HG15" s="39">
        <v>2116938</v>
      </c>
      <c r="HH15" s="39">
        <v>1031889</v>
      </c>
      <c r="HI15" s="39">
        <v>198530</v>
      </c>
      <c r="HJ15" s="39">
        <v>377664</v>
      </c>
      <c r="HK15" s="39">
        <v>3676820</v>
      </c>
      <c r="HL15" s="39">
        <v>2116752</v>
      </c>
      <c r="HM15" s="39">
        <v>1050497</v>
      </c>
      <c r="HN15" s="39">
        <v>199730</v>
      </c>
      <c r="HO15" s="39">
        <v>394300</v>
      </c>
      <c r="HP15" s="118">
        <v>3715279</v>
      </c>
      <c r="HQ15" s="39">
        <v>2115234</v>
      </c>
      <c r="HR15" s="39">
        <v>1076324</v>
      </c>
      <c r="HS15" s="39">
        <v>213662</v>
      </c>
      <c r="HT15" s="39">
        <v>396011</v>
      </c>
      <c r="HU15" s="394">
        <v>243136</v>
      </c>
      <c r="HV15" s="1">
        <v>0</v>
      </c>
      <c r="HW15" s="1">
        <v>8290</v>
      </c>
      <c r="HX15" s="1">
        <v>71340</v>
      </c>
      <c r="HY15" s="1">
        <v>73245</v>
      </c>
      <c r="HZ15" s="118">
        <v>3747595</v>
      </c>
      <c r="IA15" s="39">
        <v>2109032</v>
      </c>
      <c r="IB15" s="39">
        <v>1093637</v>
      </c>
      <c r="IC15" s="39">
        <v>223330</v>
      </c>
      <c r="ID15" s="39">
        <v>429747</v>
      </c>
      <c r="IE15" s="393">
        <v>3771208</v>
      </c>
      <c r="IF15" s="394"/>
      <c r="IG15" s="394"/>
      <c r="IH15" s="394"/>
      <c r="II15" s="394"/>
      <c r="IJ15" s="393">
        <v>3781706</v>
      </c>
      <c r="IK15" s="394">
        <v>2093186</v>
      </c>
      <c r="IL15" s="394">
        <v>1122972</v>
      </c>
      <c r="IM15" s="394">
        <v>241003</v>
      </c>
      <c r="IN15" s="394">
        <v>442440</v>
      </c>
      <c r="IO15" s="393">
        <v>3892442</v>
      </c>
      <c r="IP15" s="394">
        <v>2083559</v>
      </c>
      <c r="IQ15" s="394">
        <v>1133048</v>
      </c>
      <c r="IR15" s="394">
        <v>261629</v>
      </c>
      <c r="IS15" s="394">
        <v>641153</v>
      </c>
      <c r="IT15" s="1">
        <v>261109</v>
      </c>
      <c r="IU15" s="1">
        <v>0</v>
      </c>
      <c r="IV15" s="1">
        <v>11880</v>
      </c>
      <c r="IW15" s="1">
        <v>229460</v>
      </c>
      <c r="IX15" s="1">
        <v>138704</v>
      </c>
      <c r="IY15" s="399">
        <f>170409+194247</f>
        <v>364656</v>
      </c>
      <c r="IZ15" s="394">
        <f>148737+132975</f>
        <v>281712</v>
      </c>
      <c r="JA15" s="394">
        <f>31214+38905</f>
        <v>70119</v>
      </c>
      <c r="JB15" s="394">
        <f>3136+2973</f>
        <v>6109</v>
      </c>
      <c r="JC15" s="406">
        <f>388+2443+365+2915</f>
        <v>6111</v>
      </c>
      <c r="JD15" s="5">
        <v>744137</v>
      </c>
      <c r="JE15" s="394">
        <v>541087</v>
      </c>
      <c r="JF15" s="394">
        <v>179443</v>
      </c>
      <c r="JG15" s="394">
        <v>16616</v>
      </c>
      <c r="JH15" s="406">
        <v>23607</v>
      </c>
      <c r="JI15" s="5">
        <v>897313</v>
      </c>
      <c r="JJ15" s="394">
        <v>583183</v>
      </c>
      <c r="JK15" s="394">
        <v>262880</v>
      </c>
      <c r="JL15" s="394">
        <v>26566</v>
      </c>
      <c r="JM15" s="406">
        <v>51250</v>
      </c>
      <c r="JN15" s="394">
        <v>930682</v>
      </c>
      <c r="JO15" s="394">
        <v>562616</v>
      </c>
      <c r="JP15" s="394">
        <v>286421</v>
      </c>
      <c r="JQ15" s="394">
        <v>37182</v>
      </c>
      <c r="JR15" s="394">
        <v>63687</v>
      </c>
      <c r="JS15" s="5">
        <v>996567</v>
      </c>
      <c r="JT15" s="394">
        <v>596402</v>
      </c>
      <c r="JU15" s="394">
        <v>329399</v>
      </c>
      <c r="JV15" s="394">
        <v>47618</v>
      </c>
      <c r="JW15" s="406">
        <v>70766</v>
      </c>
      <c r="JX15" s="5">
        <v>1006728.06</v>
      </c>
      <c r="JY15" s="394">
        <v>598948.75</v>
      </c>
      <c r="JZ15" s="394">
        <v>335430.91600000003</v>
      </c>
      <c r="KA15" s="394">
        <v>51872.772000000004</v>
      </c>
      <c r="KB15" s="406">
        <v>72348.394000000029</v>
      </c>
      <c r="KC15" s="394">
        <v>1024857</v>
      </c>
      <c r="KD15" s="394">
        <v>571971</v>
      </c>
      <c r="KE15" s="394">
        <v>344676</v>
      </c>
      <c r="KF15" s="394">
        <v>53706</v>
      </c>
      <c r="KG15" s="439">
        <v>78375</v>
      </c>
      <c r="KH15" s="439">
        <v>1036271</v>
      </c>
      <c r="KI15" s="439">
        <v>569508</v>
      </c>
      <c r="KJ15" s="439">
        <v>354487</v>
      </c>
      <c r="KK15" s="439">
        <v>55409</v>
      </c>
      <c r="KL15" s="439">
        <v>81450</v>
      </c>
      <c r="KM15" s="439">
        <v>1042589</v>
      </c>
      <c r="KN15" s="439">
        <v>562279</v>
      </c>
      <c r="KO15" s="439">
        <v>360714</v>
      </c>
      <c r="KP15" s="439">
        <v>59613</v>
      </c>
      <c r="KQ15" s="439">
        <v>85396</v>
      </c>
      <c r="KR15" s="439">
        <v>1055881</v>
      </c>
      <c r="KS15" s="439">
        <v>567219</v>
      </c>
      <c r="KT15" s="439">
        <v>371925</v>
      </c>
      <c r="KU15" s="439">
        <v>54449</v>
      </c>
      <c r="KV15" s="439">
        <v>85440</v>
      </c>
      <c r="KW15" s="630">
        <v>1047680</v>
      </c>
      <c r="KX15" s="439">
        <v>555533</v>
      </c>
      <c r="KY15" s="439">
        <v>359221</v>
      </c>
      <c r="KZ15" s="439">
        <v>64231</v>
      </c>
      <c r="LA15" s="439">
        <v>96059</v>
      </c>
      <c r="LB15" s="652">
        <v>1074187</v>
      </c>
      <c r="LC15" s="653">
        <v>559333</v>
      </c>
      <c r="LD15" s="653">
        <v>380929</v>
      </c>
      <c r="LE15" s="653">
        <v>67220</v>
      </c>
      <c r="LF15" s="653">
        <v>100534</v>
      </c>
      <c r="LG15" s="652">
        <v>1061018</v>
      </c>
      <c r="LH15" s="653"/>
      <c r="LI15" s="439"/>
      <c r="LJ15" s="439"/>
      <c r="LK15" s="439"/>
      <c r="LL15" s="652">
        <v>1040840</v>
      </c>
      <c r="LM15" s="653">
        <v>536438</v>
      </c>
      <c r="LN15" s="653">
        <v>374099</v>
      </c>
      <c r="LO15" s="653">
        <v>66228</v>
      </c>
      <c r="LP15" s="653">
        <v>97321</v>
      </c>
      <c r="LQ15" s="652">
        <v>1055193</v>
      </c>
      <c r="LR15" s="653">
        <v>520406</v>
      </c>
      <c r="LS15" s="653">
        <v>374763</v>
      </c>
      <c r="LT15" s="653">
        <v>71097</v>
      </c>
      <c r="LU15" s="653">
        <v>148978</v>
      </c>
      <c r="LV15" s="1">
        <v>43986</v>
      </c>
      <c r="LW15" s="1">
        <v>0</v>
      </c>
      <c r="LX15" s="1">
        <v>3782</v>
      </c>
      <c r="LY15" s="1">
        <v>65565</v>
      </c>
      <c r="LZ15" s="1">
        <v>35645</v>
      </c>
      <c r="MA15" s="10">
        <v>163304</v>
      </c>
      <c r="MB15" s="39">
        <v>122461</v>
      </c>
      <c r="MC15" s="39">
        <v>33867</v>
      </c>
      <c r="MD15" s="39">
        <v>4142</v>
      </c>
      <c r="ME15" s="207">
        <v>6976</v>
      </c>
      <c r="MF15" s="3">
        <v>186186</v>
      </c>
      <c r="MG15" s="39">
        <v>128796</v>
      </c>
      <c r="MH15" s="39">
        <v>45446</v>
      </c>
      <c r="MI15" s="39">
        <v>5594</v>
      </c>
      <c r="MJ15" s="207">
        <v>11944</v>
      </c>
      <c r="MK15" s="39">
        <v>236373</v>
      </c>
      <c r="ML15" s="39">
        <v>144184</v>
      </c>
      <c r="MM15" s="39">
        <v>67419</v>
      </c>
      <c r="MN15" s="39">
        <v>10344</v>
      </c>
      <c r="MO15" s="39">
        <v>19585</v>
      </c>
      <c r="MP15" s="118">
        <v>237694</v>
      </c>
      <c r="MQ15" s="39">
        <v>151841</v>
      </c>
      <c r="MR15" s="39">
        <v>67066</v>
      </c>
      <c r="MS15" s="39">
        <v>11350</v>
      </c>
      <c r="MT15" s="39">
        <v>18787</v>
      </c>
      <c r="MU15" s="118"/>
      <c r="MV15" s="39"/>
      <c r="MW15" s="39"/>
      <c r="MX15" s="39"/>
      <c r="MY15" s="207"/>
      <c r="MZ15" s="39">
        <v>248236</v>
      </c>
      <c r="NA15" s="39">
        <v>149014</v>
      </c>
      <c r="NB15" s="39">
        <v>71085</v>
      </c>
      <c r="NC15" s="39">
        <v>11068</v>
      </c>
      <c r="ND15" s="39">
        <v>21477</v>
      </c>
      <c r="NE15" s="39">
        <v>249514</v>
      </c>
      <c r="NF15" s="39">
        <v>148212</v>
      </c>
      <c r="NG15" s="39">
        <v>72969</v>
      </c>
      <c r="NH15" s="39">
        <v>10939</v>
      </c>
      <c r="NI15" s="39">
        <v>22091</v>
      </c>
      <c r="NJ15" s="39">
        <v>265874</v>
      </c>
      <c r="NK15" s="39">
        <v>154000</v>
      </c>
      <c r="NL15" s="39">
        <v>77379</v>
      </c>
      <c r="NM15" s="39">
        <v>14631</v>
      </c>
      <c r="NN15" s="39">
        <v>239120</v>
      </c>
      <c r="NO15" s="39">
        <v>266499</v>
      </c>
      <c r="NP15" s="39">
        <v>153149</v>
      </c>
      <c r="NQ15" s="39">
        <v>80817</v>
      </c>
      <c r="NR15" s="39">
        <v>13039</v>
      </c>
      <c r="NS15" s="39">
        <v>25100</v>
      </c>
      <c r="NT15" s="39">
        <v>268485</v>
      </c>
      <c r="NU15" s="39">
        <v>152523</v>
      </c>
      <c r="NV15" s="39">
        <v>75256</v>
      </c>
      <c r="NW15" s="39">
        <v>16171</v>
      </c>
      <c r="NX15" s="39">
        <v>30109</v>
      </c>
      <c r="NY15" s="118">
        <v>285379</v>
      </c>
      <c r="NZ15" s="39">
        <v>158453</v>
      </c>
      <c r="OA15" s="39">
        <v>86751</v>
      </c>
      <c r="OB15" s="39">
        <v>17028</v>
      </c>
      <c r="OC15" s="39">
        <v>32153</v>
      </c>
      <c r="OD15" s="118">
        <v>281787</v>
      </c>
      <c r="OE15" s="39"/>
      <c r="OF15" s="39"/>
      <c r="OG15" s="39"/>
      <c r="OH15" s="39"/>
      <c r="OI15" s="118">
        <v>287293</v>
      </c>
      <c r="OJ15" s="39">
        <v>161555</v>
      </c>
      <c r="OK15" s="39">
        <v>84560</v>
      </c>
      <c r="OL15" s="39">
        <v>17680</v>
      </c>
      <c r="OM15" s="39">
        <v>32861</v>
      </c>
      <c r="ON15" s="118">
        <v>294842</v>
      </c>
      <c r="OO15" s="39">
        <v>156626</v>
      </c>
      <c r="OP15" s="39">
        <v>88852</v>
      </c>
      <c r="OQ15" s="39">
        <v>18430</v>
      </c>
      <c r="OR15" s="39">
        <v>7990</v>
      </c>
      <c r="OS15" s="1">
        <v>18455</v>
      </c>
      <c r="OT15" s="1">
        <v>0</v>
      </c>
      <c r="OU15" s="1">
        <v>950</v>
      </c>
      <c r="OV15" s="1">
        <v>18980</v>
      </c>
      <c r="OW15" s="1">
        <v>7990</v>
      </c>
      <c r="OX15" s="402">
        <f t="shared" si="421"/>
        <v>833532</v>
      </c>
      <c r="OY15" s="382">
        <f t="shared" si="422"/>
        <v>511823</v>
      </c>
      <c r="OZ15" s="382">
        <f t="shared" si="423"/>
        <v>109470</v>
      </c>
      <c r="PA15" s="382">
        <f t="shared" si="424"/>
        <v>125344</v>
      </c>
      <c r="PB15" s="382">
        <f t="shared" si="425"/>
        <v>70806</v>
      </c>
      <c r="PC15" s="402">
        <f t="shared" si="426"/>
        <v>1285546</v>
      </c>
      <c r="PD15" s="382">
        <f t="shared" si="427"/>
        <v>943825</v>
      </c>
      <c r="PE15" s="382">
        <f t="shared" si="428"/>
        <v>227070</v>
      </c>
      <c r="PF15" s="382">
        <f t="shared" si="429"/>
        <v>32258</v>
      </c>
      <c r="PG15" s="382">
        <f t="shared" si="430"/>
        <v>114651</v>
      </c>
      <c r="PH15" s="118">
        <v>1290452</v>
      </c>
      <c r="PI15" s="39">
        <v>877913</v>
      </c>
      <c r="PJ15" s="39">
        <v>264735</v>
      </c>
      <c r="PK15" s="39">
        <v>49100</v>
      </c>
      <c r="PL15" s="39">
        <v>147804</v>
      </c>
      <c r="PM15" s="39">
        <v>1519721</v>
      </c>
      <c r="PN15" s="39">
        <v>1022011</v>
      </c>
      <c r="PO15" s="39">
        <v>306032</v>
      </c>
      <c r="PP15" s="39">
        <v>49467</v>
      </c>
      <c r="PQ15" s="39">
        <v>162542</v>
      </c>
      <c r="PR15" s="393"/>
      <c r="PS15" s="394"/>
      <c r="PT15" s="394"/>
      <c r="PU15" s="394"/>
      <c r="PV15" s="394"/>
      <c r="PW15" s="394">
        <v>1683321</v>
      </c>
      <c r="PX15" s="394">
        <v>1083878</v>
      </c>
      <c r="PY15" s="394">
        <v>355107</v>
      </c>
      <c r="PZ15" s="394">
        <v>65565</v>
      </c>
      <c r="QA15" s="406">
        <v>202284</v>
      </c>
      <c r="QB15" s="394">
        <v>1722427</v>
      </c>
      <c r="QC15" s="394">
        <v>1101472</v>
      </c>
      <c r="QD15" s="394">
        <v>365727</v>
      </c>
      <c r="QE15" s="394">
        <v>71443</v>
      </c>
      <c r="QF15" s="394">
        <v>209503</v>
      </c>
      <c r="QG15" s="394">
        <v>1819558</v>
      </c>
      <c r="QH15" s="394">
        <v>1135107</v>
      </c>
      <c r="QI15" s="394">
        <v>392199</v>
      </c>
      <c r="QJ15" s="394">
        <v>83093</v>
      </c>
      <c r="QK15" s="394">
        <v>239120</v>
      </c>
      <c r="QL15" s="393">
        <v>1858113</v>
      </c>
      <c r="QM15" s="394">
        <v>1145310</v>
      </c>
      <c r="QN15" s="394">
        <v>408530</v>
      </c>
      <c r="QO15" s="394">
        <v>81396</v>
      </c>
      <c r="QP15" s="394">
        <v>248963</v>
      </c>
      <c r="QQ15" s="393">
        <v>1889614</v>
      </c>
      <c r="QR15" s="394">
        <v>1152872</v>
      </c>
      <c r="QS15" s="394">
        <v>427102</v>
      </c>
      <c r="QT15" s="394">
        <v>85171</v>
      </c>
      <c r="QU15" s="394">
        <v>251046</v>
      </c>
      <c r="QV15" s="393">
        <v>1937959</v>
      </c>
      <c r="QW15" s="394">
        <v>1170749</v>
      </c>
      <c r="QX15" s="394">
        <v>445010</v>
      </c>
      <c r="QY15" s="394">
        <v>91777</v>
      </c>
      <c r="QZ15" s="394">
        <v>266701</v>
      </c>
      <c r="RA15" s="393">
        <v>1982482</v>
      </c>
      <c r="RB15" s="394"/>
      <c r="RC15" s="394"/>
      <c r="RD15" s="394"/>
      <c r="RE15" s="394"/>
      <c r="RF15" s="394">
        <v>1997523</v>
      </c>
      <c r="RG15" s="394">
        <v>1196641</v>
      </c>
      <c r="RH15" s="394">
        <v>466987</v>
      </c>
      <c r="RI15" s="394">
        <v>96436</v>
      </c>
      <c r="RJ15" s="394">
        <v>274443</v>
      </c>
      <c r="RK15" s="394">
        <v>2113044</v>
      </c>
      <c r="RL15" s="394">
        <v>1218120</v>
      </c>
      <c r="RM15" s="394">
        <v>492676</v>
      </c>
      <c r="RN15" s="394">
        <v>112709</v>
      </c>
      <c r="RO15" s="394">
        <v>383866</v>
      </c>
      <c r="RP15" s="1">
        <v>201988</v>
      </c>
      <c r="RQ15" s="1">
        <v>0</v>
      </c>
      <c r="RR15" s="1">
        <v>4179</v>
      </c>
      <c r="RS15" s="1">
        <v>130838</v>
      </c>
      <c r="RT15" s="1">
        <v>46861</v>
      </c>
      <c r="RU15" s="10">
        <v>486695</v>
      </c>
      <c r="RV15" s="3">
        <v>389362</v>
      </c>
      <c r="RW15" s="3">
        <v>72374</v>
      </c>
      <c r="RX15" s="3">
        <v>9344</v>
      </c>
      <c r="RY15" s="3">
        <v>24959</v>
      </c>
      <c r="RZ15" s="10">
        <v>629304</v>
      </c>
      <c r="SA15" s="39">
        <v>462845</v>
      </c>
      <c r="SB15" s="39">
        <v>113793</v>
      </c>
      <c r="SC15" s="39">
        <v>14759</v>
      </c>
      <c r="SD15" s="39">
        <v>52666</v>
      </c>
      <c r="SE15" s="118">
        <v>713837</v>
      </c>
      <c r="SF15" s="39">
        <v>482264</v>
      </c>
      <c r="SG15" s="39">
        <v>144728</v>
      </c>
      <c r="SH15" s="39">
        <v>22872</v>
      </c>
      <c r="SI15" s="39">
        <v>73595</v>
      </c>
      <c r="SJ15" s="118">
        <v>752796</v>
      </c>
      <c r="SK15" s="39">
        <v>508822</v>
      </c>
      <c r="SL15" s="39">
        <v>157594</v>
      </c>
      <c r="SM15" s="39">
        <v>28259</v>
      </c>
      <c r="SN15" s="39">
        <v>86380</v>
      </c>
      <c r="SO15" s="118">
        <v>770534.16899999988</v>
      </c>
      <c r="SP15" s="39">
        <v>517491.72000000009</v>
      </c>
      <c r="SQ15" s="39">
        <v>166097.62400000001</v>
      </c>
      <c r="SR15" s="39">
        <v>30700.212</v>
      </c>
      <c r="SS15" s="39">
        <v>86944.824999999779</v>
      </c>
      <c r="ST15" s="118">
        <v>785504</v>
      </c>
      <c r="SU15" s="39">
        <v>508094</v>
      </c>
      <c r="SV15" s="39">
        <v>166070</v>
      </c>
      <c r="SW15" s="39">
        <v>33200</v>
      </c>
      <c r="SX15" s="39">
        <v>91253</v>
      </c>
      <c r="SY15" s="39">
        <v>804124</v>
      </c>
      <c r="SZ15" s="39">
        <v>516734</v>
      </c>
      <c r="TA15" s="39">
        <v>170198</v>
      </c>
      <c r="TB15" s="39">
        <v>36693</v>
      </c>
      <c r="TC15" s="39">
        <v>94993</v>
      </c>
      <c r="TD15" s="39">
        <v>841315</v>
      </c>
      <c r="TE15" s="39">
        <v>528186</v>
      </c>
      <c r="TF15" s="39">
        <v>182169</v>
      </c>
      <c r="TG15" s="39">
        <v>39422</v>
      </c>
      <c r="TH15" s="39">
        <v>106722</v>
      </c>
      <c r="TI15" s="39">
        <v>866352</v>
      </c>
      <c r="TJ15" s="39">
        <v>528224</v>
      </c>
      <c r="TK15" s="39">
        <v>195017</v>
      </c>
      <c r="TL15" s="39">
        <v>42529</v>
      </c>
      <c r="TM15" s="39">
        <v>114188</v>
      </c>
      <c r="TN15" s="39">
        <v>860491</v>
      </c>
      <c r="TO15" s="39">
        <v>527942</v>
      </c>
      <c r="TP15" s="39">
        <v>200115</v>
      </c>
      <c r="TQ15" s="39">
        <v>38803</v>
      </c>
      <c r="TR15" s="39">
        <v>107310</v>
      </c>
      <c r="TS15" s="118">
        <v>889090</v>
      </c>
      <c r="TT15" s="39">
        <v>542255</v>
      </c>
      <c r="TU15" s="39">
        <v>201304</v>
      </c>
      <c r="TV15" s="39">
        <v>44193</v>
      </c>
      <c r="TW15" s="39">
        <v>120126</v>
      </c>
      <c r="TX15" s="118">
        <v>911761</v>
      </c>
      <c r="TY15" s="39"/>
      <c r="TZ15" s="39"/>
      <c r="UA15" s="39"/>
      <c r="UB15" s="39"/>
      <c r="UC15" s="118">
        <v>911781</v>
      </c>
      <c r="UD15" s="39">
        <v>545221</v>
      </c>
      <c r="UE15" s="39">
        <v>218320</v>
      </c>
      <c r="UF15" s="39">
        <v>46166</v>
      </c>
      <c r="UG15" s="39">
        <v>120949</v>
      </c>
      <c r="UH15" s="118">
        <v>956533</v>
      </c>
      <c r="UI15" s="39">
        <v>554539</v>
      </c>
      <c r="UJ15" s="39">
        <v>228471</v>
      </c>
      <c r="UK15" s="39">
        <v>51252</v>
      </c>
      <c r="UL15" s="39">
        <v>165380</v>
      </c>
      <c r="UM15" s="1">
        <v>84948</v>
      </c>
      <c r="UN15" s="1">
        <v>0</v>
      </c>
      <c r="UO15" s="1">
        <v>2154</v>
      </c>
      <c r="UP15" s="1">
        <v>55743</v>
      </c>
      <c r="UQ15" s="1">
        <v>38871</v>
      </c>
      <c r="UR15" s="588">
        <f t="shared" si="431"/>
        <v>148139</v>
      </c>
      <c r="US15" s="40">
        <v>97801</v>
      </c>
      <c r="UT15" s="40">
        <v>50338</v>
      </c>
      <c r="UU15" s="588">
        <f t="shared" si="432"/>
        <v>9155</v>
      </c>
      <c r="UV15" s="40">
        <v>4067</v>
      </c>
      <c r="UW15" s="40">
        <v>5088</v>
      </c>
      <c r="UX15" s="42">
        <v>291502</v>
      </c>
      <c r="UY15" s="588">
        <f t="shared" si="433"/>
        <v>184343</v>
      </c>
      <c r="UZ15" s="588">
        <f t="shared" si="434"/>
        <v>107159</v>
      </c>
      <c r="VA15" s="588">
        <f t="shared" si="435"/>
        <v>266488</v>
      </c>
      <c r="VB15" s="40">
        <v>171902</v>
      </c>
      <c r="VC15" s="40">
        <v>94586</v>
      </c>
      <c r="VD15" s="588">
        <f t="shared" si="436"/>
        <v>18972</v>
      </c>
      <c r="VE15" s="40">
        <v>8398</v>
      </c>
      <c r="VF15" s="40">
        <v>10574</v>
      </c>
      <c r="VG15" s="588">
        <f t="shared" si="437"/>
        <v>6042</v>
      </c>
      <c r="VH15" s="40">
        <v>4043</v>
      </c>
      <c r="VI15" s="40">
        <v>1999</v>
      </c>
      <c r="VJ15" s="42">
        <v>508696</v>
      </c>
      <c r="VK15" s="588">
        <f t="shared" si="438"/>
        <v>297075</v>
      </c>
      <c r="VL15" s="588">
        <f t="shared" si="439"/>
        <v>211621</v>
      </c>
      <c r="VM15" s="39">
        <f>486695+213845+79758+45866</f>
        <v>826164</v>
      </c>
      <c r="VN15" s="40">
        <v>256821</v>
      </c>
      <c r="VO15" s="40">
        <v>168823</v>
      </c>
      <c r="VP15" s="40">
        <v>40254</v>
      </c>
      <c r="VQ15" s="40">
        <v>42798</v>
      </c>
      <c r="VR15" s="39">
        <f>24533+31150</f>
        <v>55683</v>
      </c>
      <c r="VS15" s="40">
        <v>24533</v>
      </c>
      <c r="VT15" s="40">
        <v>31150</v>
      </c>
      <c r="VU15" s="39">
        <f>3465+4764</f>
        <v>8229</v>
      </c>
      <c r="VV15" s="40">
        <v>4764</v>
      </c>
      <c r="VW15" s="40">
        <v>3465</v>
      </c>
      <c r="VX15" s="233">
        <f t="shared" si="440"/>
        <v>19140</v>
      </c>
      <c r="VY15" s="233">
        <f t="shared" si="441"/>
        <v>10957</v>
      </c>
      <c r="VZ15" s="233">
        <f t="shared" si="442"/>
        <v>8183</v>
      </c>
      <c r="WA15" s="234">
        <f t="shared" si="443"/>
        <v>1063</v>
      </c>
      <c r="WB15" s="234">
        <f t="shared" si="444"/>
        <v>707</v>
      </c>
      <c r="WC15" s="234">
        <f t="shared" si="445"/>
        <v>356</v>
      </c>
      <c r="WD15" s="40">
        <v>18077</v>
      </c>
      <c r="WE15" s="40">
        <v>10250</v>
      </c>
      <c r="WF15" s="40">
        <v>7827</v>
      </c>
      <c r="WG15" s="12">
        <f t="shared" si="446"/>
        <v>670228</v>
      </c>
      <c r="WH15" s="588">
        <f t="shared" si="447"/>
        <v>446177</v>
      </c>
      <c r="WI15" s="588">
        <f t="shared" si="448"/>
        <v>379987</v>
      </c>
      <c r="WJ15" s="11">
        <f t="shared" si="449"/>
        <v>389362</v>
      </c>
      <c r="WK15" s="90">
        <f t="shared" si="450"/>
        <v>652634</v>
      </c>
      <c r="WL15" s="40">
        <v>364776</v>
      </c>
      <c r="WM15" s="40">
        <v>287858</v>
      </c>
      <c r="WN15" s="40">
        <v>81401</v>
      </c>
      <c r="WO15" s="40">
        <v>92129</v>
      </c>
      <c r="WP15" s="11">
        <f t="shared" si="451"/>
        <v>75603</v>
      </c>
      <c r="WQ15" s="90">
        <f t="shared" si="452"/>
        <v>112621</v>
      </c>
      <c r="WR15" s="40">
        <v>48335</v>
      </c>
      <c r="WS15" s="40">
        <v>64286</v>
      </c>
      <c r="WT15" s="11">
        <f t="shared" si="453"/>
        <v>16833</v>
      </c>
      <c r="WU15" s="40">
        <v>9179</v>
      </c>
      <c r="WV15" s="40">
        <v>7654</v>
      </c>
      <c r="WW15" s="9">
        <f t="shared" si="454"/>
        <v>63830</v>
      </c>
      <c r="WX15" s="235">
        <f t="shared" si="455"/>
        <v>23887</v>
      </c>
      <c r="WY15" s="235">
        <f t="shared" si="456"/>
        <v>20189</v>
      </c>
      <c r="WZ15" s="236">
        <f t="shared" si="457"/>
        <v>371</v>
      </c>
      <c r="XA15" s="236">
        <f t="shared" si="458"/>
        <v>191</v>
      </c>
      <c r="XB15" s="236">
        <f t="shared" si="459"/>
        <v>180</v>
      </c>
      <c r="XC15" s="589">
        <f t="shared" si="460"/>
        <v>43705</v>
      </c>
      <c r="XD15" s="589">
        <f t="shared" si="461"/>
        <v>23696</v>
      </c>
      <c r="XE15" s="589">
        <f t="shared" si="462"/>
        <v>20009</v>
      </c>
      <c r="XF15" s="40">
        <v>893</v>
      </c>
      <c r="XG15" s="40">
        <v>747</v>
      </c>
      <c r="XH15" s="40">
        <v>22803</v>
      </c>
      <c r="XI15" s="40">
        <v>19262</v>
      </c>
      <c r="XJ15" s="590">
        <v>1099360</v>
      </c>
      <c r="XK15" s="40">
        <v>548412</v>
      </c>
      <c r="XL15" s="40">
        <v>550948</v>
      </c>
      <c r="XM15" s="5">
        <f t="shared" si="463"/>
        <v>815029</v>
      </c>
      <c r="XN15" s="5">
        <v>421943</v>
      </c>
      <c r="XO15" s="5">
        <v>393086</v>
      </c>
      <c r="XP15" s="84">
        <f t="shared" si="464"/>
        <v>797331</v>
      </c>
      <c r="XQ15" s="40">
        <v>413276</v>
      </c>
      <c r="XR15" s="40">
        <v>384055</v>
      </c>
      <c r="XS15" s="5">
        <f t="shared" si="465"/>
        <v>181624</v>
      </c>
      <c r="XT15" s="40">
        <v>74906</v>
      </c>
      <c r="XU15" s="40">
        <v>106718</v>
      </c>
      <c r="XV15" s="5">
        <f t="shared" si="466"/>
        <v>26664</v>
      </c>
      <c r="XW15" s="40">
        <v>12659</v>
      </c>
      <c r="XX15" s="40">
        <v>14005</v>
      </c>
      <c r="XY15" s="84">
        <f t="shared" si="467"/>
        <v>102707</v>
      </c>
      <c r="XZ15" s="84">
        <f t="shared" si="468"/>
        <v>51563</v>
      </c>
      <c r="YA15" s="84">
        <f t="shared" si="469"/>
        <v>51144</v>
      </c>
      <c r="YB15" s="587">
        <v>1283348</v>
      </c>
      <c r="YC15" s="40">
        <v>877827</v>
      </c>
      <c r="YD15" s="40">
        <v>238613</v>
      </c>
      <c r="YE15" s="40">
        <v>39123</v>
      </c>
      <c r="YF15" s="5">
        <v>142957</v>
      </c>
      <c r="YG15" s="118">
        <v>1308005</v>
      </c>
      <c r="YH15" s="39">
        <v>917339</v>
      </c>
      <c r="YI15" s="39">
        <v>244021</v>
      </c>
      <c r="YJ15" s="39">
        <v>146645</v>
      </c>
      <c r="YK15" s="39">
        <v>40940</v>
      </c>
      <c r="YL15" s="118">
        <v>1331345</v>
      </c>
      <c r="YM15" s="39">
        <v>927118</v>
      </c>
      <c r="YN15" s="39">
        <v>253478</v>
      </c>
      <c r="YO15" s="39">
        <v>150749</v>
      </c>
      <c r="YP15" s="39">
        <v>44408</v>
      </c>
      <c r="YQ15" s="118">
        <v>1361273</v>
      </c>
      <c r="YR15" s="39">
        <v>931631</v>
      </c>
      <c r="YS15" s="39">
        <v>262519</v>
      </c>
      <c r="YT15" s="39">
        <v>167123</v>
      </c>
      <c r="YU15" s="39">
        <v>47903</v>
      </c>
      <c r="YV15" s="10">
        <v>1401675.2220000001</v>
      </c>
      <c r="YW15" s="39">
        <v>951130.61500000022</v>
      </c>
      <c r="YX15" s="39">
        <v>277188.89199999999</v>
      </c>
      <c r="YY15" s="39">
        <v>50814.144</v>
      </c>
      <c r="YZ15" s="39">
        <v>173355.71499999985</v>
      </c>
      <c r="ZA15" s="39">
        <v>1435085</v>
      </c>
      <c r="ZB15" s="39">
        <v>934864</v>
      </c>
      <c r="ZC15" s="39">
        <v>284022</v>
      </c>
      <c r="ZD15" s="39">
        <v>54497</v>
      </c>
      <c r="ZE15" s="1">
        <v>180807</v>
      </c>
      <c r="ZF15" s="1">
        <v>1472913</v>
      </c>
      <c r="ZG15" s="1">
        <v>953260</v>
      </c>
      <c r="ZH15" s="1">
        <v>292758</v>
      </c>
      <c r="ZI15" s="1">
        <v>60504</v>
      </c>
      <c r="ZJ15" s="1">
        <v>187412</v>
      </c>
      <c r="ZK15" s="1">
        <v>1553684</v>
      </c>
      <c r="ZL15" s="1">
        <v>981107</v>
      </c>
      <c r="ZM15" s="1">
        <v>314820</v>
      </c>
      <c r="ZN15" s="1">
        <v>68462</v>
      </c>
      <c r="ZO15" s="1">
        <v>213301</v>
      </c>
      <c r="ZP15" s="1">
        <v>1591614</v>
      </c>
      <c r="ZQ15" s="1">
        <v>992161</v>
      </c>
      <c r="ZR15" s="1">
        <v>327713</v>
      </c>
      <c r="ZS15" s="1">
        <v>68357</v>
      </c>
      <c r="ZT15" s="1">
        <v>223863</v>
      </c>
      <c r="ZU15" s="1">
        <v>1621129</v>
      </c>
      <c r="ZV15" s="1">
        <v>1000349</v>
      </c>
      <c r="ZW15" s="1">
        <v>351846</v>
      </c>
      <c r="ZX15" s="1">
        <v>69000</v>
      </c>
      <c r="ZY15" s="1">
        <v>220937</v>
      </c>
      <c r="ZZ15" s="394">
        <v>167890</v>
      </c>
      <c r="AAA15" s="1">
        <v>0</v>
      </c>
      <c r="AAB15" s="1">
        <v>2753</v>
      </c>
      <c r="AAC15" s="1">
        <v>33109</v>
      </c>
      <c r="AAD15" s="1">
        <v>17185</v>
      </c>
      <c r="AAE15" s="50">
        <v>1652580</v>
      </c>
      <c r="AAF15" s="1">
        <v>1012296</v>
      </c>
      <c r="AAG15" s="1">
        <v>358259</v>
      </c>
      <c r="AAH15" s="1">
        <v>74749</v>
      </c>
      <c r="AAI15" s="1">
        <v>234548</v>
      </c>
      <c r="AAJ15" s="50">
        <v>1700695</v>
      </c>
      <c r="AAK15" s="1"/>
      <c r="AAL15" s="1"/>
      <c r="AAM15" s="1"/>
      <c r="AAN15" s="1"/>
      <c r="AAO15" s="68">
        <v>1710230</v>
      </c>
      <c r="AAP15" s="37">
        <v>1035086</v>
      </c>
      <c r="AAQ15" s="37">
        <v>382427</v>
      </c>
      <c r="AAR15" s="37">
        <v>78756</v>
      </c>
      <c r="AAS15" s="37">
        <v>241582</v>
      </c>
      <c r="AAT15" s="68">
        <v>1818202</v>
      </c>
      <c r="AAU15" s="37">
        <v>1061494</v>
      </c>
      <c r="AAV15" s="37">
        <v>403824</v>
      </c>
      <c r="AAW15" s="37">
        <v>94279</v>
      </c>
      <c r="AAX15" s="37">
        <v>337491</v>
      </c>
      <c r="AAY15" s="1">
        <v>183533</v>
      </c>
      <c r="AAZ15" s="1">
        <v>0</v>
      </c>
      <c r="ABA15" s="1">
        <v>3229</v>
      </c>
      <c r="ABB15" s="1">
        <v>111858</v>
      </c>
      <c r="ABC15" s="1">
        <v>38871</v>
      </c>
      <c r="ABD15" s="10">
        <v>470056</v>
      </c>
      <c r="ABE15" s="39">
        <v>352184</v>
      </c>
      <c r="ABF15" s="39">
        <v>67831</v>
      </c>
      <c r="ABG15" s="39">
        <v>11905</v>
      </c>
      <c r="ABH15" s="39">
        <v>50041</v>
      </c>
      <c r="ABI15" s="118">
        <v>569511</v>
      </c>
      <c r="ABJ15" s="39">
        <v>395563</v>
      </c>
      <c r="ABK15" s="39">
        <v>93885</v>
      </c>
      <c r="ABL15" s="39">
        <v>16251</v>
      </c>
      <c r="ABM15" s="39">
        <v>69362</v>
      </c>
      <c r="ABN15" s="10">
        <v>608477</v>
      </c>
      <c r="ABO15" s="39">
        <v>422809</v>
      </c>
      <c r="ABP15" s="39">
        <v>104925</v>
      </c>
      <c r="ABQ15" s="39">
        <v>19644</v>
      </c>
      <c r="ABR15" s="39">
        <v>80743</v>
      </c>
      <c r="ABS15" s="10">
        <v>631141.05300000007</v>
      </c>
      <c r="ABT15" s="39">
        <v>433638.89500000008</v>
      </c>
      <c r="ABU15" s="39">
        <v>111091.26800000001</v>
      </c>
      <c r="ABV15" s="39">
        <v>20113.932000000001</v>
      </c>
      <c r="ABW15" s="207">
        <v>86410.889999999985</v>
      </c>
      <c r="ABX15" s="1">
        <v>649581</v>
      </c>
      <c r="ABY15" s="1">
        <v>426770</v>
      </c>
      <c r="ABZ15" s="1">
        <v>117952</v>
      </c>
      <c r="ACA15" s="1">
        <v>21297</v>
      </c>
      <c r="ACB15" s="49">
        <v>89554</v>
      </c>
      <c r="ACC15" s="1">
        <v>668789</v>
      </c>
      <c r="ACD15" s="1">
        <v>436526</v>
      </c>
      <c r="ACE15" s="1">
        <v>122560</v>
      </c>
      <c r="ACF15" s="1">
        <v>23811</v>
      </c>
      <c r="ACG15" s="1">
        <v>92419</v>
      </c>
      <c r="ACH15" s="1">
        <v>712369</v>
      </c>
      <c r="ACI15" s="1">
        <v>452921</v>
      </c>
      <c r="ACJ15" s="1">
        <v>132651</v>
      </c>
      <c r="ACK15" s="1">
        <v>29040</v>
      </c>
      <c r="ACL15" s="1">
        <v>106579</v>
      </c>
      <c r="ACM15" s="1">
        <v>725262</v>
      </c>
      <c r="ACN15" s="1">
        <v>463937</v>
      </c>
      <c r="ACO15" s="1">
        <v>132696</v>
      </c>
      <c r="ACP15" s="1">
        <v>25828</v>
      </c>
      <c r="ACQ15" s="1">
        <v>109675</v>
      </c>
      <c r="ACR15" s="1">
        <v>760638</v>
      </c>
      <c r="ACS15" s="1">
        <v>472407</v>
      </c>
      <c r="ACT15" s="1">
        <v>151731</v>
      </c>
      <c r="ACU15" s="1">
        <v>30197</v>
      </c>
      <c r="ACV15" s="1">
        <v>113627</v>
      </c>
      <c r="ADB15" s="50">
        <v>763490</v>
      </c>
      <c r="ADC15" s="1">
        <v>470041</v>
      </c>
      <c r="ADD15" s="1">
        <v>156955</v>
      </c>
      <c r="ADE15" s="1">
        <v>30556</v>
      </c>
      <c r="ADF15" s="1">
        <v>114422</v>
      </c>
      <c r="ADG15" s="50">
        <v>788934</v>
      </c>
      <c r="ADL15" s="50">
        <v>798449</v>
      </c>
      <c r="ADM15" s="1">
        <v>489865</v>
      </c>
      <c r="ADN15" s="1">
        <v>164107</v>
      </c>
      <c r="ADO15" s="1">
        <v>32590</v>
      </c>
      <c r="ADP15" s="1">
        <v>120633</v>
      </c>
      <c r="ADQ15" s="50">
        <v>861669</v>
      </c>
      <c r="ADR15" s="1">
        <v>506955</v>
      </c>
      <c r="ADS15" s="1">
        <v>175353</v>
      </c>
      <c r="ADT15" s="1">
        <v>43027</v>
      </c>
      <c r="ADU15" s="1">
        <v>172111</v>
      </c>
      <c r="ADV15" s="1">
        <v>98585</v>
      </c>
      <c r="ADW15" s="1">
        <v>0</v>
      </c>
      <c r="ADX15" s="1">
        <v>1075</v>
      </c>
      <c r="ADY15" s="1">
        <v>56115</v>
      </c>
      <c r="ADZ15" s="1">
        <v>16336</v>
      </c>
    </row>
    <row r="16" spans="1:806" ht="14.1">
      <c r="A16" s="138" t="s">
        <v>16</v>
      </c>
      <c r="B16" s="118">
        <f>59135+71133+50843+42735+77508+67421</f>
        <v>368775</v>
      </c>
      <c r="C16" s="39">
        <f>20701+36537+33437+12966+33285+38452</f>
        <v>175378</v>
      </c>
      <c r="D16" s="39">
        <f>37410+33629+16707+28619+42909+28136</f>
        <v>187410</v>
      </c>
      <c r="E16" s="39">
        <f>683+652+537+583+841+523</f>
        <v>3819</v>
      </c>
      <c r="F16" s="207">
        <f>243+195+111+93+119+51+340+189+148+205+255+162</f>
        <v>2111</v>
      </c>
      <c r="G16" s="3">
        <v>240267</v>
      </c>
      <c r="H16" s="39">
        <v>114949</v>
      </c>
      <c r="I16" s="39">
        <v>122616</v>
      </c>
      <c r="J16" s="39">
        <v>1068</v>
      </c>
      <c r="K16" s="207">
        <v>2702</v>
      </c>
      <c r="L16" s="3">
        <v>169178</v>
      </c>
      <c r="M16" s="39">
        <v>80067</v>
      </c>
      <c r="N16" s="39">
        <v>83618</v>
      </c>
      <c r="O16" s="39">
        <v>3734</v>
      </c>
      <c r="P16" s="207">
        <v>5493</v>
      </c>
      <c r="Q16" s="39">
        <v>142032</v>
      </c>
      <c r="R16" s="39">
        <v>67407</v>
      </c>
      <c r="S16" s="39">
        <v>65462</v>
      </c>
      <c r="T16" s="39">
        <v>6506</v>
      </c>
      <c r="U16" s="207">
        <v>6095</v>
      </c>
      <c r="V16" s="5">
        <v>132049</v>
      </c>
      <c r="W16" s="394">
        <v>64478</v>
      </c>
      <c r="X16" s="394">
        <v>60062</v>
      </c>
      <c r="Y16" s="394">
        <v>9393</v>
      </c>
      <c r="Z16" s="406">
        <v>7509</v>
      </c>
      <c r="AA16" s="394">
        <v>119850</v>
      </c>
      <c r="AB16" s="1">
        <v>54055</v>
      </c>
      <c r="AC16" s="394">
        <v>52920</v>
      </c>
      <c r="AD16" s="394">
        <v>9766</v>
      </c>
      <c r="AE16" s="394">
        <v>6425</v>
      </c>
      <c r="AF16" s="393">
        <v>120471</v>
      </c>
      <c r="AG16" s="394">
        <v>54839</v>
      </c>
      <c r="AH16" s="394">
        <v>51623</v>
      </c>
      <c r="AI16" s="394">
        <v>10654</v>
      </c>
      <c r="AJ16" s="490">
        <v>7284</v>
      </c>
      <c r="AK16" s="490">
        <v>113955</v>
      </c>
      <c r="AL16" s="490">
        <v>50731</v>
      </c>
      <c r="AM16" s="685">
        <v>49932</v>
      </c>
      <c r="AN16" s="685">
        <v>10045</v>
      </c>
      <c r="AO16" s="490">
        <v>6228</v>
      </c>
      <c r="AP16" s="394">
        <v>112812</v>
      </c>
      <c r="AQ16" s="394">
        <v>48076</v>
      </c>
      <c r="AR16" s="394">
        <v>49875</v>
      </c>
      <c r="AS16" s="394">
        <v>10891</v>
      </c>
      <c r="AT16" s="394">
        <v>7902</v>
      </c>
      <c r="AU16" s="393">
        <v>94724</v>
      </c>
      <c r="AV16" s="394">
        <v>43467</v>
      </c>
      <c r="AW16" s="394">
        <v>40288</v>
      </c>
      <c r="AX16" s="394">
        <v>8167</v>
      </c>
      <c r="AY16" s="394">
        <v>6629</v>
      </c>
      <c r="AZ16" s="1">
        <v>1790</v>
      </c>
      <c r="BA16" s="1">
        <v>0</v>
      </c>
      <c r="BB16" s="1">
        <v>516</v>
      </c>
      <c r="BC16" s="1">
        <v>933</v>
      </c>
      <c r="BD16" s="1">
        <v>3390</v>
      </c>
      <c r="BE16" s="393">
        <v>94490</v>
      </c>
      <c r="BF16" s="394">
        <v>45586</v>
      </c>
      <c r="BG16" s="394">
        <v>38329</v>
      </c>
      <c r="BH16" s="394">
        <v>6888</v>
      </c>
      <c r="BI16" s="394">
        <v>7875</v>
      </c>
      <c r="BJ16" s="393">
        <v>100599</v>
      </c>
      <c r="BK16" s="394"/>
      <c r="BL16" s="394"/>
      <c r="BM16" s="394"/>
      <c r="BN16" s="394"/>
      <c r="BO16" s="393">
        <v>91377</v>
      </c>
      <c r="BP16" s="394">
        <v>44494</v>
      </c>
      <c r="BQ16" s="394">
        <v>35869</v>
      </c>
      <c r="BR16" s="394">
        <v>9042</v>
      </c>
      <c r="BS16" s="394">
        <v>6324</v>
      </c>
      <c r="BT16" s="393">
        <v>93609</v>
      </c>
      <c r="BU16" s="394">
        <v>39541</v>
      </c>
      <c r="BV16" s="394">
        <v>37660</v>
      </c>
      <c r="BW16" s="394">
        <v>11225</v>
      </c>
      <c r="BX16" s="394">
        <v>2063</v>
      </c>
      <c r="BY16" s="1">
        <v>0</v>
      </c>
      <c r="BZ16" s="1">
        <v>1117</v>
      </c>
      <c r="CA16" s="1">
        <v>6533</v>
      </c>
      <c r="CB16" s="1">
        <v>4758</v>
      </c>
      <c r="CC16" s="118">
        <v>309418</v>
      </c>
      <c r="CD16" s="39">
        <v>185485</v>
      </c>
      <c r="CE16" s="39">
        <v>121868</v>
      </c>
      <c r="CF16" s="39">
        <v>11225</v>
      </c>
      <c r="CG16" s="207">
        <v>2065</v>
      </c>
      <c r="CH16" s="3">
        <v>307852</v>
      </c>
      <c r="CI16" s="39">
        <v>166873</v>
      </c>
      <c r="CJ16" s="39">
        <v>134956</v>
      </c>
      <c r="CK16" s="39">
        <v>4342</v>
      </c>
      <c r="CL16" s="207">
        <v>6023</v>
      </c>
      <c r="CM16" s="1">
        <v>261311</v>
      </c>
      <c r="CN16" s="39">
        <v>137452</v>
      </c>
      <c r="CO16" s="39">
        <v>116108</v>
      </c>
      <c r="CP16" s="39">
        <v>4126</v>
      </c>
      <c r="CQ16" s="207">
        <v>5555</v>
      </c>
      <c r="CR16" s="3">
        <v>237222</v>
      </c>
      <c r="CS16" s="39">
        <v>119465</v>
      </c>
      <c r="CT16" s="39">
        <v>110497</v>
      </c>
      <c r="CU16" s="39">
        <v>6286</v>
      </c>
      <c r="CV16" s="207">
        <v>7260</v>
      </c>
      <c r="CW16" s="39">
        <v>235081</v>
      </c>
      <c r="CX16" s="39">
        <v>113049</v>
      </c>
      <c r="CY16" s="39">
        <v>110955</v>
      </c>
      <c r="CZ16" s="39">
        <v>7115</v>
      </c>
      <c r="DA16" s="39">
        <v>6705</v>
      </c>
      <c r="DB16" s="39">
        <v>229582</v>
      </c>
      <c r="DC16" s="39">
        <v>110578</v>
      </c>
      <c r="DD16" s="39">
        <v>108625</v>
      </c>
      <c r="DE16" s="39">
        <v>7105</v>
      </c>
      <c r="DF16" s="39">
        <v>6632</v>
      </c>
      <c r="DG16" s="39">
        <v>222019</v>
      </c>
      <c r="DH16" s="39">
        <v>104444</v>
      </c>
      <c r="DI16" s="39">
        <v>108543</v>
      </c>
      <c r="DJ16" s="39">
        <v>5775</v>
      </c>
      <c r="DK16" s="39">
        <v>6241</v>
      </c>
      <c r="DL16" s="39">
        <v>209997</v>
      </c>
      <c r="DM16" s="39">
        <v>97188</v>
      </c>
      <c r="DN16" s="39">
        <v>102171</v>
      </c>
      <c r="DO16" s="39">
        <v>7775</v>
      </c>
      <c r="DP16" s="39">
        <v>8225</v>
      </c>
      <c r="DQ16" s="39">
        <v>216010</v>
      </c>
      <c r="DR16" s="39">
        <v>103123</v>
      </c>
      <c r="DS16" s="39">
        <v>102548</v>
      </c>
      <c r="DT16" s="39">
        <v>6628</v>
      </c>
      <c r="DU16" s="39">
        <v>7928</v>
      </c>
      <c r="DV16" s="118">
        <v>211478</v>
      </c>
      <c r="DW16" s="39">
        <v>102175</v>
      </c>
      <c r="DX16" s="39">
        <v>99562</v>
      </c>
      <c r="DY16" s="39">
        <v>6645</v>
      </c>
      <c r="DZ16" s="39">
        <v>5816</v>
      </c>
      <c r="EA16" s="118">
        <v>187996</v>
      </c>
      <c r="EB16" s="39"/>
      <c r="EC16" s="39"/>
      <c r="ED16" s="39"/>
      <c r="EE16" s="39"/>
      <c r="EF16" s="118">
        <v>199540</v>
      </c>
      <c r="EG16" s="39">
        <v>90627</v>
      </c>
      <c r="EH16" s="39">
        <v>98632</v>
      </c>
      <c r="EI16" s="39">
        <v>5815</v>
      </c>
      <c r="EJ16" s="39">
        <v>7952</v>
      </c>
      <c r="EK16" s="118">
        <v>199540</v>
      </c>
      <c r="EL16" s="39">
        <v>90627</v>
      </c>
      <c r="EM16" s="39">
        <v>98632</v>
      </c>
      <c r="EN16" s="39">
        <v>5815</v>
      </c>
      <c r="EO16" s="39">
        <v>7952</v>
      </c>
      <c r="EP16" s="118">
        <v>172380</v>
      </c>
      <c r="EQ16" s="39">
        <v>76847</v>
      </c>
      <c r="ER16" s="39">
        <v>83643</v>
      </c>
      <c r="ES16" s="39">
        <v>5518</v>
      </c>
      <c r="ET16" s="1">
        <v>872</v>
      </c>
      <c r="EU16" s="1">
        <v>0</v>
      </c>
      <c r="EV16" s="1">
        <v>535</v>
      </c>
      <c r="EW16" s="1">
        <v>6956</v>
      </c>
      <c r="EX16" s="1">
        <v>2097</v>
      </c>
      <c r="EY16" s="10">
        <v>363789</v>
      </c>
      <c r="EZ16" s="39">
        <v>183574</v>
      </c>
      <c r="FA16" s="39">
        <v>166121</v>
      </c>
      <c r="FB16" s="39">
        <v>18187</v>
      </c>
      <c r="FC16" s="382">
        <f t="shared" si="470"/>
        <v>14094</v>
      </c>
      <c r="FD16" s="230">
        <v>166013</v>
      </c>
      <c r="FE16" s="231">
        <v>231230</v>
      </c>
      <c r="FF16" s="231">
        <v>317100</v>
      </c>
      <c r="FG16" s="231">
        <v>455591</v>
      </c>
      <c r="FH16" s="10">
        <v>749167</v>
      </c>
      <c r="FI16" s="39">
        <v>610090.88</v>
      </c>
      <c r="FJ16" s="39">
        <v>129978.52800000001</v>
      </c>
      <c r="FK16" s="39">
        <v>4931.4870000000001</v>
      </c>
      <c r="FL16" s="207">
        <v>4093.0960000000005</v>
      </c>
      <c r="FM16" s="3">
        <v>989312</v>
      </c>
      <c r="FN16" s="39">
        <v>761699</v>
      </c>
      <c r="FO16" s="39">
        <v>219376</v>
      </c>
      <c r="FP16" s="39">
        <v>5261</v>
      </c>
      <c r="FQ16" s="207">
        <v>8237</v>
      </c>
      <c r="FR16" s="3">
        <v>1280487</v>
      </c>
      <c r="FS16" s="39">
        <v>923143</v>
      </c>
      <c r="FT16" s="39">
        <v>334043</v>
      </c>
      <c r="FU16" s="39">
        <v>11693</v>
      </c>
      <c r="FV16" s="39">
        <v>23301</v>
      </c>
      <c r="FW16" s="232">
        <v>1426337</v>
      </c>
      <c r="FX16" s="39">
        <v>967079</v>
      </c>
      <c r="FY16" s="39">
        <v>476151</v>
      </c>
      <c r="FZ16" s="39">
        <v>19727</v>
      </c>
      <c r="GA16" s="39">
        <v>15601</v>
      </c>
      <c r="GB16" s="118">
        <v>1453901</v>
      </c>
      <c r="GC16" s="39">
        <v>989387</v>
      </c>
      <c r="GD16" s="39">
        <v>435347</v>
      </c>
      <c r="GE16" s="39">
        <v>29167</v>
      </c>
      <c r="GF16" s="39">
        <v>16762</v>
      </c>
      <c r="GG16" s="42">
        <v>1476655</v>
      </c>
      <c r="GH16" s="40">
        <v>998195</v>
      </c>
      <c r="GI16" s="40">
        <v>446486</v>
      </c>
      <c r="GJ16" s="40">
        <v>31974</v>
      </c>
      <c r="GK16" s="40">
        <v>17820</v>
      </c>
      <c r="GL16" s="10">
        <v>1521403</v>
      </c>
      <c r="GM16" s="39">
        <v>1026635</v>
      </c>
      <c r="GN16" s="39">
        <v>459730</v>
      </c>
      <c r="GO16" s="39">
        <v>22143</v>
      </c>
      <c r="GP16" s="39">
        <v>24998</v>
      </c>
      <c r="GQ16" s="10">
        <v>1538962.8560000001</v>
      </c>
      <c r="GR16" s="39">
        <v>1033363.7</v>
      </c>
      <c r="GS16" s="39">
        <v>470995.19999999995</v>
      </c>
      <c r="GT16" s="39">
        <v>24010.662</v>
      </c>
      <c r="GU16" s="410">
        <f t="shared" si="471"/>
        <v>34603.956000000238</v>
      </c>
      <c r="GV16" s="39">
        <v>1559691</v>
      </c>
      <c r="GW16" s="39">
        <v>1024189</v>
      </c>
      <c r="GX16" s="39">
        <v>484211</v>
      </c>
      <c r="GY16" s="39">
        <v>25290</v>
      </c>
      <c r="GZ16" s="39">
        <v>35801</v>
      </c>
      <c r="HA16" s="39">
        <v>1578035</v>
      </c>
      <c r="HB16" s="39">
        <v>1027240</v>
      </c>
      <c r="HC16" s="39">
        <v>495954</v>
      </c>
      <c r="HD16" s="39">
        <v>27956</v>
      </c>
      <c r="HE16" s="39">
        <v>37409</v>
      </c>
      <c r="HF16" s="39">
        <v>1614736</v>
      </c>
      <c r="HG16" s="39">
        <v>1039992</v>
      </c>
      <c r="HH16" s="39">
        <v>519686</v>
      </c>
      <c r="HI16" s="39">
        <v>27445</v>
      </c>
      <c r="HJ16" s="39">
        <v>39932</v>
      </c>
      <c r="HK16" s="39">
        <v>1629528</v>
      </c>
      <c r="HL16" s="39">
        <v>1047395</v>
      </c>
      <c r="HM16" s="39">
        <v>521974</v>
      </c>
      <c r="HN16" s="39">
        <v>28023</v>
      </c>
      <c r="HO16" s="39">
        <v>40302</v>
      </c>
      <c r="HP16" s="118">
        <v>1646288</v>
      </c>
      <c r="HQ16" s="39">
        <v>1044851</v>
      </c>
      <c r="HR16" s="39">
        <v>543470</v>
      </c>
      <c r="HS16" s="39">
        <v>27042</v>
      </c>
      <c r="HT16" s="39">
        <v>40488</v>
      </c>
      <c r="HU16" s="394">
        <v>15692</v>
      </c>
      <c r="HV16" s="1">
        <v>0</v>
      </c>
      <c r="HW16" s="1">
        <v>5179</v>
      </c>
      <c r="HX16" s="1">
        <v>10233</v>
      </c>
      <c r="HY16" s="1">
        <v>9384</v>
      </c>
      <c r="HZ16" s="118">
        <v>1653373</v>
      </c>
      <c r="IA16" s="39">
        <v>1039581</v>
      </c>
      <c r="IB16" s="39">
        <v>551273</v>
      </c>
      <c r="IC16" s="39">
        <v>28467</v>
      </c>
      <c r="ID16" s="39">
        <v>44347</v>
      </c>
      <c r="IE16" s="393">
        <v>1688688</v>
      </c>
      <c r="IF16" s="394"/>
      <c r="IG16" s="394"/>
      <c r="IH16" s="394"/>
      <c r="II16" s="394"/>
      <c r="IJ16" s="393">
        <v>1688747</v>
      </c>
      <c r="IK16" s="394">
        <v>1055423</v>
      </c>
      <c r="IL16" s="394">
        <v>567525</v>
      </c>
      <c r="IM16" s="394">
        <v>31263</v>
      </c>
      <c r="IN16" s="394">
        <v>45522</v>
      </c>
      <c r="IO16" s="393">
        <v>1702178</v>
      </c>
      <c r="IP16" s="394">
        <v>1039177</v>
      </c>
      <c r="IQ16" s="394">
        <v>553889</v>
      </c>
      <c r="IR16" s="394">
        <v>32963</v>
      </c>
      <c r="IS16" s="394">
        <v>102792</v>
      </c>
      <c r="IT16" s="1">
        <v>14993</v>
      </c>
      <c r="IU16" s="1">
        <v>0</v>
      </c>
      <c r="IV16" s="1">
        <v>6803</v>
      </c>
      <c r="IW16" s="1">
        <v>68158</v>
      </c>
      <c r="IX16" s="1">
        <v>12838</v>
      </c>
      <c r="IY16" s="399">
        <f>88273+93960</f>
        <v>182233</v>
      </c>
      <c r="IZ16" s="394">
        <f>75610+73355</f>
        <v>148965</v>
      </c>
      <c r="JA16" s="394">
        <f>13665+17214</f>
        <v>30879</v>
      </c>
      <c r="JB16" s="394">
        <f>637+682</f>
        <v>1319</v>
      </c>
      <c r="JC16" s="406">
        <f>218+279+194+271</f>
        <v>962</v>
      </c>
      <c r="JD16" s="5">
        <v>338741</v>
      </c>
      <c r="JE16" s="394">
        <v>259601</v>
      </c>
      <c r="JF16" s="394">
        <v>76732</v>
      </c>
      <c r="JG16" s="394">
        <v>1992</v>
      </c>
      <c r="JH16" s="406">
        <v>2408</v>
      </c>
      <c r="JI16" s="5">
        <v>467305</v>
      </c>
      <c r="JJ16" s="394">
        <v>336047</v>
      </c>
      <c r="JK16" s="394">
        <v>123298</v>
      </c>
      <c r="JL16" s="394">
        <v>4382</v>
      </c>
      <c r="JM16" s="406">
        <v>7960</v>
      </c>
      <c r="JN16" s="394">
        <v>502720</v>
      </c>
      <c r="JO16" s="394">
        <v>339024</v>
      </c>
      <c r="JP16" s="394">
        <v>151023</v>
      </c>
      <c r="JQ16" s="394">
        <v>5488</v>
      </c>
      <c r="JR16" s="394">
        <v>9223</v>
      </c>
      <c r="JS16" s="5">
        <v>574465</v>
      </c>
      <c r="JT16" s="394">
        <v>382574</v>
      </c>
      <c r="JU16" s="394">
        <v>179062</v>
      </c>
      <c r="JV16" s="394">
        <v>8257</v>
      </c>
      <c r="JW16" s="406">
        <v>12829</v>
      </c>
      <c r="JX16" s="5">
        <v>584729.69900000002</v>
      </c>
      <c r="JY16" s="394">
        <v>385383.87400000001</v>
      </c>
      <c r="JZ16" s="394">
        <v>187125.12</v>
      </c>
      <c r="KA16" s="394">
        <v>8692.7880000000005</v>
      </c>
      <c r="KB16" s="406">
        <v>12220.705000000016</v>
      </c>
      <c r="KC16" s="394">
        <v>592548</v>
      </c>
      <c r="KD16" s="394">
        <v>379743</v>
      </c>
      <c r="KE16" s="394">
        <v>194519</v>
      </c>
      <c r="KF16" s="394">
        <v>8849</v>
      </c>
      <c r="KG16" s="439">
        <v>12626</v>
      </c>
      <c r="KH16" s="439">
        <v>602484</v>
      </c>
      <c r="KI16" s="439">
        <v>383368</v>
      </c>
      <c r="KJ16" s="439">
        <v>199857</v>
      </c>
      <c r="KK16" s="439">
        <v>9702</v>
      </c>
      <c r="KL16" s="439">
        <v>13197</v>
      </c>
      <c r="KM16" s="439">
        <v>617847</v>
      </c>
      <c r="KN16" s="439">
        <v>390723</v>
      </c>
      <c r="KO16" s="439">
        <v>208973</v>
      </c>
      <c r="KP16" s="439">
        <v>9392</v>
      </c>
      <c r="KQ16" s="439">
        <v>12304</v>
      </c>
      <c r="KR16" s="439">
        <v>617139</v>
      </c>
      <c r="KS16" s="439">
        <v>392178</v>
      </c>
      <c r="KT16" s="439">
        <v>203692</v>
      </c>
      <c r="KU16" s="439">
        <v>8955</v>
      </c>
      <c r="KV16" s="439">
        <v>15261</v>
      </c>
      <c r="KW16" s="630">
        <v>616690</v>
      </c>
      <c r="KX16" s="439">
        <v>382924</v>
      </c>
      <c r="KY16" s="439">
        <v>212765</v>
      </c>
      <c r="KZ16" s="439">
        <v>10313</v>
      </c>
      <c r="LA16" s="439">
        <v>14765</v>
      </c>
      <c r="LB16" s="652">
        <v>629265</v>
      </c>
      <c r="LC16" s="653">
        <v>393417</v>
      </c>
      <c r="LD16" s="653">
        <v>215085</v>
      </c>
      <c r="LE16" s="653">
        <v>8602</v>
      </c>
      <c r="LF16" s="653">
        <v>14751</v>
      </c>
      <c r="LG16" s="652">
        <v>640631</v>
      </c>
      <c r="LH16" s="653"/>
      <c r="LI16" s="439"/>
      <c r="LJ16" s="439"/>
      <c r="LK16" s="439"/>
      <c r="LL16" s="652">
        <v>648387</v>
      </c>
      <c r="LM16" s="653">
        <v>401089</v>
      </c>
      <c r="LN16" s="653">
        <v>223889</v>
      </c>
      <c r="LO16" s="653">
        <v>11205</v>
      </c>
      <c r="LP16" s="653">
        <v>15774</v>
      </c>
      <c r="LQ16" s="652">
        <v>628328</v>
      </c>
      <c r="LR16" s="653">
        <v>379855</v>
      </c>
      <c r="LS16" s="653">
        <v>208661</v>
      </c>
      <c r="LT16" s="653">
        <v>11420</v>
      </c>
      <c r="LU16" s="653">
        <v>36689</v>
      </c>
      <c r="LV16" s="1">
        <v>3533</v>
      </c>
      <c r="LW16" s="1">
        <v>0</v>
      </c>
      <c r="LX16" s="1">
        <v>3539</v>
      </c>
      <c r="LY16" s="1">
        <v>26643</v>
      </c>
      <c r="LZ16" s="1">
        <v>2974</v>
      </c>
      <c r="MA16" s="10">
        <v>79264</v>
      </c>
      <c r="MB16" s="39">
        <v>60193</v>
      </c>
      <c r="MC16" s="39">
        <v>18406</v>
      </c>
      <c r="MD16" s="39">
        <v>539</v>
      </c>
      <c r="ME16" s="207">
        <v>665</v>
      </c>
      <c r="MF16" s="3">
        <v>100561</v>
      </c>
      <c r="MG16" s="39">
        <v>73526</v>
      </c>
      <c r="MH16" s="39">
        <v>25252</v>
      </c>
      <c r="MI16" s="39">
        <v>1046</v>
      </c>
      <c r="MJ16" s="207">
        <v>1783</v>
      </c>
      <c r="MK16" s="39">
        <v>136134</v>
      </c>
      <c r="ML16" s="39">
        <v>93156</v>
      </c>
      <c r="MM16" s="39">
        <v>39700</v>
      </c>
      <c r="MN16" s="39">
        <v>1696</v>
      </c>
      <c r="MO16" s="39">
        <v>2188</v>
      </c>
      <c r="MP16" s="118">
        <v>146824</v>
      </c>
      <c r="MQ16" s="39">
        <v>102276</v>
      </c>
      <c r="MR16" s="39">
        <v>41387</v>
      </c>
      <c r="MS16" s="39">
        <v>2091</v>
      </c>
      <c r="MT16" s="39">
        <v>3161</v>
      </c>
      <c r="MU16" s="118"/>
      <c r="MV16" s="39"/>
      <c r="MW16" s="39"/>
      <c r="MX16" s="39"/>
      <c r="MY16" s="207"/>
      <c r="MZ16" s="39">
        <v>160121</v>
      </c>
      <c r="NA16" s="39">
        <v>109117</v>
      </c>
      <c r="NB16" s="39">
        <v>45850</v>
      </c>
      <c r="NC16" s="39">
        <v>2360</v>
      </c>
      <c r="ND16" s="39">
        <v>3503</v>
      </c>
      <c r="NE16" s="39">
        <v>162080</v>
      </c>
      <c r="NF16" s="39">
        <v>108874</v>
      </c>
      <c r="NG16" s="39">
        <v>48299</v>
      </c>
      <c r="NH16" s="39">
        <v>2225</v>
      </c>
      <c r="NI16" s="39">
        <v>3187</v>
      </c>
      <c r="NJ16" s="39">
        <v>167835</v>
      </c>
      <c r="NK16" s="39">
        <v>109517</v>
      </c>
      <c r="NL16" s="39">
        <v>53825</v>
      </c>
      <c r="NM16" s="39">
        <v>2424</v>
      </c>
      <c r="NN16" s="39">
        <v>14681</v>
      </c>
      <c r="NO16" s="39">
        <v>179135</v>
      </c>
      <c r="NP16" s="39">
        <v>115861</v>
      </c>
      <c r="NQ16" s="39">
        <v>56610</v>
      </c>
      <c r="NR16" s="39">
        <v>3068</v>
      </c>
      <c r="NS16" s="39">
        <v>4248</v>
      </c>
      <c r="NT16" s="39">
        <v>177695</v>
      </c>
      <c r="NU16" s="39">
        <v>112678</v>
      </c>
      <c r="NV16" s="39">
        <v>58416</v>
      </c>
      <c r="NW16" s="39">
        <v>3348</v>
      </c>
      <c r="NX16" s="39">
        <v>4401</v>
      </c>
      <c r="NY16" s="118">
        <v>198080</v>
      </c>
      <c r="NZ16" s="39">
        <v>125677</v>
      </c>
      <c r="OA16" s="39">
        <v>66339</v>
      </c>
      <c r="OB16" s="39">
        <v>2276</v>
      </c>
      <c r="OC16" s="39">
        <v>5152</v>
      </c>
      <c r="OD16" s="118">
        <v>200375</v>
      </c>
      <c r="OE16" s="39"/>
      <c r="OF16" s="39"/>
      <c r="OG16" s="39"/>
      <c r="OH16" s="39"/>
      <c r="OI16" s="118">
        <v>207448</v>
      </c>
      <c r="OJ16" s="39">
        <v>130902</v>
      </c>
      <c r="OK16" s="39">
        <v>69365</v>
      </c>
      <c r="OL16" s="39">
        <v>2899</v>
      </c>
      <c r="OM16" s="39">
        <v>4901</v>
      </c>
      <c r="ON16" s="118">
        <v>199843</v>
      </c>
      <c r="OO16" s="39">
        <v>120813</v>
      </c>
      <c r="OP16" s="39">
        <v>66024</v>
      </c>
      <c r="OQ16" s="39">
        <v>3783</v>
      </c>
      <c r="OR16" s="39">
        <v>1650</v>
      </c>
      <c r="OS16" s="1">
        <v>1148</v>
      </c>
      <c r="OT16" s="1">
        <v>0</v>
      </c>
      <c r="OU16" s="1">
        <v>1339</v>
      </c>
      <c r="OV16" s="1">
        <v>8386</v>
      </c>
      <c r="OW16" s="1">
        <v>1650</v>
      </c>
      <c r="OX16" s="402">
        <f t="shared" si="421"/>
        <v>236306</v>
      </c>
      <c r="OY16" s="382">
        <f t="shared" si="422"/>
        <v>180909</v>
      </c>
      <c r="OZ16" s="382">
        <f t="shared" si="423"/>
        <v>46115</v>
      </c>
      <c r="PA16" s="382">
        <f t="shared" si="424"/>
        <v>21024</v>
      </c>
      <c r="PB16" s="382">
        <f t="shared" si="425"/>
        <v>6829</v>
      </c>
      <c r="PC16" s="402">
        <f t="shared" si="426"/>
        <v>397652</v>
      </c>
      <c r="PD16" s="382">
        <f t="shared" si="427"/>
        <v>307841</v>
      </c>
      <c r="PE16" s="382">
        <f t="shared" si="428"/>
        <v>81024</v>
      </c>
      <c r="PF16" s="382">
        <f t="shared" si="429"/>
        <v>3433</v>
      </c>
      <c r="PG16" s="382">
        <f t="shared" si="430"/>
        <v>8787</v>
      </c>
      <c r="PH16" s="118">
        <v>446649</v>
      </c>
      <c r="PI16" s="39">
        <v>331989</v>
      </c>
      <c r="PJ16" s="39">
        <v>102852</v>
      </c>
      <c r="PK16" s="39">
        <v>5789</v>
      </c>
      <c r="PL16" s="39">
        <v>11808</v>
      </c>
      <c r="PM16" s="39">
        <v>476623</v>
      </c>
      <c r="PN16" s="39">
        <v>354297</v>
      </c>
      <c r="PO16" s="39">
        <v>107826</v>
      </c>
      <c r="PP16" s="39">
        <v>4824</v>
      </c>
      <c r="PQ16" s="39">
        <v>11345</v>
      </c>
      <c r="PR16" s="393"/>
      <c r="PS16" s="394"/>
      <c r="PT16" s="394"/>
      <c r="PU16" s="394"/>
      <c r="PV16" s="394"/>
      <c r="PW16" s="394">
        <v>543805</v>
      </c>
      <c r="PX16" s="394">
        <v>388949</v>
      </c>
      <c r="PY16" s="394">
        <v>135608</v>
      </c>
      <c r="PZ16" s="394">
        <v>7494</v>
      </c>
      <c r="QA16" s="406">
        <v>13983</v>
      </c>
      <c r="QB16" s="394">
        <v>552023</v>
      </c>
      <c r="QC16" s="394">
        <v>392509</v>
      </c>
      <c r="QD16" s="394">
        <v>139871</v>
      </c>
      <c r="QE16" s="394">
        <v>7765</v>
      </c>
      <c r="QF16" s="394">
        <v>14015</v>
      </c>
      <c r="QG16" s="394">
        <v>578788</v>
      </c>
      <c r="QH16" s="394">
        <v>403322</v>
      </c>
      <c r="QI16" s="394">
        <v>155987</v>
      </c>
      <c r="QJ16" s="394">
        <v>7755</v>
      </c>
      <c r="QK16" s="394">
        <v>14681</v>
      </c>
      <c r="QL16" s="393">
        <v>585734</v>
      </c>
      <c r="QM16" s="394">
        <v>408467</v>
      </c>
      <c r="QN16" s="394">
        <v>153250</v>
      </c>
      <c r="QO16" s="394">
        <v>8959</v>
      </c>
      <c r="QP16" s="394">
        <v>17008</v>
      </c>
      <c r="QQ16" s="393">
        <v>603958</v>
      </c>
      <c r="QR16" s="394">
        <v>416744</v>
      </c>
      <c r="QS16" s="394">
        <v>162838</v>
      </c>
      <c r="QT16" s="394">
        <v>8721</v>
      </c>
      <c r="QU16" s="394">
        <v>17846</v>
      </c>
      <c r="QV16" s="393">
        <v>626577</v>
      </c>
      <c r="QW16" s="394">
        <v>427396</v>
      </c>
      <c r="QX16" s="394">
        <v>172076</v>
      </c>
      <c r="QY16" s="394">
        <v>9791</v>
      </c>
      <c r="QZ16" s="394">
        <v>21048</v>
      </c>
      <c r="RA16" s="393">
        <v>659069</v>
      </c>
      <c r="RB16" s="394"/>
      <c r="RC16" s="394"/>
      <c r="RD16" s="394"/>
      <c r="RE16" s="394"/>
      <c r="RF16" s="394">
        <v>649199</v>
      </c>
      <c r="RG16" s="394">
        <v>441146</v>
      </c>
      <c r="RH16" s="394">
        <v>181342</v>
      </c>
      <c r="RI16" s="394">
        <v>8352</v>
      </c>
      <c r="RJ16" s="394">
        <v>20460</v>
      </c>
      <c r="RK16" s="394">
        <v>687506</v>
      </c>
      <c r="RL16" s="394">
        <v>450783</v>
      </c>
      <c r="RM16" s="394">
        <v>189105</v>
      </c>
      <c r="RN16" s="394">
        <v>14503</v>
      </c>
      <c r="RO16" s="394">
        <v>45490</v>
      </c>
      <c r="RP16" s="1">
        <v>9081</v>
      </c>
      <c r="RQ16" s="1">
        <v>0</v>
      </c>
      <c r="RR16" s="1">
        <v>2252</v>
      </c>
      <c r="RS16" s="1">
        <v>27940</v>
      </c>
      <c r="RT16" s="1">
        <v>6217</v>
      </c>
      <c r="RU16" s="10">
        <v>149109</v>
      </c>
      <c r="RV16" s="3">
        <v>120716</v>
      </c>
      <c r="RW16" s="3">
        <v>26796</v>
      </c>
      <c r="RX16" s="3">
        <v>931</v>
      </c>
      <c r="RY16" s="3">
        <v>1597</v>
      </c>
      <c r="RZ16" s="10">
        <v>194325</v>
      </c>
      <c r="SA16" s="39">
        <v>153098</v>
      </c>
      <c r="SB16" s="39">
        <v>37532</v>
      </c>
      <c r="SC16" s="39">
        <v>1471</v>
      </c>
      <c r="SD16" s="39">
        <v>3695</v>
      </c>
      <c r="SE16" s="118">
        <v>223939</v>
      </c>
      <c r="SF16" s="39">
        <v>170788</v>
      </c>
      <c r="SG16" s="39">
        <v>46430</v>
      </c>
      <c r="SH16" s="39">
        <v>2192</v>
      </c>
      <c r="SI16" s="39">
        <v>5443</v>
      </c>
      <c r="SJ16" s="118">
        <v>237998</v>
      </c>
      <c r="SK16" s="39">
        <v>179305</v>
      </c>
      <c r="SL16" s="39">
        <v>52877</v>
      </c>
      <c r="SM16" s="39">
        <v>2731</v>
      </c>
      <c r="SN16" s="39">
        <v>5816</v>
      </c>
      <c r="SO16" s="118">
        <v>238082.125</v>
      </c>
      <c r="SP16" s="39">
        <v>177495.41199999998</v>
      </c>
      <c r="SQ16" s="39">
        <v>54100.800000000003</v>
      </c>
      <c r="SR16" s="39">
        <v>2742.87</v>
      </c>
      <c r="SS16" s="39">
        <v>6485.913000000015</v>
      </c>
      <c r="ST16" s="118">
        <v>243749</v>
      </c>
      <c r="SU16" s="39">
        <v>178033</v>
      </c>
      <c r="SV16" s="39">
        <v>57369</v>
      </c>
      <c r="SW16" s="39">
        <v>3071</v>
      </c>
      <c r="SX16" s="39">
        <v>6290</v>
      </c>
      <c r="SY16" s="39">
        <v>246604</v>
      </c>
      <c r="SZ16" s="39">
        <v>180369</v>
      </c>
      <c r="TA16" s="39">
        <v>57707</v>
      </c>
      <c r="TB16" s="39">
        <v>3291</v>
      </c>
      <c r="TC16" s="39">
        <v>6302</v>
      </c>
      <c r="TD16" s="39">
        <v>254250</v>
      </c>
      <c r="TE16" s="39">
        <v>185090</v>
      </c>
      <c r="TF16" s="39">
        <v>60809</v>
      </c>
      <c r="TG16" s="39">
        <v>3398</v>
      </c>
      <c r="TH16" s="39">
        <v>6649</v>
      </c>
      <c r="TI16" s="39">
        <v>253036</v>
      </c>
      <c r="TJ16" s="39">
        <v>182629</v>
      </c>
      <c r="TK16" s="39">
        <v>60162</v>
      </c>
      <c r="TL16" s="39">
        <v>3417</v>
      </c>
      <c r="TM16" s="39">
        <v>7543</v>
      </c>
      <c r="TN16" s="39">
        <v>264865</v>
      </c>
      <c r="TO16" s="39">
        <v>188631</v>
      </c>
      <c r="TP16" s="39">
        <v>65604</v>
      </c>
      <c r="TQ16" s="39">
        <v>3961</v>
      </c>
      <c r="TR16" s="39">
        <v>7825</v>
      </c>
      <c r="TS16" s="118">
        <v>265220</v>
      </c>
      <c r="TT16" s="39">
        <v>190927</v>
      </c>
      <c r="TU16" s="39">
        <v>62078</v>
      </c>
      <c r="TV16" s="39">
        <v>5431</v>
      </c>
      <c r="TW16" s="39">
        <v>8771</v>
      </c>
      <c r="TX16" s="118">
        <v>284701</v>
      </c>
      <c r="TY16" s="39"/>
      <c r="TZ16" s="39"/>
      <c r="UA16" s="39"/>
      <c r="UB16" s="39"/>
      <c r="UC16" s="118">
        <v>270712</v>
      </c>
      <c r="UD16" s="39">
        <v>193850</v>
      </c>
      <c r="UE16" s="39">
        <v>66072</v>
      </c>
      <c r="UF16" s="39">
        <v>3574</v>
      </c>
      <c r="UG16" s="39">
        <v>8205</v>
      </c>
      <c r="UH16" s="118">
        <v>303656</v>
      </c>
      <c r="UI16" s="39">
        <v>209696</v>
      </c>
      <c r="UJ16" s="39">
        <v>74716</v>
      </c>
      <c r="UK16" s="39">
        <v>6624</v>
      </c>
      <c r="UL16" s="39">
        <v>18145</v>
      </c>
      <c r="UM16" s="1">
        <v>3367</v>
      </c>
      <c r="UN16" s="1">
        <v>0</v>
      </c>
      <c r="UO16" s="1">
        <v>635</v>
      </c>
      <c r="UP16" s="1">
        <v>10895</v>
      </c>
      <c r="UQ16" s="1">
        <v>4567</v>
      </c>
      <c r="UR16" s="588">
        <f t="shared" si="431"/>
        <v>52523</v>
      </c>
      <c r="US16" s="40">
        <v>29682</v>
      </c>
      <c r="UT16" s="40">
        <v>22841</v>
      </c>
      <c r="UU16" s="588">
        <f t="shared" si="432"/>
        <v>6750</v>
      </c>
      <c r="UV16" s="40">
        <v>2471</v>
      </c>
      <c r="UW16" s="40">
        <v>4279</v>
      </c>
      <c r="UX16" s="42">
        <v>89982</v>
      </c>
      <c r="UY16" s="588">
        <f t="shared" si="433"/>
        <v>49067</v>
      </c>
      <c r="UZ16" s="588">
        <f t="shared" si="434"/>
        <v>40915</v>
      </c>
      <c r="VA16" s="588">
        <f t="shared" si="435"/>
        <v>76754</v>
      </c>
      <c r="VB16" s="40">
        <v>44026</v>
      </c>
      <c r="VC16" s="40">
        <v>32728</v>
      </c>
      <c r="VD16" s="588">
        <f t="shared" si="436"/>
        <v>12571</v>
      </c>
      <c r="VE16" s="40">
        <v>4600</v>
      </c>
      <c r="VF16" s="40">
        <v>7971</v>
      </c>
      <c r="VG16" s="588">
        <f t="shared" si="437"/>
        <v>657</v>
      </c>
      <c r="VH16" s="40">
        <v>441</v>
      </c>
      <c r="VI16" s="40">
        <v>216</v>
      </c>
      <c r="VJ16" s="42">
        <v>168086</v>
      </c>
      <c r="VK16" s="588">
        <f t="shared" si="438"/>
        <v>90286</v>
      </c>
      <c r="VL16" s="588">
        <f t="shared" si="439"/>
        <v>77800</v>
      </c>
      <c r="VM16" s="39">
        <f>77981+59158</f>
        <v>137139</v>
      </c>
      <c r="VN16" s="40">
        <v>77981</v>
      </c>
      <c r="VO16" s="40">
        <v>59158</v>
      </c>
      <c r="VP16" s="40">
        <v>12305</v>
      </c>
      <c r="VQ16" s="40">
        <v>18642</v>
      </c>
      <c r="VR16" s="39">
        <f>17483+10852</f>
        <v>28335</v>
      </c>
      <c r="VS16" s="40">
        <v>10852</v>
      </c>
      <c r="VT16" s="40">
        <v>17483</v>
      </c>
      <c r="VU16" s="39">
        <f>595+451</f>
        <v>1046</v>
      </c>
      <c r="VV16" s="40">
        <v>595</v>
      </c>
      <c r="VW16" s="40">
        <v>451</v>
      </c>
      <c r="VX16" s="233">
        <f t="shared" si="440"/>
        <v>1566</v>
      </c>
      <c r="VY16" s="233">
        <f t="shared" si="441"/>
        <v>858</v>
      </c>
      <c r="VZ16" s="233">
        <f t="shared" si="442"/>
        <v>708</v>
      </c>
      <c r="WA16" s="234">
        <f t="shared" si="443"/>
        <v>93</v>
      </c>
      <c r="WB16" s="234">
        <f t="shared" si="444"/>
        <v>65</v>
      </c>
      <c r="WC16" s="234">
        <f t="shared" si="445"/>
        <v>28</v>
      </c>
      <c r="WD16" s="40">
        <v>1473</v>
      </c>
      <c r="WE16" s="40">
        <v>793</v>
      </c>
      <c r="WF16" s="40">
        <v>680</v>
      </c>
      <c r="WG16" s="12">
        <f t="shared" si="446"/>
        <v>157042</v>
      </c>
      <c r="WH16" s="588">
        <f t="shared" si="447"/>
        <v>115653</v>
      </c>
      <c r="WI16" s="588">
        <f t="shared" si="448"/>
        <v>111294</v>
      </c>
      <c r="WJ16" s="11">
        <f t="shared" si="449"/>
        <v>120716</v>
      </c>
      <c r="WK16" s="90">
        <f t="shared" si="450"/>
        <v>182226</v>
      </c>
      <c r="WL16" s="40">
        <v>98281</v>
      </c>
      <c r="WM16" s="40">
        <v>83945</v>
      </c>
      <c r="WN16" s="40">
        <v>17372</v>
      </c>
      <c r="WO16" s="40">
        <v>27349</v>
      </c>
      <c r="WP16" s="11">
        <f t="shared" si="451"/>
        <v>27709</v>
      </c>
      <c r="WQ16" s="90">
        <f t="shared" si="452"/>
        <v>40587</v>
      </c>
      <c r="WR16" s="40">
        <v>14997</v>
      </c>
      <c r="WS16" s="40">
        <v>25590</v>
      </c>
      <c r="WT16" s="11">
        <f t="shared" si="453"/>
        <v>1328</v>
      </c>
      <c r="WU16" s="40">
        <v>776</v>
      </c>
      <c r="WV16" s="40">
        <v>552</v>
      </c>
      <c r="WW16" s="9">
        <f t="shared" si="454"/>
        <v>6164</v>
      </c>
      <c r="WX16" s="235">
        <f t="shared" si="455"/>
        <v>1599</v>
      </c>
      <c r="WY16" s="235">
        <f t="shared" si="456"/>
        <v>1207</v>
      </c>
      <c r="WZ16" s="236">
        <f t="shared" si="457"/>
        <v>14</v>
      </c>
      <c r="XA16" s="236">
        <f t="shared" si="458"/>
        <v>14</v>
      </c>
      <c r="XB16" s="236">
        <f t="shared" si="459"/>
        <v>0</v>
      </c>
      <c r="XC16" s="589">
        <f t="shared" si="460"/>
        <v>2792</v>
      </c>
      <c r="XD16" s="589">
        <f t="shared" si="461"/>
        <v>1585</v>
      </c>
      <c r="XE16" s="589">
        <f t="shared" si="462"/>
        <v>1207</v>
      </c>
      <c r="XF16" s="40">
        <v>185</v>
      </c>
      <c r="XG16" s="40">
        <v>162</v>
      </c>
      <c r="XH16" s="40">
        <v>1400</v>
      </c>
      <c r="XI16" s="40">
        <v>1045</v>
      </c>
      <c r="XJ16" s="590">
        <v>297091</v>
      </c>
      <c r="XK16" s="40">
        <v>141744</v>
      </c>
      <c r="XL16" s="40">
        <v>155347</v>
      </c>
      <c r="XM16" s="5">
        <f t="shared" si="463"/>
        <v>234315</v>
      </c>
      <c r="XN16" s="5">
        <v>118781</v>
      </c>
      <c r="XO16" s="5">
        <v>115534</v>
      </c>
      <c r="XP16" s="84">
        <f t="shared" si="464"/>
        <v>232868</v>
      </c>
      <c r="XQ16" s="40">
        <v>117944</v>
      </c>
      <c r="XR16" s="40">
        <v>114924</v>
      </c>
      <c r="XS16" s="5">
        <f t="shared" si="465"/>
        <v>55772</v>
      </c>
      <c r="XT16" s="40">
        <v>19239</v>
      </c>
      <c r="XU16" s="40">
        <v>36533</v>
      </c>
      <c r="XV16" s="5">
        <f t="shared" si="466"/>
        <v>2387</v>
      </c>
      <c r="XW16" s="40">
        <v>1226</v>
      </c>
      <c r="XX16" s="40">
        <v>1161</v>
      </c>
      <c r="XY16" s="84">
        <f t="shared" si="467"/>
        <v>7004</v>
      </c>
      <c r="XZ16" s="84">
        <f t="shared" si="468"/>
        <v>3724</v>
      </c>
      <c r="YA16" s="84">
        <f t="shared" si="469"/>
        <v>3280</v>
      </c>
      <c r="YB16" s="587">
        <v>340489</v>
      </c>
      <c r="YC16" s="40">
        <v>261141</v>
      </c>
      <c r="YD16" s="40">
        <v>68126</v>
      </c>
      <c r="YE16" s="40">
        <v>3128</v>
      </c>
      <c r="YF16" s="5">
        <v>9157</v>
      </c>
      <c r="YG16" s="118">
        <v>351366</v>
      </c>
      <c r="YH16" s="39">
        <v>268011</v>
      </c>
      <c r="YI16" s="39">
        <v>73904</v>
      </c>
      <c r="YJ16" s="39">
        <v>9451</v>
      </c>
      <c r="YK16" s="39">
        <v>3457</v>
      </c>
      <c r="YL16" s="118">
        <v>359188</v>
      </c>
      <c r="YM16" s="39">
        <v>274092</v>
      </c>
      <c r="YN16" s="39">
        <v>75013</v>
      </c>
      <c r="YO16" s="39">
        <v>10083</v>
      </c>
      <c r="YP16" s="39">
        <v>3297</v>
      </c>
      <c r="YQ16" s="118">
        <v>370801</v>
      </c>
      <c r="YR16" s="39">
        <v>278925</v>
      </c>
      <c r="YS16" s="39">
        <v>81405</v>
      </c>
      <c r="YT16" s="39">
        <v>10471</v>
      </c>
      <c r="YU16" s="39">
        <v>4486</v>
      </c>
      <c r="YV16" s="10">
        <v>373312.772</v>
      </c>
      <c r="YW16" s="39">
        <v>278400.33799999999</v>
      </c>
      <c r="YX16" s="39">
        <v>84015.360000000001</v>
      </c>
      <c r="YY16" s="39">
        <v>5063.76</v>
      </c>
      <c r="YZ16" s="39">
        <v>10897.074000000008</v>
      </c>
      <c r="ZA16" s="39">
        <v>383684</v>
      </c>
      <c r="ZB16" s="39">
        <v>279832</v>
      </c>
      <c r="ZC16" s="39">
        <v>89758</v>
      </c>
      <c r="ZD16" s="39">
        <v>5134</v>
      </c>
      <c r="ZE16" s="1">
        <v>10480</v>
      </c>
      <c r="ZF16" s="1">
        <v>389943</v>
      </c>
      <c r="ZG16" s="1">
        <v>283635</v>
      </c>
      <c r="ZH16" s="1">
        <v>91572</v>
      </c>
      <c r="ZI16" s="1">
        <v>5540</v>
      </c>
      <c r="ZJ16" s="1">
        <v>10828</v>
      </c>
      <c r="ZK16" s="1">
        <v>410953</v>
      </c>
      <c r="ZL16" s="1">
        <v>293805</v>
      </c>
      <c r="ZM16" s="1">
        <v>102162</v>
      </c>
      <c r="ZN16" s="1">
        <v>5331</v>
      </c>
      <c r="ZO16" s="1">
        <v>11913</v>
      </c>
      <c r="ZP16" s="1">
        <v>406599</v>
      </c>
      <c r="ZQ16" s="1">
        <v>292606</v>
      </c>
      <c r="ZR16" s="1">
        <v>96640</v>
      </c>
      <c r="ZS16" s="1">
        <v>5891</v>
      </c>
      <c r="ZT16" s="1">
        <v>12760</v>
      </c>
      <c r="ZU16" s="1">
        <v>426263</v>
      </c>
      <c r="ZV16" s="1">
        <v>304066</v>
      </c>
      <c r="ZW16" s="1">
        <v>104422</v>
      </c>
      <c r="ZX16" s="1">
        <v>5373</v>
      </c>
      <c r="ZY16" s="1">
        <v>13445</v>
      </c>
      <c r="ZZ16" s="394">
        <v>7993</v>
      </c>
      <c r="AAA16" s="1">
        <v>0</v>
      </c>
      <c r="AAB16" s="1">
        <v>926</v>
      </c>
      <c r="AAC16" s="1">
        <v>2837</v>
      </c>
      <c r="AAD16" s="1">
        <v>1689</v>
      </c>
      <c r="AAE16" s="50">
        <v>428497</v>
      </c>
      <c r="AAF16" s="1">
        <v>301719</v>
      </c>
      <c r="AAG16" s="1">
        <v>105737</v>
      </c>
      <c r="AAH16" s="1">
        <v>7515</v>
      </c>
      <c r="AAI16" s="1">
        <v>15896</v>
      </c>
      <c r="AAJ16" s="50">
        <v>458694</v>
      </c>
      <c r="AAK16" s="1"/>
      <c r="AAL16" s="1"/>
      <c r="AAM16" s="1"/>
      <c r="AAN16" s="1"/>
      <c r="AAO16" s="68">
        <v>441751</v>
      </c>
      <c r="AAP16" s="37">
        <v>310244</v>
      </c>
      <c r="AAQ16" s="37">
        <v>111977</v>
      </c>
      <c r="AAR16" s="37">
        <v>5453</v>
      </c>
      <c r="AAS16" s="37">
        <v>15559</v>
      </c>
      <c r="AAT16" s="68">
        <v>487663</v>
      </c>
      <c r="AAU16" s="37">
        <v>329970</v>
      </c>
      <c r="AAV16" s="37">
        <v>123081</v>
      </c>
      <c r="AAW16" s="37">
        <v>10720</v>
      </c>
      <c r="AAX16" s="37">
        <v>32967</v>
      </c>
      <c r="AAY16" s="1">
        <v>7933</v>
      </c>
      <c r="AAZ16" s="1">
        <v>0</v>
      </c>
      <c r="ABA16" s="1">
        <v>913</v>
      </c>
      <c r="ABB16" s="1">
        <v>19554</v>
      </c>
      <c r="ABC16" s="1">
        <v>4567</v>
      </c>
      <c r="ABD16" s="10">
        <v>102766</v>
      </c>
      <c r="ABE16" s="39">
        <v>81217</v>
      </c>
      <c r="ABF16" s="39">
        <v>18240</v>
      </c>
      <c r="ABG16" s="39">
        <v>916</v>
      </c>
      <c r="ABH16" s="39">
        <v>3309</v>
      </c>
      <c r="ABI16" s="118">
        <v>116550</v>
      </c>
      <c r="ABJ16" s="39">
        <v>90353</v>
      </c>
      <c r="ABK16" s="39">
        <v>21696</v>
      </c>
      <c r="ABL16" s="39">
        <v>936</v>
      </c>
      <c r="ABM16" s="39">
        <v>3714</v>
      </c>
      <c r="ABN16" s="10">
        <v>132803</v>
      </c>
      <c r="ABO16" s="39">
        <v>99620</v>
      </c>
      <c r="ABP16" s="39">
        <v>28528</v>
      </c>
      <c r="ABQ16" s="39">
        <v>1755</v>
      </c>
      <c r="ABR16" s="39">
        <v>4655</v>
      </c>
      <c r="ABS16" s="10">
        <v>135230.647</v>
      </c>
      <c r="ABT16" s="39">
        <v>100904.92600000001</v>
      </c>
      <c r="ABU16" s="39">
        <v>29914.560000000001</v>
      </c>
      <c r="ABV16" s="39">
        <v>2320.89</v>
      </c>
      <c r="ABW16" s="207">
        <v>4411.1609999999891</v>
      </c>
      <c r="ABX16" s="1">
        <v>139935</v>
      </c>
      <c r="ABY16" s="1">
        <v>101799</v>
      </c>
      <c r="ABZ16" s="1">
        <v>32389</v>
      </c>
      <c r="ACA16" s="1">
        <v>2063</v>
      </c>
      <c r="ACB16" s="49">
        <v>4190</v>
      </c>
      <c r="ACC16" s="1">
        <v>143339</v>
      </c>
      <c r="ACD16" s="1">
        <v>103266</v>
      </c>
      <c r="ACE16" s="1">
        <v>33865</v>
      </c>
      <c r="ACF16" s="1">
        <v>2249</v>
      </c>
      <c r="ACG16" s="1">
        <v>4526</v>
      </c>
      <c r="ACH16" s="1">
        <v>156703</v>
      </c>
      <c r="ACI16" s="1">
        <v>108715</v>
      </c>
      <c r="ACJ16" s="1">
        <v>41353</v>
      </c>
      <c r="ACK16" s="1">
        <v>1933</v>
      </c>
      <c r="ACL16" s="1">
        <v>5264</v>
      </c>
      <c r="ACM16" s="1">
        <v>153563</v>
      </c>
      <c r="ACN16" s="1">
        <v>109977</v>
      </c>
      <c r="ACO16" s="1">
        <v>36478</v>
      </c>
      <c r="ACP16" s="1">
        <v>2474</v>
      </c>
      <c r="ACQ16" s="1">
        <v>5217</v>
      </c>
      <c r="ACR16" s="1">
        <v>161398</v>
      </c>
      <c r="ACS16" s="1">
        <v>115435</v>
      </c>
      <c r="ACT16" s="1">
        <v>38818</v>
      </c>
      <c r="ACU16" s="1">
        <v>1412</v>
      </c>
      <c r="ACV16" s="1">
        <v>5620</v>
      </c>
      <c r="ADB16" s="50">
        <v>163277</v>
      </c>
      <c r="ADC16" s="1">
        <v>110792</v>
      </c>
      <c r="ADD16" s="1">
        <v>43659</v>
      </c>
      <c r="ADE16" s="1">
        <v>2084</v>
      </c>
      <c r="ADF16" s="1">
        <v>7125</v>
      </c>
      <c r="ADG16" s="50">
        <v>173993</v>
      </c>
      <c r="ADL16" s="50">
        <v>171039</v>
      </c>
      <c r="ADM16" s="1">
        <v>116394</v>
      </c>
      <c r="ADN16" s="1">
        <v>45905</v>
      </c>
      <c r="ADO16" s="1">
        <v>1879</v>
      </c>
      <c r="ADP16" s="1">
        <v>7354</v>
      </c>
      <c r="ADQ16" s="50">
        <v>184007</v>
      </c>
      <c r="ADR16" s="1">
        <v>120274</v>
      </c>
      <c r="ADS16" s="1">
        <v>48365</v>
      </c>
      <c r="ADT16" s="1">
        <v>4096</v>
      </c>
      <c r="ADU16" s="1">
        <v>14822</v>
      </c>
      <c r="ADV16" s="1">
        <v>4566</v>
      </c>
      <c r="ADW16" s="1">
        <v>0</v>
      </c>
      <c r="ADX16" s="1">
        <v>278</v>
      </c>
      <c r="ADY16" s="1">
        <v>8659</v>
      </c>
      <c r="ADZ16" s="1">
        <v>1319</v>
      </c>
    </row>
    <row r="17" spans="1:806" ht="14.1">
      <c r="A17" s="38" t="s">
        <v>17</v>
      </c>
      <c r="B17" s="118">
        <f>113024+196913+105575+87756+214067+118285</f>
        <v>835620</v>
      </c>
      <c r="C17" s="39">
        <f>66893+147558+83335+52428+153447+88056</f>
        <v>591717</v>
      </c>
      <c r="D17" s="39">
        <f>42287+45328+19966+32238+55475+27690</f>
        <v>222984</v>
      </c>
      <c r="E17" s="39">
        <f>1211+1695+844+861+1891+886</f>
        <v>7388</v>
      </c>
      <c r="F17" s="207">
        <f>2420+2171+1379+195+143+29+1698+2591+1274+460+580+338</f>
        <v>13278</v>
      </c>
      <c r="G17" s="3">
        <v>539974</v>
      </c>
      <c r="H17" s="39">
        <v>376803</v>
      </c>
      <c r="I17" s="39">
        <v>146773</v>
      </c>
      <c r="J17" s="39">
        <v>5395</v>
      </c>
      <c r="K17" s="207">
        <v>16398</v>
      </c>
      <c r="L17" s="3">
        <v>413495</v>
      </c>
      <c r="M17" s="39">
        <v>262013</v>
      </c>
      <c r="N17" s="39">
        <v>96566</v>
      </c>
      <c r="O17" s="39">
        <v>61168</v>
      </c>
      <c r="P17" s="207">
        <v>54916</v>
      </c>
      <c r="Q17" s="39">
        <v>380378</v>
      </c>
      <c r="R17" s="39">
        <v>186931</v>
      </c>
      <c r="S17" s="39">
        <v>76262</v>
      </c>
      <c r="T17" s="39">
        <v>98288</v>
      </c>
      <c r="U17" s="207">
        <v>81942</v>
      </c>
      <c r="V17" s="5">
        <v>376511</v>
      </c>
      <c r="W17" s="394">
        <v>216416</v>
      </c>
      <c r="X17" s="394">
        <v>74682</v>
      </c>
      <c r="Y17" s="394">
        <v>113495</v>
      </c>
      <c r="Z17" s="406">
        <v>85413</v>
      </c>
      <c r="AA17" s="394">
        <v>365954</v>
      </c>
      <c r="AB17" s="1">
        <v>155428</v>
      </c>
      <c r="AC17" s="394">
        <v>65604</v>
      </c>
      <c r="AD17" s="394">
        <v>122956</v>
      </c>
      <c r="AE17" s="394">
        <v>74560</v>
      </c>
      <c r="AF17" s="393">
        <v>368319</v>
      </c>
      <c r="AG17" s="394">
        <v>152455</v>
      </c>
      <c r="AH17" s="394">
        <v>64965</v>
      </c>
      <c r="AI17" s="394">
        <v>128581</v>
      </c>
      <c r="AJ17" s="490">
        <v>77813</v>
      </c>
      <c r="AK17" s="490">
        <v>335030</v>
      </c>
      <c r="AL17" s="490">
        <v>133924</v>
      </c>
      <c r="AM17" s="685">
        <v>58755</v>
      </c>
      <c r="AN17" s="685">
        <v>121445</v>
      </c>
      <c r="AO17" s="490">
        <v>76728</v>
      </c>
      <c r="AP17" s="394">
        <v>340573</v>
      </c>
      <c r="AQ17" s="394">
        <v>132101</v>
      </c>
      <c r="AR17" s="394">
        <v>57012</v>
      </c>
      <c r="AS17" s="394">
        <v>127062</v>
      </c>
      <c r="AT17" s="394">
        <v>78261</v>
      </c>
      <c r="AU17" s="393">
        <v>319570</v>
      </c>
      <c r="AV17" s="394">
        <v>124504</v>
      </c>
      <c r="AW17" s="394">
        <v>55096</v>
      </c>
      <c r="AX17" s="394">
        <v>118103</v>
      </c>
      <c r="AY17" s="394">
        <v>73096</v>
      </c>
      <c r="AZ17" s="1">
        <v>13931</v>
      </c>
      <c r="BA17" s="1">
        <v>0</v>
      </c>
      <c r="BB17" s="1">
        <v>7042</v>
      </c>
      <c r="BC17" s="1">
        <v>4180</v>
      </c>
      <c r="BD17" s="1">
        <v>47943</v>
      </c>
      <c r="BE17" s="393">
        <v>314734</v>
      </c>
      <c r="BF17" s="394">
        <v>116733</v>
      </c>
      <c r="BG17" s="394">
        <v>56783</v>
      </c>
      <c r="BH17" s="394">
        <v>118547</v>
      </c>
      <c r="BI17" s="394">
        <v>68655</v>
      </c>
      <c r="BJ17" s="393">
        <v>305097</v>
      </c>
      <c r="BK17" s="394"/>
      <c r="BL17" s="394"/>
      <c r="BM17" s="394"/>
      <c r="BN17" s="394"/>
      <c r="BO17" s="393">
        <v>299154</v>
      </c>
      <c r="BP17" s="394">
        <v>105455</v>
      </c>
      <c r="BQ17" s="394">
        <v>48384</v>
      </c>
      <c r="BR17" s="394">
        <v>120314</v>
      </c>
      <c r="BS17" s="394">
        <v>82525</v>
      </c>
      <c r="BT17" s="393">
        <v>292845</v>
      </c>
      <c r="BU17" s="394">
        <v>98376</v>
      </c>
      <c r="BV17" s="394">
        <v>38347</v>
      </c>
      <c r="BW17" s="394">
        <v>130582</v>
      </c>
      <c r="BX17" s="394">
        <v>15586</v>
      </c>
      <c r="BY17" s="1">
        <v>0</v>
      </c>
      <c r="BZ17" s="1">
        <v>7478</v>
      </c>
      <c r="CA17" s="1">
        <v>40208</v>
      </c>
      <c r="CB17" s="1">
        <v>80346</v>
      </c>
      <c r="CC17" s="118">
        <v>737773</v>
      </c>
      <c r="CD17" s="39">
        <v>523466</v>
      </c>
      <c r="CE17" s="39">
        <v>197689</v>
      </c>
      <c r="CF17" s="39">
        <v>130582</v>
      </c>
      <c r="CG17" s="207">
        <v>16618</v>
      </c>
      <c r="CH17" s="3">
        <v>741229</v>
      </c>
      <c r="CI17" s="39">
        <v>490921</v>
      </c>
      <c r="CJ17" s="39">
        <v>203578</v>
      </c>
      <c r="CK17" s="39">
        <v>35894</v>
      </c>
      <c r="CL17" s="207">
        <v>46730</v>
      </c>
      <c r="CM17" s="1">
        <v>661174</v>
      </c>
      <c r="CN17" s="39">
        <v>409684</v>
      </c>
      <c r="CO17" s="39">
        <v>174074</v>
      </c>
      <c r="CP17" s="39">
        <v>53100</v>
      </c>
      <c r="CQ17" s="207">
        <v>58829</v>
      </c>
      <c r="CR17" s="3">
        <v>617246</v>
      </c>
      <c r="CS17" s="39">
        <v>384424</v>
      </c>
      <c r="CT17" s="39">
        <v>174542</v>
      </c>
      <c r="CU17" s="39">
        <v>61883</v>
      </c>
      <c r="CV17" s="207">
        <v>58280</v>
      </c>
      <c r="CW17" s="39">
        <v>603137</v>
      </c>
      <c r="CX17" s="39">
        <v>340791</v>
      </c>
      <c r="CY17" s="39">
        <v>172285</v>
      </c>
      <c r="CZ17" s="39">
        <v>64318</v>
      </c>
      <c r="DA17" s="39">
        <v>53066</v>
      </c>
      <c r="DB17" s="39">
        <v>592252</v>
      </c>
      <c r="DC17" s="39">
        <v>334016</v>
      </c>
      <c r="DD17" s="39">
        <v>167896</v>
      </c>
      <c r="DE17" s="39">
        <v>64555</v>
      </c>
      <c r="DF17" s="39">
        <v>52287</v>
      </c>
      <c r="DG17" s="39">
        <v>567696</v>
      </c>
      <c r="DH17" s="39">
        <v>308283</v>
      </c>
      <c r="DI17" s="39">
        <v>155124</v>
      </c>
      <c r="DJ17" s="39">
        <v>73836</v>
      </c>
      <c r="DK17" s="39">
        <v>63932</v>
      </c>
      <c r="DL17" s="39">
        <v>568846</v>
      </c>
      <c r="DM17" s="39">
        <v>314515</v>
      </c>
      <c r="DN17" s="39">
        <v>158558</v>
      </c>
      <c r="DO17" s="39">
        <v>68754</v>
      </c>
      <c r="DP17" s="39">
        <v>54317</v>
      </c>
      <c r="DQ17" s="39">
        <v>553627</v>
      </c>
      <c r="DR17" s="39">
        <v>298369</v>
      </c>
      <c r="DS17" s="39">
        <v>160918</v>
      </c>
      <c r="DT17" s="39">
        <v>68688</v>
      </c>
      <c r="DU17" s="39">
        <v>52081</v>
      </c>
      <c r="DV17" s="118">
        <v>539055</v>
      </c>
      <c r="DW17" s="39">
        <v>285977</v>
      </c>
      <c r="DX17" s="39">
        <v>153045</v>
      </c>
      <c r="DY17" s="39">
        <v>72265</v>
      </c>
      <c r="DZ17" s="39">
        <v>53708</v>
      </c>
      <c r="EA17" s="118">
        <v>529783</v>
      </c>
      <c r="EB17" s="39"/>
      <c r="EC17" s="39"/>
      <c r="ED17" s="39"/>
      <c r="EE17" s="39"/>
      <c r="EF17" s="118">
        <v>519770</v>
      </c>
      <c r="EG17" s="39">
        <v>268853</v>
      </c>
      <c r="EH17" s="39">
        <v>153200</v>
      </c>
      <c r="EI17" s="39">
        <v>70673</v>
      </c>
      <c r="EJ17" s="39">
        <v>60693</v>
      </c>
      <c r="EK17" s="118">
        <v>519770</v>
      </c>
      <c r="EL17" s="39">
        <v>268853</v>
      </c>
      <c r="EM17" s="39">
        <v>153200</v>
      </c>
      <c r="EN17" s="39">
        <v>70673</v>
      </c>
      <c r="EO17" s="39">
        <v>60693</v>
      </c>
      <c r="EP17" s="118">
        <v>453642</v>
      </c>
      <c r="EQ17" s="39">
        <v>228309</v>
      </c>
      <c r="ER17" s="39">
        <v>125970</v>
      </c>
      <c r="ES17" s="39">
        <v>61165</v>
      </c>
      <c r="ET17" s="1">
        <v>11156</v>
      </c>
      <c r="EU17" s="1">
        <v>0</v>
      </c>
      <c r="EV17" s="1">
        <v>12017</v>
      </c>
      <c r="EW17" s="1">
        <v>37807</v>
      </c>
      <c r="EX17" s="1">
        <v>32585</v>
      </c>
      <c r="EY17" s="10">
        <v>981060</v>
      </c>
      <c r="EZ17" s="39">
        <v>597670</v>
      </c>
      <c r="FA17" s="39">
        <v>243999</v>
      </c>
      <c r="FB17" s="39">
        <v>182824</v>
      </c>
      <c r="FC17" s="382">
        <f t="shared" si="470"/>
        <v>139391</v>
      </c>
      <c r="FD17" s="230">
        <v>308716</v>
      </c>
      <c r="FE17" s="231">
        <v>413150</v>
      </c>
      <c r="FF17" s="231">
        <v>744217</v>
      </c>
      <c r="FG17" s="231">
        <v>1017950</v>
      </c>
      <c r="FH17" s="10">
        <v>1866201</v>
      </c>
      <c r="FI17" s="39">
        <v>1553874.392</v>
      </c>
      <c r="FJ17" s="39">
        <v>278541.07699999999</v>
      </c>
      <c r="FK17" s="39">
        <v>12789.643</v>
      </c>
      <c r="FL17" s="207">
        <v>20585.592000000001</v>
      </c>
      <c r="FM17" s="3">
        <v>2975747</v>
      </c>
      <c r="FN17" s="39">
        <v>2443419</v>
      </c>
      <c r="FO17" s="39">
        <v>478292</v>
      </c>
      <c r="FP17" s="39">
        <v>23980</v>
      </c>
      <c r="FQ17" s="207">
        <v>54036</v>
      </c>
      <c r="FR17" s="3">
        <v>4128270</v>
      </c>
      <c r="FS17" s="39">
        <v>3242417</v>
      </c>
      <c r="FT17" s="39">
        <v>725132</v>
      </c>
      <c r="FU17" s="39">
        <v>77844</v>
      </c>
      <c r="FV17" s="39">
        <v>160721</v>
      </c>
      <c r="FW17" s="232">
        <v>4807504</v>
      </c>
      <c r="FX17" s="39">
        <v>3599082</v>
      </c>
      <c r="FY17" s="39">
        <v>974328</v>
      </c>
      <c r="FZ17" s="39">
        <v>207952</v>
      </c>
      <c r="GA17" s="39">
        <v>154852</v>
      </c>
      <c r="GB17" s="118">
        <v>4943537</v>
      </c>
      <c r="GC17" s="39">
        <v>3763496</v>
      </c>
      <c r="GD17" s="39">
        <v>923942</v>
      </c>
      <c r="GE17" s="39">
        <v>256099</v>
      </c>
      <c r="GF17" s="39">
        <v>163622</v>
      </c>
      <c r="GG17" s="42">
        <v>5069176</v>
      </c>
      <c r="GH17" s="40">
        <v>3853007</v>
      </c>
      <c r="GI17" s="40">
        <v>951312</v>
      </c>
      <c r="GJ17" s="40">
        <v>264857</v>
      </c>
      <c r="GK17" s="40">
        <v>170486</v>
      </c>
      <c r="GL17" s="10">
        <v>5245588</v>
      </c>
      <c r="GM17" s="39">
        <v>3965383</v>
      </c>
      <c r="GN17" s="39">
        <v>993020</v>
      </c>
      <c r="GO17" s="39">
        <v>200886</v>
      </c>
      <c r="GP17" s="39">
        <v>229681</v>
      </c>
      <c r="GQ17" s="10">
        <v>5348361.59</v>
      </c>
      <c r="GR17" s="39">
        <v>4035430.1</v>
      </c>
      <c r="GS17" s="39">
        <v>1020242.4870000001</v>
      </c>
      <c r="GT17" s="39">
        <v>209502.084</v>
      </c>
      <c r="GU17" s="410">
        <f t="shared" si="471"/>
        <v>292689.00299999968</v>
      </c>
      <c r="GV17" s="39">
        <v>5440342</v>
      </c>
      <c r="GW17" s="39">
        <v>3956078</v>
      </c>
      <c r="GX17" s="39">
        <v>1048550</v>
      </c>
      <c r="GY17" s="39">
        <v>217566</v>
      </c>
      <c r="GZ17" s="39">
        <v>296809</v>
      </c>
      <c r="HA17" s="39">
        <v>5528531</v>
      </c>
      <c r="HB17" s="39">
        <v>4003154</v>
      </c>
      <c r="HC17" s="39">
        <v>1073862</v>
      </c>
      <c r="HD17" s="39">
        <v>223592</v>
      </c>
      <c r="HE17" s="39">
        <v>308550</v>
      </c>
      <c r="HF17" s="39">
        <v>5759211</v>
      </c>
      <c r="HG17" s="39">
        <v>4124193</v>
      </c>
      <c r="HH17" s="39">
        <v>1145962</v>
      </c>
      <c r="HI17" s="39">
        <v>243526</v>
      </c>
      <c r="HJ17" s="39">
        <v>341939</v>
      </c>
      <c r="HK17" s="39">
        <v>5853225</v>
      </c>
      <c r="HL17" s="39">
        <v>4160473</v>
      </c>
      <c r="HM17" s="39">
        <v>1170746</v>
      </c>
      <c r="HN17" s="39">
        <v>254204</v>
      </c>
      <c r="HO17" s="39">
        <v>360029</v>
      </c>
      <c r="HP17" s="118">
        <v>6003988</v>
      </c>
      <c r="HQ17" s="39">
        <v>4252791</v>
      </c>
      <c r="HR17" s="39">
        <v>1191979</v>
      </c>
      <c r="HS17" s="39">
        <v>274460</v>
      </c>
      <c r="HT17" s="39">
        <v>385647</v>
      </c>
      <c r="HU17" s="394">
        <v>157867</v>
      </c>
      <c r="HV17" s="1">
        <v>0</v>
      </c>
      <c r="HW17" s="1">
        <v>59024</v>
      </c>
      <c r="HX17" s="1">
        <v>86051</v>
      </c>
      <c r="HY17" s="1">
        <v>82705</v>
      </c>
      <c r="HZ17" s="118">
        <v>6137396</v>
      </c>
      <c r="IA17" s="39">
        <v>4319996</v>
      </c>
      <c r="IB17" s="39">
        <v>1229622</v>
      </c>
      <c r="IC17" s="39">
        <v>285893</v>
      </c>
      <c r="ID17" s="39">
        <v>405096</v>
      </c>
      <c r="IE17" s="393">
        <v>6267264</v>
      </c>
      <c r="IF17" s="394"/>
      <c r="IG17" s="394"/>
      <c r="IH17" s="394"/>
      <c r="II17" s="394"/>
      <c r="IJ17" s="393">
        <v>6368153</v>
      </c>
      <c r="IK17" s="394">
        <v>4430971</v>
      </c>
      <c r="IL17" s="394">
        <v>1285273</v>
      </c>
      <c r="IM17" s="394">
        <v>322675</v>
      </c>
      <c r="IN17" s="394">
        <v>448915</v>
      </c>
      <c r="IO17" s="393">
        <v>6499145</v>
      </c>
      <c r="IP17" s="394">
        <v>4415173</v>
      </c>
      <c r="IQ17" s="394">
        <v>1252154</v>
      </c>
      <c r="IR17" s="394">
        <v>347915</v>
      </c>
      <c r="IS17" s="394">
        <v>769228</v>
      </c>
      <c r="IT17" s="1">
        <v>192675</v>
      </c>
      <c r="IU17" s="1">
        <v>0</v>
      </c>
      <c r="IV17" s="1">
        <v>57219</v>
      </c>
      <c r="IW17" s="1">
        <v>364215</v>
      </c>
      <c r="IX17" s="1">
        <v>155119</v>
      </c>
      <c r="IY17" s="399">
        <f>217943+250818</f>
        <v>468761</v>
      </c>
      <c r="IZ17" s="394">
        <f>211794+184584</f>
        <v>396378</v>
      </c>
      <c r="JA17" s="394">
        <f>29733+34786</f>
        <v>64519</v>
      </c>
      <c r="JB17" s="394">
        <f>1747+1659</f>
        <v>3406</v>
      </c>
      <c r="JC17" s="406">
        <f>1154+654+1244+1134</f>
        <v>4186</v>
      </c>
      <c r="JD17" s="5">
        <v>1003830</v>
      </c>
      <c r="JE17" s="394">
        <v>823140</v>
      </c>
      <c r="JF17" s="394">
        <v>163696</v>
      </c>
      <c r="JG17" s="394">
        <v>9958</v>
      </c>
      <c r="JH17" s="406">
        <v>16994</v>
      </c>
      <c r="JI17" s="5">
        <v>1438579</v>
      </c>
      <c r="JJ17" s="394">
        <v>1118071</v>
      </c>
      <c r="JK17" s="394">
        <v>268296</v>
      </c>
      <c r="JL17" s="394">
        <v>27631</v>
      </c>
      <c r="JM17" s="406">
        <v>52212</v>
      </c>
      <c r="JN17" s="394">
        <v>1612142</v>
      </c>
      <c r="JO17" s="394">
        <v>1206420</v>
      </c>
      <c r="JP17" s="394">
        <v>316828</v>
      </c>
      <c r="JQ17" s="394">
        <v>43410</v>
      </c>
      <c r="JR17" s="394">
        <v>68318</v>
      </c>
      <c r="JS17" s="5">
        <v>1886994</v>
      </c>
      <c r="JT17" s="394">
        <v>1395831</v>
      </c>
      <c r="JU17" s="394">
        <v>400065</v>
      </c>
      <c r="JV17" s="394">
        <v>69500</v>
      </c>
      <c r="JW17" s="406">
        <v>91098</v>
      </c>
      <c r="JX17" s="5">
        <v>1930473.71</v>
      </c>
      <c r="JY17" s="394">
        <v>1426994.8</v>
      </c>
      <c r="JZ17" s="394">
        <v>410878.32500000001</v>
      </c>
      <c r="KA17" s="394">
        <v>72972.636000000013</v>
      </c>
      <c r="KB17" s="406">
        <v>92600.584999999905</v>
      </c>
      <c r="KC17" s="394">
        <v>1962616</v>
      </c>
      <c r="KD17" s="394">
        <v>1397114</v>
      </c>
      <c r="KE17" s="394">
        <v>423127</v>
      </c>
      <c r="KF17" s="394">
        <v>74942</v>
      </c>
      <c r="KG17" s="439">
        <v>95206</v>
      </c>
      <c r="KH17" s="439">
        <v>1989875</v>
      </c>
      <c r="KI17" s="439">
        <v>1410419</v>
      </c>
      <c r="KJ17" s="439">
        <v>433049</v>
      </c>
      <c r="KK17" s="439">
        <v>77178</v>
      </c>
      <c r="KL17" s="439">
        <v>98168</v>
      </c>
      <c r="KM17" s="439">
        <v>2074362</v>
      </c>
      <c r="KN17" s="439">
        <v>1462288</v>
      </c>
      <c r="KO17" s="439">
        <v>457765</v>
      </c>
      <c r="KP17" s="439">
        <v>82488</v>
      </c>
      <c r="KQ17" s="439">
        <v>103712</v>
      </c>
      <c r="KR17" s="439">
        <v>2076658</v>
      </c>
      <c r="KS17" s="439">
        <v>1441876</v>
      </c>
      <c r="KT17" s="439">
        <v>476977</v>
      </c>
      <c r="KU17" s="439">
        <v>85852</v>
      </c>
      <c r="KV17" s="439">
        <v>102949</v>
      </c>
      <c r="KW17" s="630">
        <v>2136997</v>
      </c>
      <c r="KX17" s="439">
        <v>1483357</v>
      </c>
      <c r="KY17" s="439">
        <v>479176</v>
      </c>
      <c r="KZ17" s="439">
        <v>94586</v>
      </c>
      <c r="LA17" s="439">
        <v>118154</v>
      </c>
      <c r="LB17" s="652">
        <v>2146162</v>
      </c>
      <c r="LC17" s="653">
        <v>1487697</v>
      </c>
      <c r="LD17" s="653">
        <v>481318</v>
      </c>
      <c r="LE17" s="653">
        <v>98539</v>
      </c>
      <c r="LF17" s="653">
        <v>114745</v>
      </c>
      <c r="LG17" s="652">
        <v>2198103</v>
      </c>
      <c r="LH17" s="653"/>
      <c r="LI17" s="439"/>
      <c r="LJ17" s="439"/>
      <c r="LK17" s="439"/>
      <c r="LL17" s="652">
        <v>2207926</v>
      </c>
      <c r="LM17" s="653">
        <v>1512107</v>
      </c>
      <c r="LN17" s="653">
        <v>498246</v>
      </c>
      <c r="LO17" s="653">
        <v>106515</v>
      </c>
      <c r="LP17" s="653">
        <v>130058</v>
      </c>
      <c r="LQ17" s="652">
        <v>2166894</v>
      </c>
      <c r="LR17" s="653">
        <v>1440032</v>
      </c>
      <c r="LS17" s="653">
        <v>473913</v>
      </c>
      <c r="LT17" s="653">
        <v>113186</v>
      </c>
      <c r="LU17" s="653">
        <v>230376</v>
      </c>
      <c r="LV17" s="1">
        <v>28144</v>
      </c>
      <c r="LW17" s="1">
        <v>0</v>
      </c>
      <c r="LX17" s="1">
        <v>21591</v>
      </c>
      <c r="LY17" s="1">
        <v>131021</v>
      </c>
      <c r="LZ17" s="1">
        <v>49620</v>
      </c>
      <c r="MA17" s="10">
        <v>290117</v>
      </c>
      <c r="MB17" s="39">
        <v>243444</v>
      </c>
      <c r="MC17" s="39">
        <v>41763</v>
      </c>
      <c r="MD17" s="39">
        <v>2379</v>
      </c>
      <c r="ME17" s="207">
        <v>4910</v>
      </c>
      <c r="MF17" s="3">
        <v>358075</v>
      </c>
      <c r="MG17" s="39">
        <v>289137</v>
      </c>
      <c r="MH17" s="39">
        <v>55942</v>
      </c>
      <c r="MI17" s="39">
        <v>6110</v>
      </c>
      <c r="MJ17" s="207">
        <v>12996</v>
      </c>
      <c r="MK17" s="39">
        <v>476087</v>
      </c>
      <c r="ML17" s="39">
        <v>365964</v>
      </c>
      <c r="MM17" s="39">
        <v>84812</v>
      </c>
      <c r="MN17" s="39">
        <v>11226</v>
      </c>
      <c r="MO17" s="39">
        <v>20179</v>
      </c>
      <c r="MP17" s="118">
        <v>525780</v>
      </c>
      <c r="MQ17" s="39">
        <v>406636</v>
      </c>
      <c r="MR17" s="39">
        <v>95397</v>
      </c>
      <c r="MS17" s="39">
        <v>17393</v>
      </c>
      <c r="MT17" s="39">
        <v>23747</v>
      </c>
      <c r="MU17" s="118"/>
      <c r="MV17" s="39"/>
      <c r="MW17" s="39"/>
      <c r="MX17" s="39"/>
      <c r="MY17" s="207"/>
      <c r="MZ17" s="39">
        <v>557123</v>
      </c>
      <c r="NA17" s="39">
        <v>421087</v>
      </c>
      <c r="NB17" s="39">
        <v>98619</v>
      </c>
      <c r="NC17" s="39">
        <v>17585</v>
      </c>
      <c r="ND17" s="39">
        <v>25820</v>
      </c>
      <c r="NE17" s="39">
        <v>565419</v>
      </c>
      <c r="NF17" s="39">
        <v>427843</v>
      </c>
      <c r="NG17" s="39">
        <v>99701</v>
      </c>
      <c r="NH17" s="39">
        <v>17885</v>
      </c>
      <c r="NI17" s="39">
        <v>26419</v>
      </c>
      <c r="NJ17" s="39">
        <v>614392</v>
      </c>
      <c r="NK17" s="39">
        <v>457268</v>
      </c>
      <c r="NL17" s="39">
        <v>114250</v>
      </c>
      <c r="NM17" s="39">
        <v>20727</v>
      </c>
      <c r="NN17" s="39">
        <v>162963</v>
      </c>
      <c r="NO17" s="39">
        <v>623813</v>
      </c>
      <c r="NP17" s="39">
        <v>457594</v>
      </c>
      <c r="NQ17" s="39">
        <v>121329</v>
      </c>
      <c r="NR17" s="39">
        <v>23852</v>
      </c>
      <c r="NS17" s="39">
        <v>30182</v>
      </c>
      <c r="NT17" s="39">
        <v>654866</v>
      </c>
      <c r="NU17" s="39">
        <v>479013</v>
      </c>
      <c r="NV17" s="39">
        <v>122560</v>
      </c>
      <c r="NW17" s="39">
        <v>26800</v>
      </c>
      <c r="NX17" s="39">
        <v>37936</v>
      </c>
      <c r="NY17" s="118">
        <v>658224</v>
      </c>
      <c r="NZ17" s="39">
        <v>487835</v>
      </c>
      <c r="OA17" s="39">
        <v>120167</v>
      </c>
      <c r="OB17" s="39">
        <v>25322</v>
      </c>
      <c r="OC17" s="39">
        <v>33814</v>
      </c>
      <c r="OD17" s="118">
        <v>701016</v>
      </c>
      <c r="OE17" s="39"/>
      <c r="OF17" s="39"/>
      <c r="OG17" s="39"/>
      <c r="OH17" s="39"/>
      <c r="OI17" s="118">
        <v>727882</v>
      </c>
      <c r="OJ17" s="39">
        <v>527925</v>
      </c>
      <c r="OK17" s="39">
        <v>136759</v>
      </c>
      <c r="OL17" s="39">
        <v>31126</v>
      </c>
      <c r="OM17" s="39">
        <v>42927</v>
      </c>
      <c r="ON17" s="118">
        <v>729951</v>
      </c>
      <c r="OO17" s="39">
        <v>509993</v>
      </c>
      <c r="OP17" s="39">
        <v>135271</v>
      </c>
      <c r="OQ17" s="39">
        <v>39550</v>
      </c>
      <c r="OR17" s="39">
        <v>17483</v>
      </c>
      <c r="OS17" s="1">
        <v>10721</v>
      </c>
      <c r="OT17" s="1">
        <v>0</v>
      </c>
      <c r="OU17" s="1">
        <v>6908</v>
      </c>
      <c r="OV17" s="1">
        <v>42996</v>
      </c>
      <c r="OW17" s="1">
        <v>17483</v>
      </c>
      <c r="OX17" s="402">
        <f t="shared" si="421"/>
        <v>938599</v>
      </c>
      <c r="OY17" s="382">
        <f t="shared" si="422"/>
        <v>688566</v>
      </c>
      <c r="OZ17" s="382">
        <f t="shared" si="423"/>
        <v>108151</v>
      </c>
      <c r="PA17" s="382">
        <f t="shared" si="424"/>
        <v>131109</v>
      </c>
      <c r="PB17" s="382">
        <f t="shared" si="425"/>
        <v>54684</v>
      </c>
      <c r="PC17" s="402">
        <f t="shared" si="426"/>
        <v>1544788</v>
      </c>
      <c r="PD17" s="382">
        <f t="shared" si="427"/>
        <v>1288835</v>
      </c>
      <c r="PE17" s="382">
        <f t="shared" si="428"/>
        <v>190717</v>
      </c>
      <c r="PF17" s="382">
        <f t="shared" si="429"/>
        <v>24506</v>
      </c>
      <c r="PG17" s="382">
        <f t="shared" si="430"/>
        <v>65236</v>
      </c>
      <c r="PH17" s="118">
        <v>1891747</v>
      </c>
      <c r="PI17" s="39">
        <v>1518445</v>
      </c>
      <c r="PJ17" s="39">
        <v>265124</v>
      </c>
      <c r="PK17" s="39">
        <v>54709</v>
      </c>
      <c r="PL17" s="39">
        <v>108178</v>
      </c>
      <c r="PM17" s="39">
        <v>1941120</v>
      </c>
      <c r="PN17" s="39">
        <v>1549986</v>
      </c>
      <c r="PO17" s="39">
        <v>262541</v>
      </c>
      <c r="PP17" s="39">
        <v>45743</v>
      </c>
      <c r="PQ17" s="39">
        <v>103765</v>
      </c>
      <c r="PR17" s="393"/>
      <c r="PS17" s="394"/>
      <c r="PT17" s="394"/>
      <c r="PU17" s="394"/>
      <c r="PV17" s="394"/>
      <c r="PW17" s="394">
        <v>2284503</v>
      </c>
      <c r="PX17" s="394">
        <v>1783236</v>
      </c>
      <c r="PY17" s="394">
        <v>318382</v>
      </c>
      <c r="PZ17" s="394">
        <v>62932</v>
      </c>
      <c r="QA17" s="406">
        <v>137825</v>
      </c>
      <c r="QB17" s="394">
        <v>2356234</v>
      </c>
      <c r="QC17" s="394">
        <v>1833141</v>
      </c>
      <c r="QD17" s="394">
        <v>331296</v>
      </c>
      <c r="QE17" s="394">
        <v>66857</v>
      </c>
      <c r="QF17" s="394">
        <v>143771</v>
      </c>
      <c r="QG17" s="394">
        <v>2526956</v>
      </c>
      <c r="QH17" s="394">
        <v>1931763</v>
      </c>
      <c r="QI17" s="394">
        <v>380639</v>
      </c>
      <c r="QJ17" s="394">
        <v>76075</v>
      </c>
      <c r="QK17" s="394">
        <v>162963</v>
      </c>
      <c r="QL17" s="393">
        <v>2614870</v>
      </c>
      <c r="QM17" s="394">
        <v>1985888</v>
      </c>
      <c r="QN17" s="394">
        <v>391999</v>
      </c>
      <c r="QO17" s="394">
        <v>84631</v>
      </c>
      <c r="QP17" s="394">
        <v>178660</v>
      </c>
      <c r="QQ17" s="393">
        <v>2745971</v>
      </c>
      <c r="QR17" s="394">
        <v>2075105</v>
      </c>
      <c r="QS17" s="394">
        <v>408569</v>
      </c>
      <c r="QT17" s="394">
        <v>95039</v>
      </c>
      <c r="QU17" s="394">
        <v>196732</v>
      </c>
      <c r="QV17" s="393">
        <v>2848903</v>
      </c>
      <c r="QW17" s="394">
        <v>2145886</v>
      </c>
      <c r="QX17" s="394">
        <v>424825</v>
      </c>
      <c r="QY17" s="394">
        <v>97080</v>
      </c>
      <c r="QZ17" s="394">
        <v>209513</v>
      </c>
      <c r="RA17" s="393">
        <v>2967817</v>
      </c>
      <c r="RB17" s="394"/>
      <c r="RC17" s="394"/>
      <c r="RD17" s="394"/>
      <c r="RE17" s="394"/>
      <c r="RF17" s="394">
        <v>3049067</v>
      </c>
      <c r="RG17" s="394">
        <v>2259278</v>
      </c>
      <c r="RH17" s="394">
        <v>469886</v>
      </c>
      <c r="RI17" s="394">
        <v>118384</v>
      </c>
      <c r="RJ17" s="394">
        <v>238564</v>
      </c>
      <c r="RK17" s="394">
        <v>3259608</v>
      </c>
      <c r="RL17" s="394">
        <v>2355633</v>
      </c>
      <c r="RM17" s="394">
        <v>484601</v>
      </c>
      <c r="RN17" s="394">
        <v>138174</v>
      </c>
      <c r="RO17" s="394">
        <v>392704</v>
      </c>
      <c r="RP17" s="1">
        <v>149200</v>
      </c>
      <c r="RQ17" s="1">
        <v>0</v>
      </c>
      <c r="RR17" s="1">
        <v>17796</v>
      </c>
      <c r="RS17" s="1">
        <v>167832</v>
      </c>
      <c r="RT17" s="1">
        <v>57876</v>
      </c>
      <c r="RU17" s="10">
        <v>510003</v>
      </c>
      <c r="RV17" s="3">
        <v>445122</v>
      </c>
      <c r="RW17" s="3">
        <v>55500</v>
      </c>
      <c r="RX17" s="3">
        <v>3894</v>
      </c>
      <c r="RY17" s="3">
        <v>9381</v>
      </c>
      <c r="RZ17" s="10">
        <v>808070</v>
      </c>
      <c r="SA17" s="39">
        <v>679696</v>
      </c>
      <c r="SB17" s="39">
        <v>98171</v>
      </c>
      <c r="SC17" s="39">
        <v>11391</v>
      </c>
      <c r="SD17" s="39">
        <v>30203</v>
      </c>
      <c r="SE17" s="118">
        <v>982214</v>
      </c>
      <c r="SF17" s="39">
        <v>794696</v>
      </c>
      <c r="SG17" s="39">
        <v>126466</v>
      </c>
      <c r="SH17" s="39">
        <v>23545</v>
      </c>
      <c r="SI17" s="39">
        <v>48195</v>
      </c>
      <c r="SJ17" s="118">
        <v>1098824</v>
      </c>
      <c r="SK17" s="39">
        <v>890127</v>
      </c>
      <c r="SL17" s="39">
        <v>147582</v>
      </c>
      <c r="SM17" s="39">
        <v>30574</v>
      </c>
      <c r="SN17" s="39">
        <v>61115</v>
      </c>
      <c r="SO17" s="118">
        <v>1120307.6939999999</v>
      </c>
      <c r="SP17" s="39">
        <v>903454.5</v>
      </c>
      <c r="SQ17" s="39">
        <v>154237.402</v>
      </c>
      <c r="SR17" s="39">
        <v>30209.101999999999</v>
      </c>
      <c r="SS17" s="39">
        <v>62615.791999999899</v>
      </c>
      <c r="ST17" s="118">
        <v>1145937</v>
      </c>
      <c r="SU17" s="39">
        <v>900546</v>
      </c>
      <c r="SV17" s="39">
        <v>156888</v>
      </c>
      <c r="SW17" s="39">
        <v>31952</v>
      </c>
      <c r="SX17" s="39">
        <v>65275</v>
      </c>
      <c r="SY17" s="39">
        <v>1174085</v>
      </c>
      <c r="SZ17" s="39">
        <v>921961</v>
      </c>
      <c r="TA17" s="39">
        <v>160616</v>
      </c>
      <c r="TB17" s="39">
        <v>34615</v>
      </c>
      <c r="TC17" s="39">
        <v>66074</v>
      </c>
      <c r="TD17" s="39">
        <v>1239857</v>
      </c>
      <c r="TE17" s="39">
        <v>957761</v>
      </c>
      <c r="TF17" s="39">
        <v>178412</v>
      </c>
      <c r="TG17" s="39">
        <v>39351</v>
      </c>
      <c r="TH17" s="39">
        <v>78380</v>
      </c>
      <c r="TI17" s="39">
        <v>1277412</v>
      </c>
      <c r="TJ17" s="39">
        <v>982300</v>
      </c>
      <c r="TK17" s="39">
        <v>180989</v>
      </c>
      <c r="TL17" s="39">
        <v>42570</v>
      </c>
      <c r="TM17" s="39">
        <v>83716</v>
      </c>
      <c r="TN17" s="39">
        <v>1345615</v>
      </c>
      <c r="TO17" s="39">
        <v>1031911</v>
      </c>
      <c r="TP17" s="39">
        <v>189939</v>
      </c>
      <c r="TQ17" s="39">
        <v>46899</v>
      </c>
      <c r="TR17" s="39">
        <v>90634</v>
      </c>
      <c r="TS17" s="118">
        <v>1406739</v>
      </c>
      <c r="TT17" s="39">
        <v>1068039</v>
      </c>
      <c r="TU17" s="39">
        <v>205120</v>
      </c>
      <c r="TV17" s="39">
        <v>47432</v>
      </c>
      <c r="TW17" s="39">
        <v>100034</v>
      </c>
      <c r="TX17" s="118">
        <v>1454678</v>
      </c>
      <c r="TY17" s="39"/>
      <c r="TZ17" s="39"/>
      <c r="UA17" s="39"/>
      <c r="UB17" s="39"/>
      <c r="UC17" s="118">
        <v>1471420</v>
      </c>
      <c r="UD17" s="39">
        <v>1108910</v>
      </c>
      <c r="UE17" s="39">
        <v>216400</v>
      </c>
      <c r="UF17" s="39">
        <v>57089</v>
      </c>
      <c r="UG17" s="39">
        <v>105717</v>
      </c>
      <c r="UH17" s="118">
        <v>1573681</v>
      </c>
      <c r="UI17" s="39">
        <v>1163360</v>
      </c>
      <c r="UJ17" s="39">
        <v>217293</v>
      </c>
      <c r="UK17" s="39">
        <v>65766</v>
      </c>
      <c r="UL17" s="39">
        <v>180605</v>
      </c>
      <c r="UM17" s="1">
        <v>65205</v>
      </c>
      <c r="UN17" s="1">
        <v>0</v>
      </c>
      <c r="UO17" s="1">
        <v>6671</v>
      </c>
      <c r="UP17" s="1">
        <v>81249</v>
      </c>
      <c r="UQ17" s="1">
        <v>40393</v>
      </c>
      <c r="UR17" s="588">
        <f t="shared" si="431"/>
        <v>127462</v>
      </c>
      <c r="US17" s="40">
        <v>69701</v>
      </c>
      <c r="UT17" s="40">
        <v>57761</v>
      </c>
      <c r="UU17" s="588">
        <f t="shared" si="432"/>
        <v>17430</v>
      </c>
      <c r="UV17" s="40">
        <v>6312</v>
      </c>
      <c r="UW17" s="40">
        <v>11118</v>
      </c>
      <c r="UX17" s="42">
        <v>224069</v>
      </c>
      <c r="UY17" s="588">
        <f t="shared" si="433"/>
        <v>121138</v>
      </c>
      <c r="UZ17" s="588">
        <f t="shared" si="434"/>
        <v>102931</v>
      </c>
      <c r="VA17" s="588">
        <f t="shared" si="435"/>
        <v>200792</v>
      </c>
      <c r="VB17" s="40">
        <v>111980</v>
      </c>
      <c r="VC17" s="40">
        <v>88812</v>
      </c>
      <c r="VD17" s="588">
        <f t="shared" si="436"/>
        <v>21519</v>
      </c>
      <c r="VE17" s="40">
        <v>8032</v>
      </c>
      <c r="VF17" s="40">
        <v>13487</v>
      </c>
      <c r="VG17" s="588">
        <f t="shared" si="437"/>
        <v>1758</v>
      </c>
      <c r="VH17" s="40">
        <v>1126</v>
      </c>
      <c r="VI17" s="40">
        <v>632</v>
      </c>
      <c r="VJ17" s="42">
        <v>450423</v>
      </c>
      <c r="VK17" s="588">
        <f t="shared" si="438"/>
        <v>244152</v>
      </c>
      <c r="VL17" s="588">
        <f t="shared" si="439"/>
        <v>206271</v>
      </c>
      <c r="VM17" s="39">
        <f>173827+220132</f>
        <v>393959</v>
      </c>
      <c r="VN17" s="40">
        <v>220132</v>
      </c>
      <c r="VO17" s="40">
        <v>173827</v>
      </c>
      <c r="VP17" s="40">
        <v>24020</v>
      </c>
      <c r="VQ17" s="40">
        <v>32444</v>
      </c>
      <c r="VR17" s="39">
        <f>18758+28525</f>
        <v>47283</v>
      </c>
      <c r="VS17" s="40">
        <v>18758</v>
      </c>
      <c r="VT17" s="40">
        <v>28525</v>
      </c>
      <c r="VU17" s="39">
        <f>1260+1532</f>
        <v>2792</v>
      </c>
      <c r="VV17" s="40">
        <v>1532</v>
      </c>
      <c r="VW17" s="40">
        <v>1260</v>
      </c>
      <c r="VX17" s="233">
        <f t="shared" si="440"/>
        <v>6389</v>
      </c>
      <c r="VY17" s="233">
        <f t="shared" si="441"/>
        <v>3730</v>
      </c>
      <c r="VZ17" s="233">
        <f t="shared" si="442"/>
        <v>2659</v>
      </c>
      <c r="WA17" s="234">
        <f t="shared" si="443"/>
        <v>342</v>
      </c>
      <c r="WB17" s="234">
        <f t="shared" si="444"/>
        <v>280</v>
      </c>
      <c r="WC17" s="234">
        <f t="shared" si="445"/>
        <v>62</v>
      </c>
      <c r="WD17" s="40">
        <v>6047</v>
      </c>
      <c r="WE17" s="40">
        <v>3450</v>
      </c>
      <c r="WF17" s="40">
        <v>2597</v>
      </c>
      <c r="WG17" s="12">
        <f t="shared" si="446"/>
        <v>648482</v>
      </c>
      <c r="WH17" s="588">
        <f t="shared" si="447"/>
        <v>383838</v>
      </c>
      <c r="WI17" s="588">
        <f t="shared" si="448"/>
        <v>355211</v>
      </c>
      <c r="WJ17" s="11">
        <f t="shared" si="449"/>
        <v>445122</v>
      </c>
      <c r="WK17" s="90">
        <f t="shared" si="450"/>
        <v>640648</v>
      </c>
      <c r="WL17" s="40">
        <v>342260</v>
      </c>
      <c r="WM17" s="40">
        <v>298388</v>
      </c>
      <c r="WN17" s="40">
        <v>41578</v>
      </c>
      <c r="WO17" s="40">
        <v>56823</v>
      </c>
      <c r="WP17" s="11">
        <f t="shared" si="451"/>
        <v>66388</v>
      </c>
      <c r="WQ17" s="90">
        <f t="shared" si="452"/>
        <v>77518</v>
      </c>
      <c r="WR17" s="40">
        <v>30260</v>
      </c>
      <c r="WS17" s="40">
        <v>47258</v>
      </c>
      <c r="WT17" s="11">
        <f t="shared" si="453"/>
        <v>6049</v>
      </c>
      <c r="WU17" s="40">
        <v>3239</v>
      </c>
      <c r="WV17" s="40">
        <v>2810</v>
      </c>
      <c r="WW17" s="9">
        <f t="shared" si="454"/>
        <v>49774</v>
      </c>
      <c r="WX17" s="235">
        <f t="shared" si="455"/>
        <v>8079</v>
      </c>
      <c r="WY17" s="235">
        <f t="shared" si="456"/>
        <v>6755</v>
      </c>
      <c r="WZ17" s="236">
        <f t="shared" si="457"/>
        <v>197</v>
      </c>
      <c r="XA17" s="236">
        <f t="shared" si="458"/>
        <v>107</v>
      </c>
      <c r="XB17" s="236">
        <f t="shared" si="459"/>
        <v>90</v>
      </c>
      <c r="XC17" s="589">
        <f t="shared" si="460"/>
        <v>14637</v>
      </c>
      <c r="XD17" s="589">
        <f t="shared" si="461"/>
        <v>7972</v>
      </c>
      <c r="XE17" s="589">
        <f t="shared" si="462"/>
        <v>6665</v>
      </c>
      <c r="XF17" s="40">
        <v>1523</v>
      </c>
      <c r="XG17" s="40">
        <v>1995</v>
      </c>
      <c r="XH17" s="40">
        <v>6449</v>
      </c>
      <c r="XI17" s="40">
        <v>4670</v>
      </c>
      <c r="XJ17" s="590">
        <v>1186713</v>
      </c>
      <c r="XK17" s="40">
        <v>584433</v>
      </c>
      <c r="XL17" s="40">
        <v>602280</v>
      </c>
      <c r="XM17" s="5">
        <f t="shared" si="463"/>
        <v>999698</v>
      </c>
      <c r="XN17" s="5">
        <v>505217</v>
      </c>
      <c r="XO17" s="5">
        <v>494481</v>
      </c>
      <c r="XP17" s="84">
        <f t="shared" si="464"/>
        <v>988389</v>
      </c>
      <c r="XQ17" s="40">
        <v>499408</v>
      </c>
      <c r="XR17" s="40">
        <v>488981</v>
      </c>
      <c r="XS17" s="5">
        <f t="shared" si="465"/>
        <v>134775</v>
      </c>
      <c r="XT17" s="40">
        <v>52402</v>
      </c>
      <c r="XU17" s="40">
        <v>82373</v>
      </c>
      <c r="XV17" s="5">
        <f t="shared" si="466"/>
        <v>18396</v>
      </c>
      <c r="XW17" s="40">
        <v>9527</v>
      </c>
      <c r="XX17" s="40">
        <v>8869</v>
      </c>
      <c r="XY17" s="84">
        <f t="shared" si="467"/>
        <v>52240</v>
      </c>
      <c r="XZ17" s="84">
        <f t="shared" si="468"/>
        <v>26814</v>
      </c>
      <c r="YA17" s="84">
        <f t="shared" si="469"/>
        <v>25426</v>
      </c>
      <c r="YB17" s="587">
        <v>1465033</v>
      </c>
      <c r="YC17" s="40">
        <v>1184022</v>
      </c>
      <c r="YD17" s="40">
        <v>177729</v>
      </c>
      <c r="YE17" s="40">
        <v>34517</v>
      </c>
      <c r="YF17" s="5">
        <v>83586</v>
      </c>
      <c r="YG17" s="118">
        <v>1524893</v>
      </c>
      <c r="YH17" s="39">
        <v>1249625</v>
      </c>
      <c r="YI17" s="39">
        <v>187508</v>
      </c>
      <c r="YJ17" s="39">
        <v>87760</v>
      </c>
      <c r="YK17" s="39">
        <v>37533</v>
      </c>
      <c r="YL17" s="118">
        <v>1588555</v>
      </c>
      <c r="YM17" s="39">
        <v>1296265</v>
      </c>
      <c r="YN17" s="39">
        <v>200090</v>
      </c>
      <c r="YO17" s="39">
        <v>92200</v>
      </c>
      <c r="YP17" s="39">
        <v>39279</v>
      </c>
      <c r="YQ17" s="118">
        <v>1643464</v>
      </c>
      <c r="YR17" s="39">
        <v>1330298</v>
      </c>
      <c r="YS17" s="39">
        <v>208536</v>
      </c>
      <c r="YT17" s="39">
        <v>104630</v>
      </c>
      <c r="YU17" s="39">
        <v>45387</v>
      </c>
      <c r="YV17" s="10">
        <v>1683626.2519999999</v>
      </c>
      <c r="YW17" s="39">
        <v>1362131.4</v>
      </c>
      <c r="YX17" s="39">
        <v>216185.21100000001</v>
      </c>
      <c r="YY17" s="39">
        <v>43548.186000000002</v>
      </c>
      <c r="YZ17" s="39">
        <v>105309.64099999995</v>
      </c>
      <c r="ZA17" s="39">
        <v>1727380</v>
      </c>
      <c r="ZB17" s="39">
        <v>1362149</v>
      </c>
      <c r="ZC17" s="39">
        <v>219763</v>
      </c>
      <c r="ZD17" s="39">
        <v>45347</v>
      </c>
      <c r="ZE17" s="1">
        <v>112005</v>
      </c>
      <c r="ZF17" s="1">
        <v>1790815</v>
      </c>
      <c r="ZG17" s="1">
        <v>1405298</v>
      </c>
      <c r="ZH17" s="1">
        <v>231595</v>
      </c>
      <c r="ZI17" s="1">
        <v>48972</v>
      </c>
      <c r="ZJ17" s="1">
        <v>117352</v>
      </c>
      <c r="ZK17" s="1">
        <v>1912564</v>
      </c>
      <c r="ZL17" s="1">
        <v>1474495</v>
      </c>
      <c r="ZM17" s="1">
        <v>266389</v>
      </c>
      <c r="ZN17" s="1">
        <v>55348</v>
      </c>
      <c r="ZO17" s="1">
        <v>134257</v>
      </c>
      <c r="ZP17" s="1">
        <v>1991057</v>
      </c>
      <c r="ZQ17" s="1">
        <v>1528294</v>
      </c>
      <c r="ZR17" s="1">
        <v>270670</v>
      </c>
      <c r="ZS17" s="1">
        <v>60779</v>
      </c>
      <c r="ZT17" s="1">
        <v>148478</v>
      </c>
      <c r="ZU17" s="1">
        <v>2091105</v>
      </c>
      <c r="ZV17" s="1">
        <v>1596092</v>
      </c>
      <c r="ZW17" s="1">
        <v>286009</v>
      </c>
      <c r="ZX17" s="1">
        <v>68239</v>
      </c>
      <c r="ZY17" s="1">
        <v>158796</v>
      </c>
      <c r="ZZ17" s="394">
        <v>103674</v>
      </c>
      <c r="AAA17" s="1">
        <v>0</v>
      </c>
      <c r="AAB17" s="1">
        <v>10817</v>
      </c>
      <c r="AAC17" s="1">
        <v>28995</v>
      </c>
      <c r="AAD17" s="1">
        <v>15310</v>
      </c>
      <c r="AAE17" s="50">
        <v>2190679</v>
      </c>
      <c r="AAF17" s="1">
        <v>1658051</v>
      </c>
      <c r="AAG17" s="1">
        <v>304658</v>
      </c>
      <c r="AAH17" s="1">
        <v>71758</v>
      </c>
      <c r="AAI17" s="1">
        <v>175699</v>
      </c>
      <c r="AAJ17" s="50">
        <v>2266801</v>
      </c>
      <c r="AAK17" s="1"/>
      <c r="AAL17" s="1"/>
      <c r="AAM17" s="1"/>
      <c r="AAN17" s="1"/>
      <c r="AAO17" s="68">
        <v>2321185</v>
      </c>
      <c r="AAP17" s="37">
        <v>1731353</v>
      </c>
      <c r="AAQ17" s="37">
        <v>333127</v>
      </c>
      <c r="AAR17" s="37">
        <v>87258</v>
      </c>
      <c r="AAS17" s="37">
        <v>195637</v>
      </c>
      <c r="AAT17" s="68">
        <v>2529657</v>
      </c>
      <c r="AAU17" s="37">
        <v>1845640</v>
      </c>
      <c r="AAV17" s="37">
        <v>349330</v>
      </c>
      <c r="AAW17" s="37">
        <v>98624</v>
      </c>
      <c r="AAX17" s="37">
        <v>314596</v>
      </c>
      <c r="AAY17" s="1">
        <v>138479</v>
      </c>
      <c r="AAZ17" s="1">
        <v>0</v>
      </c>
      <c r="ABA17" s="1">
        <v>10888</v>
      </c>
      <c r="ABB17" s="1">
        <v>124836</v>
      </c>
      <c r="ABC17" s="1">
        <v>40393</v>
      </c>
      <c r="ABD17" s="10">
        <v>378643</v>
      </c>
      <c r="ABE17" s="39">
        <v>320002</v>
      </c>
      <c r="ABF17" s="39">
        <v>36604</v>
      </c>
      <c r="ABG17" s="39">
        <v>7005</v>
      </c>
      <c r="ABH17" s="39">
        <v>22037</v>
      </c>
      <c r="ABI17" s="118">
        <v>482819</v>
      </c>
      <c r="ABJ17" s="39">
        <v>389326</v>
      </c>
      <c r="ABK17" s="39">
        <v>51263</v>
      </c>
      <c r="ABL17" s="39">
        <v>10972</v>
      </c>
      <c r="ABM17" s="39">
        <v>35391</v>
      </c>
      <c r="ABN17" s="10">
        <v>544640</v>
      </c>
      <c r="ABO17" s="39">
        <v>440171</v>
      </c>
      <c r="ABP17" s="39">
        <v>60954</v>
      </c>
      <c r="ABQ17" s="39">
        <v>14813</v>
      </c>
      <c r="ABR17" s="39">
        <v>43515</v>
      </c>
      <c r="ABS17" s="10">
        <v>563318.55800000008</v>
      </c>
      <c r="ABT17" s="39">
        <v>458676.9</v>
      </c>
      <c r="ABU17" s="39">
        <v>61947.809000000001</v>
      </c>
      <c r="ABV17" s="39">
        <v>13339.084000000001</v>
      </c>
      <c r="ABW17" s="207">
        <v>42693.849000000053</v>
      </c>
      <c r="ABX17" s="1">
        <v>581443</v>
      </c>
      <c r="ABY17" s="1">
        <v>461603</v>
      </c>
      <c r="ABZ17" s="1">
        <v>62875</v>
      </c>
      <c r="ACA17" s="1">
        <v>13395</v>
      </c>
      <c r="ACB17" s="49">
        <v>46730</v>
      </c>
      <c r="ACC17" s="1">
        <v>616730</v>
      </c>
      <c r="ACD17" s="1">
        <v>483337</v>
      </c>
      <c r="ACE17" s="1">
        <v>70979</v>
      </c>
      <c r="ACF17" s="1">
        <v>14357</v>
      </c>
      <c r="ACG17" s="1">
        <v>51278</v>
      </c>
      <c r="ACH17" s="1">
        <v>672707</v>
      </c>
      <c r="ACI17" s="1">
        <v>516734</v>
      </c>
      <c r="ACJ17" s="1">
        <v>87977</v>
      </c>
      <c r="ACK17" s="1">
        <v>15997</v>
      </c>
      <c r="ACL17" s="1">
        <v>55877</v>
      </c>
      <c r="ACM17" s="1">
        <v>713645</v>
      </c>
      <c r="ACN17" s="1">
        <v>545994</v>
      </c>
      <c r="ACO17" s="1">
        <v>89681</v>
      </c>
      <c r="ACP17" s="1">
        <v>18209</v>
      </c>
      <c r="ACQ17" s="1">
        <v>64762</v>
      </c>
      <c r="ACR17" s="1">
        <v>745490</v>
      </c>
      <c r="ACS17" s="1">
        <v>564181</v>
      </c>
      <c r="ACT17" s="1">
        <v>96070</v>
      </c>
      <c r="ACU17" s="1">
        <v>21340</v>
      </c>
      <c r="ACV17" s="1">
        <v>68162</v>
      </c>
      <c r="ADB17" s="50">
        <v>783940</v>
      </c>
      <c r="ADC17" s="1">
        <v>590012</v>
      </c>
      <c r="ADD17" s="1">
        <v>99538</v>
      </c>
      <c r="ADE17" s="1">
        <v>24326</v>
      </c>
      <c r="ADF17" s="1">
        <v>75665</v>
      </c>
      <c r="ADG17" s="50">
        <v>812123</v>
      </c>
      <c r="ADL17" s="50">
        <v>849765</v>
      </c>
      <c r="ADM17" s="1">
        <v>622443</v>
      </c>
      <c r="ADN17" s="1">
        <v>116727</v>
      </c>
      <c r="ADO17" s="1">
        <v>30169</v>
      </c>
      <c r="ADP17" s="1">
        <v>89920</v>
      </c>
      <c r="ADQ17" s="50">
        <v>955976</v>
      </c>
      <c r="ADR17" s="1">
        <v>682280</v>
      </c>
      <c r="ADS17" s="1">
        <v>132037</v>
      </c>
      <c r="ADT17" s="1">
        <v>32858</v>
      </c>
      <c r="ADU17" s="1">
        <v>133991</v>
      </c>
      <c r="ADV17" s="1">
        <v>73274</v>
      </c>
      <c r="ADW17" s="1">
        <v>0</v>
      </c>
      <c r="ADX17" s="1">
        <v>4217</v>
      </c>
      <c r="ADY17" s="1">
        <v>43587</v>
      </c>
      <c r="ADZ17" s="1">
        <v>12913</v>
      </c>
    </row>
    <row r="18" spans="1:806" ht="14.1">
      <c r="A18" s="138" t="s">
        <v>18</v>
      </c>
      <c r="B18" s="118">
        <f>31644+57105+69523+24056+59489+83153</f>
        <v>324970</v>
      </c>
      <c r="C18" s="39">
        <f>23866+48520+61995+17375+49156+73583</f>
        <v>274495</v>
      </c>
      <c r="D18" s="39">
        <f>3148+3813+3164+2470+4804+4186</f>
        <v>21585</v>
      </c>
      <c r="E18" s="39">
        <f>1632+1456+817+1368+1385+877</f>
        <v>7535</v>
      </c>
      <c r="F18" s="207">
        <f>2832+3145+3367+151+161+138+2417+3602+4157+418+510+301</f>
        <v>21199</v>
      </c>
      <c r="G18" s="3">
        <v>195015</v>
      </c>
      <c r="H18" s="39">
        <v>158840</v>
      </c>
      <c r="I18" s="39">
        <v>12123</v>
      </c>
      <c r="J18" s="39">
        <v>10064</v>
      </c>
      <c r="K18" s="207">
        <v>24052</v>
      </c>
      <c r="L18" s="3">
        <v>134976</v>
      </c>
      <c r="M18" s="39">
        <v>95731</v>
      </c>
      <c r="N18" s="39">
        <v>7148</v>
      </c>
      <c r="O18" s="39">
        <v>24427</v>
      </c>
      <c r="P18" s="207">
        <v>32097</v>
      </c>
      <c r="Q18" s="39">
        <v>117601</v>
      </c>
      <c r="R18" s="39">
        <v>63000</v>
      </c>
      <c r="S18" s="39">
        <v>5683</v>
      </c>
      <c r="T18" s="39">
        <v>34617</v>
      </c>
      <c r="U18" s="207">
        <v>33919</v>
      </c>
      <c r="V18" s="5">
        <v>115336</v>
      </c>
      <c r="W18" s="394">
        <v>76958</v>
      </c>
      <c r="X18" s="394">
        <v>5803</v>
      </c>
      <c r="Y18" s="394">
        <v>40287</v>
      </c>
      <c r="Z18" s="406">
        <v>32575</v>
      </c>
      <c r="AA18" s="394">
        <v>115002</v>
      </c>
      <c r="AB18" s="1">
        <v>51756</v>
      </c>
      <c r="AC18" s="394">
        <v>4436</v>
      </c>
      <c r="AD18" s="394">
        <v>44818</v>
      </c>
      <c r="AE18" s="394">
        <v>32864</v>
      </c>
      <c r="AF18" s="393">
        <v>113538</v>
      </c>
      <c r="AG18" s="394">
        <v>50142</v>
      </c>
      <c r="AH18" s="394">
        <v>3909</v>
      </c>
      <c r="AI18" s="394">
        <v>45863</v>
      </c>
      <c r="AJ18" s="490">
        <v>31844</v>
      </c>
      <c r="AK18" s="490">
        <v>106853</v>
      </c>
      <c r="AL18" s="490">
        <v>44858</v>
      </c>
      <c r="AM18" s="685">
        <v>3132</v>
      </c>
      <c r="AN18" s="685">
        <v>44742</v>
      </c>
      <c r="AO18" s="490">
        <v>32973</v>
      </c>
      <c r="AP18" s="394">
        <v>108956</v>
      </c>
      <c r="AQ18" s="394">
        <v>43264</v>
      </c>
      <c r="AR18" s="394">
        <v>3888</v>
      </c>
      <c r="AS18" s="394">
        <v>48604</v>
      </c>
      <c r="AT18" s="394">
        <v>33009</v>
      </c>
      <c r="AU18" s="393">
        <v>103252</v>
      </c>
      <c r="AV18" s="394">
        <v>40840</v>
      </c>
      <c r="AW18" s="394">
        <v>4950</v>
      </c>
      <c r="AX18" s="394">
        <v>43234</v>
      </c>
      <c r="AY18" s="394">
        <v>31204</v>
      </c>
      <c r="AZ18" s="1">
        <v>4908</v>
      </c>
      <c r="BA18" s="1">
        <v>250</v>
      </c>
      <c r="BB18" s="1">
        <v>6046</v>
      </c>
      <c r="BC18" s="1">
        <v>4707</v>
      </c>
      <c r="BD18" s="1">
        <v>15293</v>
      </c>
      <c r="BE18" s="393">
        <v>104975</v>
      </c>
      <c r="BF18" s="394">
        <v>41078</v>
      </c>
      <c r="BG18" s="394">
        <v>3517</v>
      </c>
      <c r="BH18" s="394">
        <v>44315</v>
      </c>
      <c r="BI18" s="394">
        <v>33290</v>
      </c>
      <c r="BJ18" s="393">
        <v>98813</v>
      </c>
      <c r="BK18" s="394"/>
      <c r="BL18" s="394"/>
      <c r="BM18" s="394"/>
      <c r="BN18" s="394"/>
      <c r="BO18" s="393">
        <v>100954</v>
      </c>
      <c r="BP18" s="394">
        <v>37963</v>
      </c>
      <c r="BQ18" s="394">
        <v>4172</v>
      </c>
      <c r="BR18" s="394">
        <v>45416</v>
      </c>
      <c r="BS18" s="394">
        <v>27838</v>
      </c>
      <c r="BT18" s="393">
        <v>102238</v>
      </c>
      <c r="BU18" s="394">
        <v>38316</v>
      </c>
      <c r="BV18" s="394">
        <v>3034</v>
      </c>
      <c r="BW18" s="394">
        <v>46863</v>
      </c>
      <c r="BX18" s="394">
        <v>6184</v>
      </c>
      <c r="BY18" s="1">
        <v>233</v>
      </c>
      <c r="BZ18" s="1">
        <v>6588</v>
      </c>
      <c r="CA18" s="1">
        <v>20586</v>
      </c>
      <c r="CB18" s="1">
        <v>17589</v>
      </c>
      <c r="CC18" s="118">
        <v>311946</v>
      </c>
      <c r="CD18" s="39">
        <v>254224</v>
      </c>
      <c r="CE18" s="39">
        <v>24829</v>
      </c>
      <c r="CF18" s="39">
        <v>46863</v>
      </c>
      <c r="CG18" s="207">
        <v>32893</v>
      </c>
      <c r="CH18" s="3">
        <v>292257</v>
      </c>
      <c r="CI18" s="39">
        <v>221384</v>
      </c>
      <c r="CJ18" s="39">
        <v>23296</v>
      </c>
      <c r="CK18" s="39">
        <v>14893</v>
      </c>
      <c r="CL18" s="207">
        <v>47577</v>
      </c>
      <c r="CM18" s="1">
        <v>248042</v>
      </c>
      <c r="CN18" s="39">
        <v>173328</v>
      </c>
      <c r="CO18" s="39">
        <v>21096</v>
      </c>
      <c r="CP18" s="39">
        <v>20266</v>
      </c>
      <c r="CQ18" s="207">
        <v>44841</v>
      </c>
      <c r="CR18" s="3">
        <v>226362</v>
      </c>
      <c r="CS18" s="39">
        <v>164051</v>
      </c>
      <c r="CT18" s="39">
        <v>18120</v>
      </c>
      <c r="CU18" s="39">
        <v>23411</v>
      </c>
      <c r="CV18" s="207">
        <v>44191</v>
      </c>
      <c r="CW18" s="39">
        <v>221897</v>
      </c>
      <c r="CX18" s="39">
        <v>145691</v>
      </c>
      <c r="CY18" s="39">
        <v>17485</v>
      </c>
      <c r="CZ18" s="39">
        <v>24748</v>
      </c>
      <c r="DA18" s="39">
        <v>44852</v>
      </c>
      <c r="DB18" s="39">
        <v>220675</v>
      </c>
      <c r="DC18" s="39">
        <v>143556</v>
      </c>
      <c r="DD18" s="39">
        <v>16299</v>
      </c>
      <c r="DE18" s="39">
        <v>27278</v>
      </c>
      <c r="DF18" s="39">
        <v>45384</v>
      </c>
      <c r="DG18" s="39">
        <v>215077</v>
      </c>
      <c r="DH18" s="39">
        <v>135092</v>
      </c>
      <c r="DI18" s="39">
        <v>16814</v>
      </c>
      <c r="DJ18" s="39">
        <v>28511</v>
      </c>
      <c r="DK18" s="39">
        <v>46141</v>
      </c>
      <c r="DL18" s="39">
        <v>215702</v>
      </c>
      <c r="DM18" s="39">
        <v>137275</v>
      </c>
      <c r="DN18" s="39">
        <v>17070</v>
      </c>
      <c r="DO18" s="39">
        <v>29113</v>
      </c>
      <c r="DP18" s="39">
        <v>41791</v>
      </c>
      <c r="DQ18" s="39">
        <v>209774</v>
      </c>
      <c r="DR18" s="39">
        <v>128823</v>
      </c>
      <c r="DS18" s="39">
        <v>15460</v>
      </c>
      <c r="DT18" s="39">
        <v>30797</v>
      </c>
      <c r="DU18" s="39">
        <v>46381</v>
      </c>
      <c r="DV18" s="118">
        <v>204039</v>
      </c>
      <c r="DW18" s="39">
        <v>130121</v>
      </c>
      <c r="DX18" s="39">
        <v>14853</v>
      </c>
      <c r="DY18" s="39">
        <v>27339</v>
      </c>
      <c r="DZ18" s="39">
        <v>42513</v>
      </c>
      <c r="EA18" s="118">
        <v>202447</v>
      </c>
      <c r="EB18" s="39"/>
      <c r="EC18" s="39"/>
      <c r="ED18" s="39"/>
      <c r="EE18" s="39"/>
      <c r="EF18" s="118">
        <v>202312</v>
      </c>
      <c r="EG18" s="39">
        <v>117848</v>
      </c>
      <c r="EH18" s="39">
        <v>14904</v>
      </c>
      <c r="EI18" s="39">
        <v>34093</v>
      </c>
      <c r="EJ18" s="39">
        <v>46386</v>
      </c>
      <c r="EK18" s="118">
        <v>202312</v>
      </c>
      <c r="EL18" s="39">
        <v>117848</v>
      </c>
      <c r="EM18" s="39">
        <v>14904</v>
      </c>
      <c r="EN18" s="39">
        <v>34093</v>
      </c>
      <c r="EO18" s="39">
        <v>46386</v>
      </c>
      <c r="EP18" s="118">
        <v>195776</v>
      </c>
      <c r="EQ18" s="39">
        <v>115939</v>
      </c>
      <c r="ER18" s="39">
        <v>15219</v>
      </c>
      <c r="ES18" s="39">
        <v>30443</v>
      </c>
      <c r="ET18" s="1">
        <v>4946</v>
      </c>
      <c r="EU18" s="1">
        <v>258</v>
      </c>
      <c r="EV18" s="1">
        <v>16460</v>
      </c>
      <c r="EW18" s="1">
        <v>25380</v>
      </c>
      <c r="EX18" s="1">
        <v>11664</v>
      </c>
      <c r="EY18" s="10">
        <v>339480</v>
      </c>
      <c r="EZ18" s="39">
        <v>239073</v>
      </c>
      <c r="FA18" s="39">
        <v>23898</v>
      </c>
      <c r="FB18" s="39">
        <v>66029</v>
      </c>
      <c r="FC18" s="382">
        <f t="shared" si="470"/>
        <v>76509</v>
      </c>
      <c r="FD18" s="230">
        <v>293238</v>
      </c>
      <c r="FE18" s="231">
        <v>409850</v>
      </c>
      <c r="FF18" s="231">
        <v>526532</v>
      </c>
      <c r="FG18" s="231">
        <v>733832</v>
      </c>
      <c r="FH18" s="10">
        <v>1167477</v>
      </c>
      <c r="FI18" s="39">
        <v>1046836.224</v>
      </c>
      <c r="FJ18" s="39">
        <v>55085.888000000006</v>
      </c>
      <c r="FK18" s="39">
        <v>12115.334000000001</v>
      </c>
      <c r="FL18" s="207">
        <v>53253.33</v>
      </c>
      <c r="FM18" s="3">
        <v>1488463</v>
      </c>
      <c r="FN18" s="39">
        <v>1289454</v>
      </c>
      <c r="FO18" s="39">
        <v>86782</v>
      </c>
      <c r="FP18" s="39">
        <v>21238</v>
      </c>
      <c r="FQ18" s="207">
        <v>112227</v>
      </c>
      <c r="FR18" s="3">
        <v>1775940</v>
      </c>
      <c r="FS18" s="39">
        <v>1453941</v>
      </c>
      <c r="FT18" s="39">
        <v>111131</v>
      </c>
      <c r="FU18" s="39">
        <v>40743</v>
      </c>
      <c r="FV18" s="39">
        <v>210868</v>
      </c>
      <c r="FW18" s="232">
        <v>1945487</v>
      </c>
      <c r="FX18" s="39">
        <v>1535493</v>
      </c>
      <c r="FY18" s="39">
        <v>135038</v>
      </c>
      <c r="FZ18" s="39">
        <v>87168</v>
      </c>
      <c r="GA18" s="39">
        <v>66902</v>
      </c>
      <c r="GB18" s="118">
        <v>1983162</v>
      </c>
      <c r="GC18" s="39">
        <v>1598787</v>
      </c>
      <c r="GD18" s="39">
        <v>128641</v>
      </c>
      <c r="GE18" s="39">
        <v>255734</v>
      </c>
      <c r="GF18" s="39">
        <v>71397</v>
      </c>
      <c r="GG18" s="42">
        <v>2008235</v>
      </c>
      <c r="GH18" s="40">
        <v>1619286</v>
      </c>
      <c r="GI18" s="40">
        <v>129403</v>
      </c>
      <c r="GJ18" s="40">
        <v>259546</v>
      </c>
      <c r="GK18" s="40">
        <v>76300</v>
      </c>
      <c r="GL18" s="10">
        <v>2070195</v>
      </c>
      <c r="GM18" s="39">
        <v>1655444</v>
      </c>
      <c r="GN18" s="39">
        <v>134253</v>
      </c>
      <c r="GO18" s="39">
        <v>85230</v>
      </c>
      <c r="GP18" s="39">
        <v>173061</v>
      </c>
      <c r="GQ18" s="10">
        <v>2102820.2999999998</v>
      </c>
      <c r="GR18" s="39">
        <v>1673507.4999999998</v>
      </c>
      <c r="GS18" s="39">
        <v>136650.576</v>
      </c>
      <c r="GT18" s="39">
        <v>91025.168999999994</v>
      </c>
      <c r="GU18" s="410">
        <f t="shared" si="471"/>
        <v>292662.22400000005</v>
      </c>
      <c r="GV18" s="39">
        <v>2130429</v>
      </c>
      <c r="GW18" s="39">
        <v>1628430</v>
      </c>
      <c r="GX18" s="39">
        <v>141307</v>
      </c>
      <c r="GY18" s="39">
        <v>93854</v>
      </c>
      <c r="GZ18" s="39">
        <v>302002</v>
      </c>
      <c r="HA18" s="39">
        <v>2153434</v>
      </c>
      <c r="HB18" s="39">
        <v>1640232</v>
      </c>
      <c r="HC18" s="39">
        <v>143443</v>
      </c>
      <c r="HD18" s="39">
        <v>96332</v>
      </c>
      <c r="HE18" s="39">
        <v>308203</v>
      </c>
      <c r="HF18" s="39">
        <v>2207955</v>
      </c>
      <c r="HG18" s="39">
        <v>1666970</v>
      </c>
      <c r="HH18" s="39">
        <v>150038</v>
      </c>
      <c r="HI18" s="39">
        <v>106404</v>
      </c>
      <c r="HJ18" s="39">
        <v>323369</v>
      </c>
      <c r="HK18" s="39">
        <v>2233205</v>
      </c>
      <c r="HL18" s="39">
        <v>1671631</v>
      </c>
      <c r="HM18" s="39">
        <v>154979</v>
      </c>
      <c r="HN18" s="39">
        <v>110287</v>
      </c>
      <c r="HO18" s="39">
        <v>334156</v>
      </c>
      <c r="HP18" s="118">
        <v>2258610</v>
      </c>
      <c r="HQ18" s="39">
        <v>1687542</v>
      </c>
      <c r="HR18" s="39">
        <v>153379</v>
      </c>
      <c r="HS18" s="39">
        <v>116553</v>
      </c>
      <c r="HT18" s="39">
        <v>344454</v>
      </c>
      <c r="HU18" s="394">
        <v>43311</v>
      </c>
      <c r="HV18" s="1">
        <v>3286</v>
      </c>
      <c r="HW18" s="1">
        <v>145621</v>
      </c>
      <c r="HX18" s="1">
        <v>120963</v>
      </c>
      <c r="HY18" s="1">
        <v>31273</v>
      </c>
      <c r="HZ18" s="118">
        <v>2277400</v>
      </c>
      <c r="IA18" s="39">
        <v>1680541</v>
      </c>
      <c r="IB18" s="39">
        <v>157652</v>
      </c>
      <c r="IC18" s="39">
        <v>126333</v>
      </c>
      <c r="ID18" s="39">
        <v>353742</v>
      </c>
      <c r="IE18" s="393">
        <v>2306353</v>
      </c>
      <c r="IF18" s="394"/>
      <c r="IG18" s="394"/>
      <c r="IH18" s="394"/>
      <c r="II18" s="394"/>
      <c r="IJ18" s="393">
        <v>2315978</v>
      </c>
      <c r="IK18" s="394">
        <v>1695379</v>
      </c>
      <c r="IL18" s="394">
        <v>161783</v>
      </c>
      <c r="IM18" s="394">
        <v>136421</v>
      </c>
      <c r="IN18" s="394">
        <v>362110</v>
      </c>
      <c r="IO18" s="393">
        <v>2341875</v>
      </c>
      <c r="IP18" s="394">
        <v>1659814</v>
      </c>
      <c r="IQ18" s="394">
        <v>159500</v>
      </c>
      <c r="IR18" s="394">
        <v>152237</v>
      </c>
      <c r="IS18" s="394">
        <v>485374</v>
      </c>
      <c r="IT18" s="1">
        <v>51631</v>
      </c>
      <c r="IU18" s="1">
        <v>0</v>
      </c>
      <c r="IV18" s="1">
        <v>149724</v>
      </c>
      <c r="IW18" s="1">
        <v>233650</v>
      </c>
      <c r="IX18" s="1">
        <v>50369</v>
      </c>
      <c r="IY18" s="399">
        <f>143397+142028</f>
        <v>285425</v>
      </c>
      <c r="IZ18" s="394">
        <f>126184+127060</f>
        <v>253244</v>
      </c>
      <c r="JA18" s="394">
        <f>6996+7195</f>
        <v>14191</v>
      </c>
      <c r="JB18" s="394">
        <f>1477+1928</f>
        <v>3405</v>
      </c>
      <c r="JC18" s="406">
        <f>6419+883+6198+902</f>
        <v>14402</v>
      </c>
      <c r="JD18" s="5">
        <v>525591</v>
      </c>
      <c r="JE18" s="394">
        <v>449129</v>
      </c>
      <c r="JF18" s="394">
        <v>34418</v>
      </c>
      <c r="JG18" s="394">
        <v>8563</v>
      </c>
      <c r="JH18" s="406">
        <v>42044</v>
      </c>
      <c r="JI18" s="5">
        <v>635562</v>
      </c>
      <c r="JJ18" s="394">
        <v>511300</v>
      </c>
      <c r="JK18" s="394">
        <v>45872</v>
      </c>
      <c r="JL18" s="394">
        <v>15279</v>
      </c>
      <c r="JM18" s="406">
        <v>78390</v>
      </c>
      <c r="JN18" s="394">
        <v>667671</v>
      </c>
      <c r="JO18" s="394">
        <v>521258</v>
      </c>
      <c r="JP18" s="394">
        <v>48027</v>
      </c>
      <c r="JQ18" s="394">
        <v>21314</v>
      </c>
      <c r="JR18" s="394">
        <v>86630</v>
      </c>
      <c r="JS18" s="5">
        <v>752142</v>
      </c>
      <c r="JT18" s="394">
        <v>593548</v>
      </c>
      <c r="JU18" s="394">
        <v>53854</v>
      </c>
      <c r="JV18" s="394">
        <v>28902</v>
      </c>
      <c r="JW18" s="406">
        <v>104740</v>
      </c>
      <c r="JX18" s="5">
        <v>761997.6</v>
      </c>
      <c r="JY18" s="394">
        <v>594812.38</v>
      </c>
      <c r="JZ18" s="394">
        <v>55975.411999999997</v>
      </c>
      <c r="KA18" s="394">
        <v>32385.466000000004</v>
      </c>
      <c r="KB18" s="406">
        <v>111209.80799999998</v>
      </c>
      <c r="KC18" s="394">
        <v>769312</v>
      </c>
      <c r="KD18" s="394">
        <v>576652</v>
      </c>
      <c r="KE18" s="394">
        <v>57565</v>
      </c>
      <c r="KF18" s="394">
        <v>33574</v>
      </c>
      <c r="KG18" s="439">
        <v>114205</v>
      </c>
      <c r="KH18" s="439">
        <v>770914</v>
      </c>
      <c r="KI18" s="439">
        <v>575321</v>
      </c>
      <c r="KJ18" s="439">
        <v>58697</v>
      </c>
      <c r="KK18" s="439">
        <v>33630</v>
      </c>
      <c r="KL18" s="439">
        <v>115449</v>
      </c>
      <c r="KM18" s="439">
        <v>795152</v>
      </c>
      <c r="KN18" s="439">
        <v>592161</v>
      </c>
      <c r="KO18" s="439">
        <v>63357</v>
      </c>
      <c r="KP18" s="439">
        <v>37857</v>
      </c>
      <c r="KQ18" s="439">
        <v>116535</v>
      </c>
      <c r="KR18" s="439">
        <v>794826</v>
      </c>
      <c r="KS18" s="439">
        <v>587670</v>
      </c>
      <c r="KT18" s="439">
        <v>62045</v>
      </c>
      <c r="KU18" s="439">
        <v>35487</v>
      </c>
      <c r="KV18" s="439">
        <v>121485</v>
      </c>
      <c r="KW18" s="630">
        <v>807416</v>
      </c>
      <c r="KX18" s="439">
        <v>596024</v>
      </c>
      <c r="KY18" s="439">
        <v>62175</v>
      </c>
      <c r="KZ18" s="439">
        <v>42076</v>
      </c>
      <c r="LA18" s="439">
        <v>123037</v>
      </c>
      <c r="LB18" s="652">
        <v>812619</v>
      </c>
      <c r="LC18" s="653">
        <v>585738</v>
      </c>
      <c r="LD18" s="653">
        <v>63829</v>
      </c>
      <c r="LE18" s="653">
        <v>44203</v>
      </c>
      <c r="LF18" s="653">
        <v>134004</v>
      </c>
      <c r="LG18" s="652">
        <v>821258</v>
      </c>
      <c r="LH18" s="653"/>
      <c r="LI18" s="439"/>
      <c r="LJ18" s="439"/>
      <c r="LK18" s="439"/>
      <c r="LL18" s="652">
        <v>804185</v>
      </c>
      <c r="LM18" s="653">
        <v>574915</v>
      </c>
      <c r="LN18" s="653">
        <v>65552</v>
      </c>
      <c r="LO18" s="653">
        <v>46687</v>
      </c>
      <c r="LP18" s="653">
        <v>132094</v>
      </c>
      <c r="LQ18" s="652">
        <v>793031</v>
      </c>
      <c r="LR18" s="653">
        <v>552713</v>
      </c>
      <c r="LS18" s="653">
        <v>59322</v>
      </c>
      <c r="LT18" s="653">
        <v>48475</v>
      </c>
      <c r="LU18" s="653">
        <v>168442</v>
      </c>
      <c r="LV18" s="1">
        <v>12466</v>
      </c>
      <c r="LW18" s="1">
        <v>1013</v>
      </c>
      <c r="LX18" s="1">
        <v>54132</v>
      </c>
      <c r="LY18" s="1">
        <v>85779</v>
      </c>
      <c r="LZ18" s="1">
        <v>15052</v>
      </c>
      <c r="MA18" s="10">
        <v>100366</v>
      </c>
      <c r="MB18" s="39">
        <v>84380</v>
      </c>
      <c r="MC18" s="39">
        <v>6846</v>
      </c>
      <c r="MD18" s="39">
        <v>2047</v>
      </c>
      <c r="ME18" s="207">
        <v>9140</v>
      </c>
      <c r="MF18" s="3">
        <v>119106</v>
      </c>
      <c r="MG18" s="39">
        <v>94774</v>
      </c>
      <c r="MH18" s="39">
        <v>8365</v>
      </c>
      <c r="MI18" s="39">
        <v>2835</v>
      </c>
      <c r="MJ18" s="207">
        <v>15967</v>
      </c>
      <c r="MK18" s="39">
        <v>153291</v>
      </c>
      <c r="ML18" s="39">
        <v>117942</v>
      </c>
      <c r="MM18" s="39">
        <v>10079</v>
      </c>
      <c r="MN18" s="39">
        <v>4879</v>
      </c>
      <c r="MO18" s="39">
        <v>22621</v>
      </c>
      <c r="MP18" s="118">
        <v>163481</v>
      </c>
      <c r="MQ18" s="39">
        <v>128123</v>
      </c>
      <c r="MR18" s="39">
        <v>10931</v>
      </c>
      <c r="MS18" s="39">
        <v>6694</v>
      </c>
      <c r="MT18" s="39">
        <v>24427</v>
      </c>
      <c r="MU18" s="118"/>
      <c r="MV18" s="39"/>
      <c r="MW18" s="39"/>
      <c r="MX18" s="39"/>
      <c r="MY18" s="207"/>
      <c r="MZ18" s="39">
        <v>172844</v>
      </c>
      <c r="NA18" s="39">
        <v>128981</v>
      </c>
      <c r="NB18" s="39">
        <v>11824</v>
      </c>
      <c r="NC18" s="39">
        <v>7780</v>
      </c>
      <c r="ND18" s="39">
        <v>27025</v>
      </c>
      <c r="NE18" s="39">
        <v>177505</v>
      </c>
      <c r="NF18" s="39">
        <v>131646</v>
      </c>
      <c r="NG18" s="39">
        <v>12637</v>
      </c>
      <c r="NH18" s="39">
        <v>8030</v>
      </c>
      <c r="NI18" s="39">
        <v>27959</v>
      </c>
      <c r="NJ18" s="39">
        <v>185914</v>
      </c>
      <c r="NK18" s="39">
        <v>140598</v>
      </c>
      <c r="NL18" s="39">
        <v>13860</v>
      </c>
      <c r="NM18" s="39">
        <v>7248</v>
      </c>
      <c r="NN18" s="39">
        <v>108473</v>
      </c>
      <c r="NO18" s="39">
        <v>188756</v>
      </c>
      <c r="NP18" s="39">
        <v>140804</v>
      </c>
      <c r="NQ18" s="39">
        <v>11354</v>
      </c>
      <c r="NR18" s="39">
        <v>9178</v>
      </c>
      <c r="NS18" s="39">
        <v>30673</v>
      </c>
      <c r="NT18" s="39">
        <v>203590</v>
      </c>
      <c r="NU18" s="39">
        <v>148788</v>
      </c>
      <c r="NV18" s="39">
        <v>15196</v>
      </c>
      <c r="NW18" s="39">
        <v>10422</v>
      </c>
      <c r="NX18" s="39">
        <v>32474</v>
      </c>
      <c r="NY18" s="118">
        <v>208717</v>
      </c>
      <c r="NZ18" s="39">
        <v>150945</v>
      </c>
      <c r="OA18" s="39">
        <v>14716</v>
      </c>
      <c r="OB18" s="39">
        <v>9631</v>
      </c>
      <c r="OC18" s="39">
        <v>35871</v>
      </c>
      <c r="OD18" s="118">
        <v>207381</v>
      </c>
      <c r="OE18" s="39"/>
      <c r="OF18" s="39"/>
      <c r="OG18" s="39"/>
      <c r="OH18" s="39"/>
      <c r="OI18" s="118">
        <v>207896</v>
      </c>
      <c r="OJ18" s="39">
        <v>149012</v>
      </c>
      <c r="OK18" s="39">
        <v>16795</v>
      </c>
      <c r="OL18" s="39">
        <v>10036</v>
      </c>
      <c r="OM18" s="39">
        <v>35022</v>
      </c>
      <c r="ON18" s="118">
        <v>214116</v>
      </c>
      <c r="OO18" s="39">
        <v>151108</v>
      </c>
      <c r="OP18" s="39">
        <v>14424</v>
      </c>
      <c r="OQ18" s="39">
        <v>13153</v>
      </c>
      <c r="OR18" s="39">
        <v>4171</v>
      </c>
      <c r="OS18" s="1">
        <v>3231</v>
      </c>
      <c r="OT18" s="1">
        <v>224</v>
      </c>
      <c r="OU18" s="1">
        <v>14166</v>
      </c>
      <c r="OV18" s="1">
        <v>23431</v>
      </c>
      <c r="OW18" s="1">
        <v>4171</v>
      </c>
      <c r="OX18" s="402">
        <f t="shared" si="421"/>
        <v>363853</v>
      </c>
      <c r="OY18" s="382">
        <f t="shared" si="422"/>
        <v>296568</v>
      </c>
      <c r="OZ18" s="382">
        <f t="shared" si="423"/>
        <v>49683</v>
      </c>
      <c r="PA18" s="382">
        <f t="shared" si="424"/>
        <v>72346</v>
      </c>
      <c r="PB18" s="382">
        <f t="shared" si="425"/>
        <v>31802</v>
      </c>
      <c r="PC18" s="402">
        <f t="shared" si="426"/>
        <v>565877</v>
      </c>
      <c r="PD18" s="382">
        <f t="shared" si="427"/>
        <v>476383</v>
      </c>
      <c r="PE18" s="382">
        <f t="shared" si="428"/>
        <v>27752</v>
      </c>
      <c r="PF18" s="382">
        <f t="shared" si="429"/>
        <v>10497</v>
      </c>
      <c r="PG18" s="382">
        <f t="shared" si="430"/>
        <v>61742</v>
      </c>
      <c r="PH18" s="118">
        <v>622246</v>
      </c>
      <c r="PI18" s="39">
        <v>510271</v>
      </c>
      <c r="PJ18" s="39">
        <v>32892</v>
      </c>
      <c r="PK18" s="39">
        <v>19351</v>
      </c>
      <c r="PL18" s="39">
        <v>79083</v>
      </c>
      <c r="PM18" s="39">
        <v>666741</v>
      </c>
      <c r="PN18" s="39">
        <v>545480</v>
      </c>
      <c r="PO18" s="39">
        <v>33568</v>
      </c>
      <c r="PP18" s="39">
        <v>16272</v>
      </c>
      <c r="PQ18" s="39">
        <v>78272</v>
      </c>
      <c r="PR18" s="393"/>
      <c r="PS18" s="394"/>
      <c r="PT18" s="394"/>
      <c r="PU18" s="394"/>
      <c r="PV18" s="394"/>
      <c r="PW18" s="394">
        <v>753478</v>
      </c>
      <c r="PX18" s="394">
        <v>598745</v>
      </c>
      <c r="PY18" s="394">
        <v>40697</v>
      </c>
      <c r="PZ18" s="394">
        <v>23358</v>
      </c>
      <c r="QA18" s="406">
        <v>98398</v>
      </c>
      <c r="QB18" s="394">
        <v>769417</v>
      </c>
      <c r="QC18" s="394">
        <v>610602</v>
      </c>
      <c r="QD18" s="394">
        <v>41790</v>
      </c>
      <c r="QE18" s="394">
        <v>24387</v>
      </c>
      <c r="QF18" s="394">
        <v>100616</v>
      </c>
      <c r="QG18" s="394">
        <v>797282</v>
      </c>
      <c r="QH18" s="394">
        <v>626410</v>
      </c>
      <c r="QI18" s="394">
        <v>44496</v>
      </c>
      <c r="QJ18" s="394">
        <v>25537</v>
      </c>
      <c r="QK18" s="394">
        <v>108473</v>
      </c>
      <c r="QL18" s="393">
        <v>818760</v>
      </c>
      <c r="QM18" s="394">
        <v>639970</v>
      </c>
      <c r="QN18" s="394">
        <v>43495</v>
      </c>
      <c r="QO18" s="394">
        <v>30979</v>
      </c>
      <c r="QP18" s="394">
        <v>113383</v>
      </c>
      <c r="QQ18" s="393">
        <v>852255</v>
      </c>
      <c r="QR18" s="394">
        <v>660059</v>
      </c>
      <c r="QS18" s="394">
        <v>48638</v>
      </c>
      <c r="QT18" s="394">
        <v>32371</v>
      </c>
      <c r="QU18" s="394">
        <v>120429</v>
      </c>
      <c r="QV18" s="393">
        <v>869253</v>
      </c>
      <c r="QW18" s="394">
        <v>671492</v>
      </c>
      <c r="QX18" s="394">
        <v>49491</v>
      </c>
      <c r="QY18" s="394">
        <v>32885</v>
      </c>
      <c r="QZ18" s="394">
        <v>124766</v>
      </c>
      <c r="RA18" s="393">
        <v>875542</v>
      </c>
      <c r="RB18" s="394"/>
      <c r="RC18" s="394"/>
      <c r="RD18" s="394"/>
      <c r="RE18" s="394"/>
      <c r="RF18" s="394">
        <v>894405</v>
      </c>
      <c r="RG18" s="394">
        <v>685626</v>
      </c>
      <c r="RH18" s="394">
        <v>52529</v>
      </c>
      <c r="RI18" s="394">
        <v>36017</v>
      </c>
      <c r="RJ18" s="394">
        <v>129806</v>
      </c>
      <c r="RK18" s="394">
        <v>951299</v>
      </c>
      <c r="RL18" s="394">
        <v>702409</v>
      </c>
      <c r="RM18" s="394">
        <v>55403</v>
      </c>
      <c r="RN18" s="394">
        <v>46268</v>
      </c>
      <c r="RO18" s="394">
        <v>181415</v>
      </c>
      <c r="RP18" s="1">
        <v>30606</v>
      </c>
      <c r="RQ18" s="1">
        <v>0</v>
      </c>
      <c r="RR18" s="1">
        <v>46847</v>
      </c>
      <c r="RS18" s="1">
        <v>90897</v>
      </c>
      <c r="RT18" s="1">
        <v>13065</v>
      </c>
      <c r="RU18" s="10">
        <v>236112</v>
      </c>
      <c r="RV18" s="3">
        <v>212188</v>
      </c>
      <c r="RW18" s="3">
        <v>10156</v>
      </c>
      <c r="RX18" s="3">
        <v>2833</v>
      </c>
      <c r="RY18" s="3">
        <v>13768</v>
      </c>
      <c r="RZ18" s="10">
        <v>297082</v>
      </c>
      <c r="SA18" s="39">
        <v>254670</v>
      </c>
      <c r="SB18" s="39">
        <v>13434</v>
      </c>
      <c r="SC18" s="39">
        <v>4964</v>
      </c>
      <c r="SD18" s="39">
        <v>28978</v>
      </c>
      <c r="SE18" s="118">
        <v>345577</v>
      </c>
      <c r="SF18" s="39">
        <v>288073</v>
      </c>
      <c r="SG18" s="39">
        <v>17539</v>
      </c>
      <c r="SH18" s="39">
        <v>7509</v>
      </c>
      <c r="SI18" s="39">
        <v>35660</v>
      </c>
      <c r="SJ18" s="118">
        <v>366448</v>
      </c>
      <c r="SK18" s="39">
        <v>304321</v>
      </c>
      <c r="SL18" s="39">
        <v>18757</v>
      </c>
      <c r="SM18" s="39">
        <v>10421</v>
      </c>
      <c r="SN18" s="39">
        <v>43370</v>
      </c>
      <c r="SO18" s="118">
        <v>378556.5</v>
      </c>
      <c r="SP18" s="39">
        <v>315575.7</v>
      </c>
      <c r="SQ18" s="39">
        <v>19246.559999999998</v>
      </c>
      <c r="SR18" s="39">
        <v>11161.981</v>
      </c>
      <c r="SS18" s="39">
        <v>43734.239999999991</v>
      </c>
      <c r="ST18" s="118">
        <v>388496</v>
      </c>
      <c r="SU18" s="39">
        <v>314139</v>
      </c>
      <c r="SV18" s="39">
        <v>19970</v>
      </c>
      <c r="SW18" s="39">
        <v>11442</v>
      </c>
      <c r="SX18" s="39">
        <v>46519</v>
      </c>
      <c r="SY18" s="39">
        <v>396617</v>
      </c>
      <c r="SZ18" s="39">
        <v>320401</v>
      </c>
      <c r="TA18" s="39">
        <v>19728</v>
      </c>
      <c r="TB18" s="39">
        <v>11966</v>
      </c>
      <c r="TC18" s="39">
        <v>48221</v>
      </c>
      <c r="TD18" s="39">
        <v>405799</v>
      </c>
      <c r="TE18" s="39">
        <v>322343</v>
      </c>
      <c r="TF18" s="39">
        <v>19854</v>
      </c>
      <c r="TG18" s="39">
        <v>12471</v>
      </c>
      <c r="TH18" s="39">
        <v>54648</v>
      </c>
      <c r="TI18" s="39">
        <v>421765</v>
      </c>
      <c r="TJ18" s="39">
        <v>335766</v>
      </c>
      <c r="TK18" s="39">
        <v>19699</v>
      </c>
      <c r="TL18" s="39">
        <v>14825</v>
      </c>
      <c r="TM18" s="39">
        <v>56328</v>
      </c>
      <c r="TN18" s="39">
        <v>432922</v>
      </c>
      <c r="TO18" s="39">
        <v>341174</v>
      </c>
      <c r="TP18" s="39">
        <v>22865</v>
      </c>
      <c r="TQ18" s="39">
        <v>16092</v>
      </c>
      <c r="TR18" s="39">
        <v>57609</v>
      </c>
      <c r="TS18" s="118">
        <v>437243</v>
      </c>
      <c r="TT18" s="39">
        <v>345080</v>
      </c>
      <c r="TU18" s="39">
        <v>21783</v>
      </c>
      <c r="TV18" s="39">
        <v>16985</v>
      </c>
      <c r="TW18" s="39">
        <v>58853</v>
      </c>
      <c r="TX18" s="118">
        <v>434570</v>
      </c>
      <c r="TY18" s="39"/>
      <c r="TZ18" s="39"/>
      <c r="UA18" s="39"/>
      <c r="UB18" s="39"/>
      <c r="UC18" s="118">
        <v>447888</v>
      </c>
      <c r="UD18" s="39">
        <v>351791</v>
      </c>
      <c r="UE18" s="39">
        <v>23103</v>
      </c>
      <c r="UF18" s="39">
        <v>18898</v>
      </c>
      <c r="UG18" s="39">
        <v>58440</v>
      </c>
      <c r="UH18" s="118">
        <v>483168</v>
      </c>
      <c r="UI18" s="39">
        <v>362796</v>
      </c>
      <c r="UJ18" s="39">
        <v>26985</v>
      </c>
      <c r="UK18" s="39">
        <v>23303</v>
      </c>
      <c r="UL18" s="39">
        <v>87897</v>
      </c>
      <c r="UM18" s="1">
        <v>13068</v>
      </c>
      <c r="UN18" s="1">
        <v>255</v>
      </c>
      <c r="UO18" s="1">
        <v>22071</v>
      </c>
      <c r="UP18" s="1">
        <v>46268</v>
      </c>
      <c r="UQ18" s="1">
        <v>8894</v>
      </c>
      <c r="UR18" s="588">
        <f t="shared" si="431"/>
        <v>97833</v>
      </c>
      <c r="US18" s="40">
        <v>57153</v>
      </c>
      <c r="UT18" s="40">
        <v>40680</v>
      </c>
      <c r="UU18" s="588">
        <f t="shared" si="432"/>
        <v>4284</v>
      </c>
      <c r="UV18" s="40">
        <v>1946</v>
      </c>
      <c r="UW18" s="40">
        <v>2338</v>
      </c>
      <c r="UX18" s="42">
        <v>141604</v>
      </c>
      <c r="UY18" s="588">
        <f t="shared" si="433"/>
        <v>83877</v>
      </c>
      <c r="UZ18" s="588">
        <f t="shared" si="434"/>
        <v>57727</v>
      </c>
      <c r="VA18" s="588">
        <f t="shared" si="435"/>
        <v>135960</v>
      </c>
      <c r="VB18" s="40">
        <v>81160</v>
      </c>
      <c r="VC18" s="40">
        <v>54800</v>
      </c>
      <c r="VD18" s="588">
        <f t="shared" si="436"/>
        <v>3954</v>
      </c>
      <c r="VE18" s="40">
        <v>1602</v>
      </c>
      <c r="VF18" s="40">
        <v>2352</v>
      </c>
      <c r="VG18" s="588">
        <f t="shared" si="437"/>
        <v>1690</v>
      </c>
      <c r="VH18" s="40">
        <v>1115</v>
      </c>
      <c r="VI18" s="40">
        <v>575</v>
      </c>
      <c r="VJ18" s="42">
        <v>266762</v>
      </c>
      <c r="VK18" s="588">
        <f t="shared" si="438"/>
        <v>157577</v>
      </c>
      <c r="VL18" s="588">
        <f t="shared" si="439"/>
        <v>109185</v>
      </c>
      <c r="VM18" s="39">
        <f>99112+145673</f>
        <v>244785</v>
      </c>
      <c r="VN18" s="40">
        <v>145673</v>
      </c>
      <c r="VO18" s="40">
        <v>99112</v>
      </c>
      <c r="VP18" s="40">
        <v>11904</v>
      </c>
      <c r="VQ18" s="40">
        <v>10073</v>
      </c>
      <c r="VR18" s="39">
        <f>4539+4783</f>
        <v>9322</v>
      </c>
      <c r="VS18" s="40">
        <v>4539</v>
      </c>
      <c r="VT18" s="40">
        <v>4783</v>
      </c>
      <c r="VU18" s="39">
        <f>1525+862</f>
        <v>2387</v>
      </c>
      <c r="VV18" s="40">
        <v>1525</v>
      </c>
      <c r="VW18" s="40">
        <v>862</v>
      </c>
      <c r="VX18" s="233">
        <f t="shared" si="440"/>
        <v>10268</v>
      </c>
      <c r="VY18" s="233">
        <f t="shared" si="441"/>
        <v>5840</v>
      </c>
      <c r="VZ18" s="233">
        <f t="shared" si="442"/>
        <v>4428</v>
      </c>
      <c r="WA18" s="234">
        <f t="shared" si="443"/>
        <v>218</v>
      </c>
      <c r="WB18" s="234">
        <f t="shared" si="444"/>
        <v>163</v>
      </c>
      <c r="WC18" s="234">
        <f t="shared" si="445"/>
        <v>55</v>
      </c>
      <c r="WD18" s="40">
        <v>10050</v>
      </c>
      <c r="WE18" s="40">
        <v>5677</v>
      </c>
      <c r="WF18" s="40">
        <v>4373</v>
      </c>
      <c r="WG18" s="12">
        <f t="shared" si="446"/>
        <v>263487</v>
      </c>
      <c r="WH18" s="588">
        <f t="shared" si="447"/>
        <v>195606</v>
      </c>
      <c r="WI18" s="588">
        <f t="shared" si="448"/>
        <v>159363</v>
      </c>
      <c r="WJ18" s="11">
        <f t="shared" si="449"/>
        <v>212188</v>
      </c>
      <c r="WK18" s="90">
        <f t="shared" si="450"/>
        <v>315845</v>
      </c>
      <c r="WL18" s="40">
        <v>175489</v>
      </c>
      <c r="WM18" s="40">
        <v>140356</v>
      </c>
      <c r="WN18" s="40">
        <v>20117</v>
      </c>
      <c r="WO18" s="40">
        <v>19007</v>
      </c>
      <c r="WP18" s="11">
        <f t="shared" si="451"/>
        <v>42837</v>
      </c>
      <c r="WQ18" s="90">
        <f t="shared" si="452"/>
        <v>14786</v>
      </c>
      <c r="WR18" s="40">
        <v>6907</v>
      </c>
      <c r="WS18" s="40">
        <v>7879</v>
      </c>
      <c r="WT18" s="11">
        <f t="shared" si="453"/>
        <v>3996</v>
      </c>
      <c r="WU18" s="40">
        <v>2279</v>
      </c>
      <c r="WV18" s="40">
        <v>1717</v>
      </c>
      <c r="WW18" s="9">
        <f t="shared" si="454"/>
        <v>22662</v>
      </c>
      <c r="WX18" s="235">
        <f t="shared" si="455"/>
        <v>10931</v>
      </c>
      <c r="WY18" s="235">
        <f t="shared" si="456"/>
        <v>9411</v>
      </c>
      <c r="WZ18" s="236">
        <f t="shared" si="457"/>
        <v>51</v>
      </c>
      <c r="XA18" s="236">
        <f t="shared" si="458"/>
        <v>20</v>
      </c>
      <c r="XB18" s="236">
        <f t="shared" si="459"/>
        <v>31</v>
      </c>
      <c r="XC18" s="589">
        <f t="shared" si="460"/>
        <v>20291</v>
      </c>
      <c r="XD18" s="589">
        <f t="shared" si="461"/>
        <v>10911</v>
      </c>
      <c r="XE18" s="589">
        <f t="shared" si="462"/>
        <v>9380</v>
      </c>
      <c r="XF18" s="40">
        <v>7148</v>
      </c>
      <c r="XG18" s="40">
        <v>6903</v>
      </c>
      <c r="XH18" s="40">
        <v>3763</v>
      </c>
      <c r="XI18" s="40">
        <v>2477</v>
      </c>
      <c r="XJ18" s="590">
        <v>446771</v>
      </c>
      <c r="XK18" s="40">
        <v>229359</v>
      </c>
      <c r="XL18" s="40">
        <v>217412</v>
      </c>
      <c r="XM18" s="5">
        <f t="shared" si="463"/>
        <v>381609</v>
      </c>
      <c r="XN18" s="5">
        <v>198056</v>
      </c>
      <c r="XO18" s="5">
        <v>183553</v>
      </c>
      <c r="XP18" s="84">
        <f t="shared" si="464"/>
        <v>377314</v>
      </c>
      <c r="XQ18" s="40">
        <v>195794</v>
      </c>
      <c r="XR18" s="40">
        <v>181520</v>
      </c>
      <c r="XS18" s="5">
        <f t="shared" si="465"/>
        <v>19387</v>
      </c>
      <c r="XT18" s="40">
        <v>8633</v>
      </c>
      <c r="XU18" s="40">
        <v>10754</v>
      </c>
      <c r="XV18" s="5">
        <f t="shared" si="466"/>
        <v>7662</v>
      </c>
      <c r="XW18" s="40">
        <v>3982</v>
      </c>
      <c r="XX18" s="40">
        <v>3680</v>
      </c>
      <c r="XY18" s="84">
        <f t="shared" si="467"/>
        <v>45775</v>
      </c>
      <c r="XZ18" s="84">
        <f t="shared" si="468"/>
        <v>22670</v>
      </c>
      <c r="YA18" s="84">
        <f t="shared" si="469"/>
        <v>23105</v>
      </c>
      <c r="YB18" s="587">
        <v>513450</v>
      </c>
      <c r="YC18" s="40">
        <v>427538</v>
      </c>
      <c r="YD18" s="40">
        <v>23489</v>
      </c>
      <c r="YE18" s="40">
        <v>11393</v>
      </c>
      <c r="YF18" s="5">
        <v>55651</v>
      </c>
      <c r="YG18" s="118">
        <v>523441</v>
      </c>
      <c r="YH18" s="39">
        <v>441316</v>
      </c>
      <c r="YI18" s="39">
        <v>24459</v>
      </c>
      <c r="YJ18" s="39">
        <v>57666</v>
      </c>
      <c r="YK18" s="39">
        <v>12183</v>
      </c>
      <c r="YL18" s="118">
        <v>529847</v>
      </c>
      <c r="YM18" s="39">
        <v>445828</v>
      </c>
      <c r="YN18" s="39">
        <v>24551</v>
      </c>
      <c r="YO18" s="39">
        <v>59468</v>
      </c>
      <c r="YP18" s="39">
        <v>13291</v>
      </c>
      <c r="YQ18" s="118">
        <v>544533</v>
      </c>
      <c r="YR18" s="39">
        <v>452262</v>
      </c>
      <c r="YS18" s="39">
        <v>26678</v>
      </c>
      <c r="YT18" s="39">
        <v>65593</v>
      </c>
      <c r="YU18" s="39">
        <v>14512</v>
      </c>
      <c r="YV18" s="10">
        <v>564171.30000000005</v>
      </c>
      <c r="YW18" s="39">
        <v>468582.1</v>
      </c>
      <c r="YX18" s="39">
        <v>27747.123999999996</v>
      </c>
      <c r="YY18" s="39">
        <v>15563.888999999999</v>
      </c>
      <c r="YZ18" s="39">
        <v>67842.076000000074</v>
      </c>
      <c r="ZA18" s="39">
        <v>580634</v>
      </c>
      <c r="ZB18" s="39">
        <v>469764</v>
      </c>
      <c r="ZC18" s="39">
        <v>28873</v>
      </c>
      <c r="ZD18" s="39">
        <v>15578</v>
      </c>
      <c r="ZE18" s="1">
        <v>71373</v>
      </c>
      <c r="ZF18" s="1">
        <v>591912</v>
      </c>
      <c r="ZG18" s="1">
        <v>478956</v>
      </c>
      <c r="ZH18" s="1">
        <v>29153</v>
      </c>
      <c r="ZI18" s="1">
        <v>16357</v>
      </c>
      <c r="ZJ18" s="1">
        <v>72657</v>
      </c>
      <c r="ZK18" s="1">
        <v>611368</v>
      </c>
      <c r="ZL18" s="1">
        <v>485812</v>
      </c>
      <c r="ZM18" s="1">
        <v>30636</v>
      </c>
      <c r="ZN18" s="1">
        <v>18289</v>
      </c>
      <c r="ZO18" s="1">
        <v>81753</v>
      </c>
      <c r="ZP18" s="1">
        <v>630004</v>
      </c>
      <c r="ZQ18" s="1">
        <v>499166</v>
      </c>
      <c r="ZR18" s="1">
        <v>32141</v>
      </c>
      <c r="ZS18" s="1">
        <v>21801</v>
      </c>
      <c r="ZT18" s="1">
        <v>82710</v>
      </c>
      <c r="ZU18" s="1">
        <v>648665</v>
      </c>
      <c r="ZV18" s="1">
        <v>511271</v>
      </c>
      <c r="ZW18" s="1">
        <v>33442</v>
      </c>
      <c r="ZX18" s="1">
        <v>21949</v>
      </c>
      <c r="ZY18" s="1">
        <v>87955</v>
      </c>
      <c r="ZZ18" s="394">
        <v>22288</v>
      </c>
      <c r="AAA18" s="1">
        <v>209</v>
      </c>
      <c r="AAB18" s="1">
        <v>29807</v>
      </c>
      <c r="AAC18" s="1">
        <v>31467</v>
      </c>
      <c r="AAD18" s="1">
        <v>3943</v>
      </c>
      <c r="AAE18" s="50">
        <v>660536</v>
      </c>
      <c r="AAF18" s="1">
        <v>520547</v>
      </c>
      <c r="AAG18" s="1">
        <v>34775</v>
      </c>
      <c r="AAH18" s="1">
        <v>23254</v>
      </c>
      <c r="AAI18" s="1">
        <v>88895</v>
      </c>
      <c r="AAJ18" s="50">
        <v>668161</v>
      </c>
      <c r="AAK18" s="1"/>
      <c r="AAL18" s="1"/>
      <c r="AAM18" s="1"/>
      <c r="AAN18" s="1"/>
      <c r="AAO18" s="68">
        <v>686509</v>
      </c>
      <c r="AAP18" s="37">
        <v>536614</v>
      </c>
      <c r="AAQ18" s="37">
        <v>35734</v>
      </c>
      <c r="AAR18" s="37">
        <v>25981</v>
      </c>
      <c r="AAS18" s="37">
        <v>94784</v>
      </c>
      <c r="AAT18" s="68">
        <v>737183</v>
      </c>
      <c r="AAU18" s="37">
        <v>551301</v>
      </c>
      <c r="AAV18" s="37">
        <v>40979</v>
      </c>
      <c r="AAW18" s="37">
        <v>33115</v>
      </c>
      <c r="AAX18" s="37">
        <v>136416</v>
      </c>
      <c r="AAY18" s="1">
        <v>27375</v>
      </c>
      <c r="AAZ18" s="1">
        <v>0</v>
      </c>
      <c r="ABA18" s="1">
        <v>32681</v>
      </c>
      <c r="ABB18" s="1">
        <v>67466</v>
      </c>
      <c r="ABC18" s="1">
        <v>8894</v>
      </c>
      <c r="ABD18" s="10">
        <v>149689</v>
      </c>
      <c r="ABE18" s="39">
        <v>126939</v>
      </c>
      <c r="ABF18" s="39">
        <v>5953</v>
      </c>
      <c r="ABG18" s="39">
        <v>2698</v>
      </c>
      <c r="ABH18" s="39">
        <v>16797</v>
      </c>
      <c r="ABI18" s="118">
        <v>167873</v>
      </c>
      <c r="ABJ18" s="39">
        <v>139465</v>
      </c>
      <c r="ABK18" s="39">
        <v>5950</v>
      </c>
      <c r="ABL18" s="39">
        <v>3884</v>
      </c>
      <c r="ABM18" s="39">
        <v>19991</v>
      </c>
      <c r="ABN18" s="10">
        <v>178085</v>
      </c>
      <c r="ABO18" s="39">
        <v>147941</v>
      </c>
      <c r="ABP18" s="39">
        <v>7921</v>
      </c>
      <c r="ABQ18" s="39">
        <v>4091</v>
      </c>
      <c r="ABR18" s="39">
        <v>22223</v>
      </c>
      <c r="ABS18" s="10">
        <v>185614.8</v>
      </c>
      <c r="ABT18" s="39">
        <v>153006.39999999999</v>
      </c>
      <c r="ABU18" s="39">
        <v>8500.5640000000003</v>
      </c>
      <c r="ABV18" s="39">
        <v>4401.9079999999994</v>
      </c>
      <c r="ABW18" s="207">
        <v>24107.835999999996</v>
      </c>
      <c r="ABX18" s="1">
        <v>192138</v>
      </c>
      <c r="ABY18" s="1">
        <v>155625</v>
      </c>
      <c r="ABZ18" s="1">
        <v>8903</v>
      </c>
      <c r="ACA18" s="1">
        <v>4136</v>
      </c>
      <c r="ACB18" s="49">
        <v>24854</v>
      </c>
      <c r="ACC18" s="1">
        <v>195295</v>
      </c>
      <c r="ACD18" s="1">
        <v>158555</v>
      </c>
      <c r="ACE18" s="1">
        <v>9425</v>
      </c>
      <c r="ACF18" s="1">
        <v>4391</v>
      </c>
      <c r="ACG18" s="1">
        <v>24436</v>
      </c>
      <c r="ACH18" s="1">
        <v>205569</v>
      </c>
      <c r="ACI18" s="1">
        <v>163469</v>
      </c>
      <c r="ACJ18" s="1">
        <v>10782</v>
      </c>
      <c r="ACK18" s="1">
        <v>5818</v>
      </c>
      <c r="ACL18" s="1">
        <v>27105</v>
      </c>
      <c r="ACM18" s="1">
        <v>208239</v>
      </c>
      <c r="ACN18" s="1">
        <v>163400</v>
      </c>
      <c r="ACO18" s="1">
        <v>12442</v>
      </c>
      <c r="ACP18" s="1">
        <v>6976</v>
      </c>
      <c r="ACQ18" s="1">
        <v>26382</v>
      </c>
      <c r="ACR18" s="1">
        <v>215743</v>
      </c>
      <c r="ACS18" s="1">
        <v>170097</v>
      </c>
      <c r="ACT18" s="1">
        <v>10577</v>
      </c>
      <c r="ACU18" s="1">
        <v>5857</v>
      </c>
      <c r="ACV18" s="1">
        <v>30346</v>
      </c>
      <c r="ADB18" s="50">
        <v>223293</v>
      </c>
      <c r="ADC18" s="1">
        <v>175467</v>
      </c>
      <c r="ADD18" s="1">
        <v>12992</v>
      </c>
      <c r="ADE18" s="1">
        <v>6269</v>
      </c>
      <c r="ADF18" s="1">
        <v>30042</v>
      </c>
      <c r="ADG18" s="50">
        <v>233591</v>
      </c>
      <c r="ADL18" s="50">
        <v>238621</v>
      </c>
      <c r="ADM18" s="1">
        <v>184823</v>
      </c>
      <c r="ADN18" s="1">
        <v>12631</v>
      </c>
      <c r="ADO18" s="1">
        <v>7083</v>
      </c>
      <c r="ADP18" s="1">
        <v>36344</v>
      </c>
      <c r="ADQ18" s="50">
        <v>254015</v>
      </c>
      <c r="ADR18" s="1">
        <v>188505</v>
      </c>
      <c r="ADS18" s="1">
        <v>13994</v>
      </c>
      <c r="ADT18" s="1">
        <v>9812</v>
      </c>
      <c r="ADU18" s="1">
        <v>48794</v>
      </c>
      <c r="ADV18" s="1">
        <v>14307</v>
      </c>
      <c r="ADW18" s="1">
        <v>20</v>
      </c>
      <c r="ADX18" s="1">
        <v>10610</v>
      </c>
      <c r="ADY18" s="1">
        <v>21198</v>
      </c>
      <c r="ADZ18" s="1">
        <v>2659</v>
      </c>
    </row>
    <row r="19" spans="1:806" ht="14.1">
      <c r="A19" s="138" t="s">
        <v>19</v>
      </c>
      <c r="B19" s="118">
        <f>66499+100967+49731+56733+110848+60424</f>
        <v>445202</v>
      </c>
      <c r="C19" s="39">
        <f>29153+64468+35166+23999+65037+40248</f>
        <v>258071</v>
      </c>
      <c r="D19" s="39">
        <f>36267+35124+13874+31643+43834+19145</f>
        <v>179887</v>
      </c>
      <c r="E19" s="39">
        <f>857+1000+475+667+1228+594</f>
        <v>4821</v>
      </c>
      <c r="F19" s="207">
        <f>187+207+141+35+147+54+164+266+203+227+472+214</f>
        <v>2317</v>
      </c>
      <c r="G19" s="3">
        <v>295167</v>
      </c>
      <c r="H19" s="39">
        <v>169253</v>
      </c>
      <c r="I19" s="39">
        <v>123006</v>
      </c>
      <c r="J19" s="39">
        <v>1787</v>
      </c>
      <c r="K19" s="207">
        <v>2908</v>
      </c>
      <c r="L19" s="3">
        <v>215776</v>
      </c>
      <c r="M19" s="39">
        <v>120006</v>
      </c>
      <c r="N19" s="39">
        <v>84690</v>
      </c>
      <c r="O19" s="39">
        <v>11605</v>
      </c>
      <c r="P19" s="207">
        <v>11080</v>
      </c>
      <c r="Q19" s="39">
        <v>181498</v>
      </c>
      <c r="R19" s="39">
        <v>90946</v>
      </c>
      <c r="S19" s="39">
        <v>65314</v>
      </c>
      <c r="T19" s="39">
        <v>21090</v>
      </c>
      <c r="U19" s="207">
        <v>13514</v>
      </c>
      <c r="V19" s="5">
        <v>175549</v>
      </c>
      <c r="W19" s="394">
        <v>101892</v>
      </c>
      <c r="X19" s="394">
        <v>58397</v>
      </c>
      <c r="Y19" s="394">
        <v>28786</v>
      </c>
      <c r="Z19" s="406">
        <v>15260</v>
      </c>
      <c r="AA19" s="394">
        <v>169548</v>
      </c>
      <c r="AB19" s="1">
        <v>81226</v>
      </c>
      <c r="AC19" s="394">
        <v>53370</v>
      </c>
      <c r="AD19" s="394">
        <v>29422</v>
      </c>
      <c r="AE19" s="394">
        <v>19472</v>
      </c>
      <c r="AF19" s="393">
        <v>167089</v>
      </c>
      <c r="AG19" s="394">
        <v>80637</v>
      </c>
      <c r="AH19" s="394">
        <v>50340</v>
      </c>
      <c r="AI19" s="394">
        <v>30120</v>
      </c>
      <c r="AJ19" s="490">
        <v>19716</v>
      </c>
      <c r="AK19" s="490">
        <v>148284</v>
      </c>
      <c r="AL19" s="490">
        <v>71572</v>
      </c>
      <c r="AM19" s="685">
        <v>39803</v>
      </c>
      <c r="AN19" s="685">
        <v>33205</v>
      </c>
      <c r="AO19" s="490">
        <v>15531</v>
      </c>
      <c r="AP19" s="394">
        <v>147012</v>
      </c>
      <c r="AQ19" s="394">
        <v>67026</v>
      </c>
      <c r="AR19" s="394">
        <v>44767</v>
      </c>
      <c r="AS19" s="394">
        <v>29750</v>
      </c>
      <c r="AT19" s="394">
        <v>16262</v>
      </c>
      <c r="AU19" s="393">
        <v>148917</v>
      </c>
      <c r="AV19" s="394">
        <v>68386</v>
      </c>
      <c r="AW19" s="394">
        <v>44736</v>
      </c>
      <c r="AX19" s="394">
        <v>30049</v>
      </c>
      <c r="AY19" s="394">
        <v>16055</v>
      </c>
      <c r="AZ19" s="1">
        <v>3414</v>
      </c>
      <c r="BA19" s="1">
        <v>0</v>
      </c>
      <c r="BB19" s="1">
        <v>867</v>
      </c>
      <c r="BC19" s="1">
        <v>1972</v>
      </c>
      <c r="BD19" s="1">
        <v>9802</v>
      </c>
      <c r="BE19" s="393">
        <v>139309</v>
      </c>
      <c r="BF19" s="394">
        <v>62991</v>
      </c>
      <c r="BG19" s="394">
        <v>40843</v>
      </c>
      <c r="BH19" s="394">
        <v>29392</v>
      </c>
      <c r="BI19" s="394">
        <v>20177</v>
      </c>
      <c r="BJ19" s="393">
        <v>125417</v>
      </c>
      <c r="BK19" s="394"/>
      <c r="BL19" s="394"/>
      <c r="BM19" s="394"/>
      <c r="BN19" s="394"/>
      <c r="BO19" s="393">
        <v>132646</v>
      </c>
      <c r="BP19" s="394">
        <v>57120</v>
      </c>
      <c r="BQ19" s="394">
        <v>34740</v>
      </c>
      <c r="BR19" s="394">
        <v>35538</v>
      </c>
      <c r="BS19" s="394">
        <v>25895</v>
      </c>
      <c r="BT19" s="393">
        <v>115832</v>
      </c>
      <c r="BU19" s="394">
        <v>45536</v>
      </c>
      <c r="BV19" s="394">
        <v>29251</v>
      </c>
      <c r="BW19" s="394">
        <v>32407</v>
      </c>
      <c r="BX19" s="394">
        <v>4761</v>
      </c>
      <c r="BY19" s="1">
        <v>0</v>
      </c>
      <c r="BZ19" s="1">
        <v>1368</v>
      </c>
      <c r="CA19" s="1">
        <v>18495</v>
      </c>
      <c r="CB19" s="1">
        <v>14340</v>
      </c>
      <c r="CC19" s="118">
        <v>392093</v>
      </c>
      <c r="CD19" s="39">
        <v>248219</v>
      </c>
      <c r="CE19" s="39">
        <v>140640</v>
      </c>
      <c r="CF19" s="39">
        <v>32407</v>
      </c>
      <c r="CG19" s="207">
        <v>3234</v>
      </c>
      <c r="CH19" s="3">
        <v>398503</v>
      </c>
      <c r="CI19" s="39">
        <v>233156</v>
      </c>
      <c r="CJ19" s="39">
        <v>154354</v>
      </c>
      <c r="CK19" s="39">
        <v>8213</v>
      </c>
      <c r="CL19" s="207">
        <v>10993</v>
      </c>
      <c r="CM19" s="1">
        <v>350070</v>
      </c>
      <c r="CN19" s="39">
        <v>199497</v>
      </c>
      <c r="CO19" s="39">
        <v>132518</v>
      </c>
      <c r="CP19" s="39">
        <v>12239</v>
      </c>
      <c r="CQ19" s="207">
        <v>11593</v>
      </c>
      <c r="CR19" s="3">
        <v>319871</v>
      </c>
      <c r="CS19" s="39">
        <v>182101</v>
      </c>
      <c r="CT19" s="39">
        <v>123025</v>
      </c>
      <c r="CU19" s="39">
        <v>18934</v>
      </c>
      <c r="CV19" s="207">
        <v>14745</v>
      </c>
      <c r="CW19" s="39">
        <v>319300</v>
      </c>
      <c r="CX19" s="39">
        <v>169349</v>
      </c>
      <c r="CY19" s="39">
        <v>123139</v>
      </c>
      <c r="CZ19" s="39">
        <v>19209</v>
      </c>
      <c r="DA19" s="39">
        <v>15884</v>
      </c>
      <c r="DB19" s="39">
        <v>310115</v>
      </c>
      <c r="DC19" s="39">
        <v>166947</v>
      </c>
      <c r="DD19" s="39">
        <v>117703</v>
      </c>
      <c r="DE19" s="39">
        <v>17818</v>
      </c>
      <c r="DF19" s="39">
        <v>14309</v>
      </c>
      <c r="DG19" s="39">
        <v>303682</v>
      </c>
      <c r="DH19" s="39">
        <v>149807</v>
      </c>
      <c r="DI19" s="39">
        <v>125963</v>
      </c>
      <c r="DJ19" s="39">
        <v>20829</v>
      </c>
      <c r="DK19" s="39">
        <v>16033</v>
      </c>
      <c r="DL19" s="39">
        <v>306843</v>
      </c>
      <c r="DM19" s="39">
        <v>161344</v>
      </c>
      <c r="DN19" s="39">
        <v>116852</v>
      </c>
      <c r="DO19" s="39">
        <v>20895</v>
      </c>
      <c r="DP19" s="39">
        <v>16022</v>
      </c>
      <c r="DQ19" s="39">
        <v>304737</v>
      </c>
      <c r="DR19" s="39">
        <v>156851</v>
      </c>
      <c r="DS19" s="39">
        <v>116118</v>
      </c>
      <c r="DT19" s="39">
        <v>24802</v>
      </c>
      <c r="DU19" s="39">
        <v>14254</v>
      </c>
      <c r="DV19" s="118">
        <v>295539</v>
      </c>
      <c r="DW19" s="39">
        <v>152620</v>
      </c>
      <c r="DX19" s="39">
        <v>117258</v>
      </c>
      <c r="DY19" s="39">
        <v>19345</v>
      </c>
      <c r="DZ19" s="39">
        <v>12498</v>
      </c>
      <c r="EA19" s="118">
        <v>278074</v>
      </c>
      <c r="EB19" s="39"/>
      <c r="EC19" s="39"/>
      <c r="ED19" s="39"/>
      <c r="EE19" s="39"/>
      <c r="EF19" s="118">
        <v>283032</v>
      </c>
      <c r="EG19" s="39">
        <v>146303</v>
      </c>
      <c r="EH19" s="39">
        <v>110156</v>
      </c>
      <c r="EI19" s="39">
        <v>18235</v>
      </c>
      <c r="EJ19" s="39">
        <v>17117</v>
      </c>
      <c r="EK19" s="118">
        <v>283032</v>
      </c>
      <c r="EL19" s="39">
        <v>146303</v>
      </c>
      <c r="EM19" s="39">
        <v>110156</v>
      </c>
      <c r="EN19" s="39">
        <v>18235</v>
      </c>
      <c r="EO19" s="39">
        <v>17117</v>
      </c>
      <c r="EP19" s="118">
        <v>258165</v>
      </c>
      <c r="EQ19" s="39">
        <v>135071</v>
      </c>
      <c r="ER19" s="39">
        <v>89552</v>
      </c>
      <c r="ES19" s="39">
        <v>22316</v>
      </c>
      <c r="ET19" s="1">
        <v>2453</v>
      </c>
      <c r="EU19" s="1">
        <v>0</v>
      </c>
      <c r="EV19" s="1">
        <v>2974</v>
      </c>
      <c r="EW19" s="1">
        <v>14498</v>
      </c>
      <c r="EX19" s="1">
        <v>11939</v>
      </c>
      <c r="EY19" s="10">
        <v>495376</v>
      </c>
      <c r="EZ19" s="39">
        <v>279971</v>
      </c>
      <c r="FA19" s="39">
        <v>179204</v>
      </c>
      <c r="FB19" s="39">
        <v>49837</v>
      </c>
      <c r="FC19" s="382">
        <f t="shared" si="470"/>
        <v>36201</v>
      </c>
      <c r="FD19" s="230">
        <v>152716</v>
      </c>
      <c r="FE19" s="231">
        <v>187035</v>
      </c>
      <c r="FF19" s="231">
        <v>344939</v>
      </c>
      <c r="FG19" s="231">
        <v>485281</v>
      </c>
      <c r="FH19" s="10">
        <v>930728</v>
      </c>
      <c r="FI19" s="39">
        <v>742876.25</v>
      </c>
      <c r="FJ19" s="39">
        <v>174100.68</v>
      </c>
      <c r="FK19" s="39">
        <v>6907.9840000000004</v>
      </c>
      <c r="FL19" s="207">
        <v>6067.7359999999999</v>
      </c>
      <c r="FM19" s="3">
        <v>1480330</v>
      </c>
      <c r="FN19" s="39">
        <v>1163826</v>
      </c>
      <c r="FO19" s="39">
        <v>300723</v>
      </c>
      <c r="FP19" s="39">
        <v>10407</v>
      </c>
      <c r="FQ19" s="207">
        <v>15781</v>
      </c>
      <c r="FR19" s="3">
        <v>1981731</v>
      </c>
      <c r="FS19" s="39">
        <v>1491508</v>
      </c>
      <c r="FT19" s="39">
        <v>442322</v>
      </c>
      <c r="FU19" s="39">
        <v>25659</v>
      </c>
      <c r="FV19" s="39">
        <v>47901</v>
      </c>
      <c r="FW19" s="232">
        <v>2320330</v>
      </c>
      <c r="FX19" s="39">
        <v>1680474</v>
      </c>
      <c r="FY19" s="39">
        <v>607786</v>
      </c>
      <c r="FZ19" s="39">
        <v>60342</v>
      </c>
      <c r="GA19" s="39">
        <v>48103</v>
      </c>
      <c r="GB19" s="118">
        <v>2389182</v>
      </c>
      <c r="GC19" s="39">
        <v>1758696</v>
      </c>
      <c r="GD19" s="39">
        <v>559978</v>
      </c>
      <c r="GE19" s="39">
        <v>70508</v>
      </c>
      <c r="GF19" s="39">
        <v>51048</v>
      </c>
      <c r="GG19" s="42">
        <v>2465386</v>
      </c>
      <c r="GH19" s="40">
        <v>1810907</v>
      </c>
      <c r="GI19" s="40">
        <v>580237</v>
      </c>
      <c r="GJ19" s="40">
        <v>74242</v>
      </c>
      <c r="GK19" s="40">
        <v>55289</v>
      </c>
      <c r="GL19" s="10">
        <v>2539633</v>
      </c>
      <c r="GM19" s="39">
        <v>1860152</v>
      </c>
      <c r="GN19" s="39">
        <v>599111</v>
      </c>
      <c r="GO19" s="39">
        <v>67342</v>
      </c>
      <c r="GP19" s="39">
        <v>58069</v>
      </c>
      <c r="GQ19" s="10">
        <v>2581493.0910000005</v>
      </c>
      <c r="GR19" s="39">
        <v>1888176.66</v>
      </c>
      <c r="GS19" s="39">
        <v>609452.31199999992</v>
      </c>
      <c r="GT19" s="39">
        <v>70712.62</v>
      </c>
      <c r="GU19" s="410">
        <f t="shared" si="471"/>
        <v>83864.119000000646</v>
      </c>
      <c r="GV19" s="39">
        <v>2626960</v>
      </c>
      <c r="GW19" s="39">
        <v>1867956</v>
      </c>
      <c r="GX19" s="39">
        <v>621857</v>
      </c>
      <c r="GY19" s="39">
        <v>76555</v>
      </c>
      <c r="GZ19" s="39">
        <v>87236</v>
      </c>
      <c r="HA19" s="39">
        <v>2679548</v>
      </c>
      <c r="HB19" s="39">
        <v>1897367</v>
      </c>
      <c r="HC19" s="39">
        <v>638226</v>
      </c>
      <c r="HD19" s="39">
        <v>80893</v>
      </c>
      <c r="HE19" s="39">
        <v>89788</v>
      </c>
      <c r="HF19" s="39">
        <v>2808963</v>
      </c>
      <c r="HG19" s="39">
        <v>1988074</v>
      </c>
      <c r="HH19" s="39">
        <v>667168</v>
      </c>
      <c r="HI19" s="39">
        <v>82001</v>
      </c>
      <c r="HJ19" s="39">
        <v>94158</v>
      </c>
      <c r="HK19" s="39">
        <v>2865977</v>
      </c>
      <c r="HL19" s="39">
        <v>2019273</v>
      </c>
      <c r="HM19" s="39">
        <v>688285</v>
      </c>
      <c r="HN19" s="39">
        <v>86133</v>
      </c>
      <c r="HO19" s="39">
        <v>99144</v>
      </c>
      <c r="HP19" s="118">
        <v>2934822</v>
      </c>
      <c r="HQ19" s="39">
        <v>2067236</v>
      </c>
      <c r="HR19" s="39">
        <v>699395</v>
      </c>
      <c r="HS19" s="39">
        <v>85572</v>
      </c>
      <c r="HT19" s="39">
        <v>109290</v>
      </c>
      <c r="HU19" s="394">
        <v>46266</v>
      </c>
      <c r="HV19" s="1">
        <v>0</v>
      </c>
      <c r="HW19" s="1">
        <v>8054</v>
      </c>
      <c r="HX19" s="1">
        <v>30988</v>
      </c>
      <c r="HY19" s="1">
        <v>23982</v>
      </c>
      <c r="HZ19" s="118">
        <v>3009003</v>
      </c>
      <c r="IA19" s="39">
        <v>2110514</v>
      </c>
      <c r="IB19" s="39">
        <v>709403</v>
      </c>
      <c r="IC19" s="39">
        <v>102805</v>
      </c>
      <c r="ID19" s="39">
        <v>117282</v>
      </c>
      <c r="IE19" s="393">
        <v>3088864</v>
      </c>
      <c r="IF19" s="394"/>
      <c r="IG19" s="394"/>
      <c r="IH19" s="394"/>
      <c r="II19" s="394"/>
      <c r="IJ19" s="393">
        <v>3147526</v>
      </c>
      <c r="IK19" s="394">
        <v>2193273</v>
      </c>
      <c r="IL19" s="394">
        <v>755058</v>
      </c>
      <c r="IM19" s="394">
        <v>103433</v>
      </c>
      <c r="IN19" s="394">
        <v>132959</v>
      </c>
      <c r="IO19" s="393">
        <v>3224401</v>
      </c>
      <c r="IP19" s="394">
        <v>2208783</v>
      </c>
      <c r="IQ19" s="394">
        <v>737098</v>
      </c>
      <c r="IR19" s="394">
        <v>119400</v>
      </c>
      <c r="IS19" s="394">
        <v>255489</v>
      </c>
      <c r="IT19" s="1">
        <v>52792</v>
      </c>
      <c r="IU19" s="1">
        <v>0</v>
      </c>
      <c r="IV19" s="1">
        <v>7837</v>
      </c>
      <c r="IW19" s="1">
        <v>140726</v>
      </c>
      <c r="IX19" s="1">
        <v>54134</v>
      </c>
      <c r="IY19" s="399">
        <f>110869+118434</f>
        <v>229303</v>
      </c>
      <c r="IZ19" s="394">
        <f>97977+91751</f>
        <v>189728</v>
      </c>
      <c r="JA19" s="394">
        <f>17227+18715</f>
        <v>35942</v>
      </c>
      <c r="JB19" s="394">
        <f>918+994</f>
        <v>1912</v>
      </c>
      <c r="JC19" s="406">
        <f>238+561+162+598</f>
        <v>1559</v>
      </c>
      <c r="JD19" s="5">
        <v>480139</v>
      </c>
      <c r="JE19" s="394">
        <v>382313</v>
      </c>
      <c r="JF19" s="394">
        <v>92917</v>
      </c>
      <c r="JG19" s="394">
        <v>4077</v>
      </c>
      <c r="JH19" s="406">
        <v>4909</v>
      </c>
      <c r="JI19" s="5">
        <v>673622</v>
      </c>
      <c r="JJ19" s="394">
        <v>507556</v>
      </c>
      <c r="JK19" s="394">
        <v>149594</v>
      </c>
      <c r="JL19" s="394">
        <v>9172</v>
      </c>
      <c r="JM19" s="406">
        <v>16472</v>
      </c>
      <c r="JN19" s="394">
        <v>745691</v>
      </c>
      <c r="JO19" s="394">
        <v>546824</v>
      </c>
      <c r="JP19" s="394">
        <v>170641</v>
      </c>
      <c r="JQ19" s="394">
        <v>14316</v>
      </c>
      <c r="JR19" s="394">
        <v>19617</v>
      </c>
      <c r="JS19" s="5">
        <v>879445</v>
      </c>
      <c r="JT19" s="394">
        <v>642332</v>
      </c>
      <c r="JU19" s="394">
        <v>210626</v>
      </c>
      <c r="JV19" s="394">
        <v>22134</v>
      </c>
      <c r="JW19" s="406">
        <v>26487</v>
      </c>
      <c r="JX19" s="5">
        <v>895368.87900000007</v>
      </c>
      <c r="JY19" s="394">
        <v>653265.71799999999</v>
      </c>
      <c r="JZ19" s="394">
        <v>215518.758</v>
      </c>
      <c r="KA19" s="394">
        <v>23168.639999999999</v>
      </c>
      <c r="KB19" s="406">
        <v>26584.403000000078</v>
      </c>
      <c r="KC19" s="394">
        <v>917196</v>
      </c>
      <c r="KD19" s="394">
        <v>648970</v>
      </c>
      <c r="KE19" s="394">
        <v>223124</v>
      </c>
      <c r="KF19" s="394">
        <v>24702</v>
      </c>
      <c r="KG19" s="439">
        <v>28770</v>
      </c>
      <c r="KH19" s="439">
        <v>943051</v>
      </c>
      <c r="KI19" s="439">
        <v>659979</v>
      </c>
      <c r="KJ19" s="439">
        <v>234981</v>
      </c>
      <c r="KK19" s="439">
        <v>27338</v>
      </c>
      <c r="KL19" s="439">
        <v>29844</v>
      </c>
      <c r="KM19" s="439">
        <v>962767</v>
      </c>
      <c r="KN19" s="439">
        <v>675396</v>
      </c>
      <c r="KO19" s="439">
        <v>238818</v>
      </c>
      <c r="KP19" s="439">
        <v>24886</v>
      </c>
      <c r="KQ19" s="439">
        <v>31139</v>
      </c>
      <c r="KR19" s="439">
        <v>998637</v>
      </c>
      <c r="KS19" s="439">
        <v>688956</v>
      </c>
      <c r="KT19" s="439">
        <v>256869</v>
      </c>
      <c r="KU19" s="439">
        <v>30390</v>
      </c>
      <c r="KV19" s="439">
        <v>31474</v>
      </c>
      <c r="KW19" s="630">
        <v>1030647</v>
      </c>
      <c r="KX19" s="439">
        <v>715015</v>
      </c>
      <c r="KY19" s="439">
        <v>256834</v>
      </c>
      <c r="KZ19" s="439">
        <v>31646</v>
      </c>
      <c r="LA19" s="439">
        <v>36838</v>
      </c>
      <c r="LB19" s="652">
        <v>1028591</v>
      </c>
      <c r="LC19" s="653">
        <v>702493</v>
      </c>
      <c r="LD19" s="653">
        <v>264805</v>
      </c>
      <c r="LE19" s="653">
        <v>35625</v>
      </c>
      <c r="LF19" s="653">
        <v>36586</v>
      </c>
      <c r="LG19" s="652">
        <v>1055899</v>
      </c>
      <c r="LH19" s="653"/>
      <c r="LI19" s="439"/>
      <c r="LJ19" s="439"/>
      <c r="LK19" s="439"/>
      <c r="LL19" s="652">
        <v>1077707</v>
      </c>
      <c r="LM19" s="653">
        <v>746556</v>
      </c>
      <c r="LN19" s="653">
        <v>267131</v>
      </c>
      <c r="LO19" s="653">
        <v>35132</v>
      </c>
      <c r="LP19" s="653">
        <v>40648</v>
      </c>
      <c r="LQ19" s="652">
        <v>1062795</v>
      </c>
      <c r="LR19" s="653">
        <v>722713</v>
      </c>
      <c r="LS19" s="653">
        <v>257860</v>
      </c>
      <c r="LT19" s="653">
        <v>33028</v>
      </c>
      <c r="LU19" s="653">
        <v>75126</v>
      </c>
      <c r="LV19" s="1">
        <v>9575</v>
      </c>
      <c r="LW19" s="1">
        <v>0</v>
      </c>
      <c r="LX19" s="1">
        <v>2703</v>
      </c>
      <c r="LY19" s="1">
        <v>48419</v>
      </c>
      <c r="LZ19" s="1">
        <v>14429</v>
      </c>
      <c r="MA19" s="10">
        <v>137174</v>
      </c>
      <c r="MB19" s="39">
        <v>109754</v>
      </c>
      <c r="MC19" s="39">
        <v>25822</v>
      </c>
      <c r="MD19" s="39">
        <v>1190</v>
      </c>
      <c r="ME19" s="207">
        <v>1598</v>
      </c>
      <c r="MF19" s="3">
        <v>173428</v>
      </c>
      <c r="MG19" s="39">
        <v>133597</v>
      </c>
      <c r="MH19" s="39">
        <v>35320</v>
      </c>
      <c r="MI19" s="39">
        <v>2341</v>
      </c>
      <c r="MJ19" s="207">
        <v>4511</v>
      </c>
      <c r="MK19" s="39">
        <v>225654</v>
      </c>
      <c r="ML19" s="39">
        <v>170367</v>
      </c>
      <c r="MM19" s="39">
        <v>47365</v>
      </c>
      <c r="MN19" s="39">
        <v>3525</v>
      </c>
      <c r="MO19" s="39">
        <v>6078</v>
      </c>
      <c r="MP19" s="118">
        <v>258202</v>
      </c>
      <c r="MQ19" s="39">
        <v>193157</v>
      </c>
      <c r="MR19" s="39">
        <v>57576</v>
      </c>
      <c r="MS19" s="39">
        <v>5501</v>
      </c>
      <c r="MT19" s="39">
        <v>7469</v>
      </c>
      <c r="MU19" s="118"/>
      <c r="MV19" s="39"/>
      <c r="MW19" s="39"/>
      <c r="MX19" s="39"/>
      <c r="MY19" s="207"/>
      <c r="MZ19" s="39">
        <v>268426</v>
      </c>
      <c r="NA19" s="39">
        <v>196875</v>
      </c>
      <c r="NB19" s="39">
        <v>59274</v>
      </c>
      <c r="NC19" s="39">
        <v>6386</v>
      </c>
      <c r="ND19" s="39">
        <v>8064</v>
      </c>
      <c r="NE19" s="39">
        <v>277889</v>
      </c>
      <c r="NF19" s="39">
        <v>201499</v>
      </c>
      <c r="NG19" s="39">
        <v>63236</v>
      </c>
      <c r="NH19" s="39">
        <v>7067</v>
      </c>
      <c r="NI19" s="39">
        <v>8453</v>
      </c>
      <c r="NJ19" s="39">
        <v>288524</v>
      </c>
      <c r="NK19" s="39">
        <v>212433</v>
      </c>
      <c r="NL19" s="39">
        <v>62702</v>
      </c>
      <c r="NM19" s="39">
        <v>6664</v>
      </c>
      <c r="NN19" s="39">
        <v>44215</v>
      </c>
      <c r="NO19" s="39">
        <v>312720</v>
      </c>
      <c r="NP19" s="39">
        <v>221505</v>
      </c>
      <c r="NQ19" s="39">
        <v>75177</v>
      </c>
      <c r="NR19" s="39">
        <v>9437</v>
      </c>
      <c r="NS19" s="39">
        <v>9595</v>
      </c>
      <c r="NT19" s="39">
        <v>317549</v>
      </c>
      <c r="NU19" s="39">
        <v>228998</v>
      </c>
      <c r="NV19" s="39">
        <v>72284</v>
      </c>
      <c r="NW19" s="39">
        <v>9089</v>
      </c>
      <c r="NX19" s="39">
        <v>10793</v>
      </c>
      <c r="NY19" s="118">
        <v>330153</v>
      </c>
      <c r="NZ19" s="39">
        <v>235223</v>
      </c>
      <c r="OA19" s="39">
        <v>77958</v>
      </c>
      <c r="OB19" s="39">
        <v>8292</v>
      </c>
      <c r="OC19" s="39">
        <v>11340</v>
      </c>
      <c r="OD19" s="118">
        <v>354718</v>
      </c>
      <c r="OE19" s="39"/>
      <c r="OF19" s="39"/>
      <c r="OG19" s="39"/>
      <c r="OH19" s="39"/>
      <c r="OI19" s="118">
        <v>352549</v>
      </c>
      <c r="OJ19" s="39">
        <v>248464</v>
      </c>
      <c r="OK19" s="39">
        <v>81402</v>
      </c>
      <c r="OL19" s="39">
        <v>12384</v>
      </c>
      <c r="OM19" s="39">
        <v>14688</v>
      </c>
      <c r="ON19" s="118">
        <v>369204</v>
      </c>
      <c r="OO19" s="39">
        <v>253278</v>
      </c>
      <c r="OP19" s="39">
        <v>85158</v>
      </c>
      <c r="OQ19" s="39">
        <v>12765</v>
      </c>
      <c r="OR19" s="39">
        <v>5741</v>
      </c>
      <c r="OS19" s="1">
        <v>4560</v>
      </c>
      <c r="OT19" s="1">
        <v>0</v>
      </c>
      <c r="OU19" s="1">
        <v>527</v>
      </c>
      <c r="OV19" s="1">
        <v>16889</v>
      </c>
      <c r="OW19" s="1">
        <v>5741</v>
      </c>
      <c r="OX19" s="402">
        <f t="shared" si="421"/>
        <v>411476</v>
      </c>
      <c r="OY19" s="382">
        <f t="shared" si="422"/>
        <v>320065</v>
      </c>
      <c r="OZ19" s="382">
        <f t="shared" si="423"/>
        <v>57030</v>
      </c>
      <c r="PA19" s="382">
        <f t="shared" si="424"/>
        <v>50422</v>
      </c>
      <c r="PB19" s="382">
        <f t="shared" si="425"/>
        <v>19072</v>
      </c>
      <c r="PC19" s="402">
        <f t="shared" si="426"/>
        <v>703483</v>
      </c>
      <c r="PD19" s="382">
        <f t="shared" si="427"/>
        <v>580602</v>
      </c>
      <c r="PE19" s="382">
        <f t="shared" si="428"/>
        <v>102539</v>
      </c>
      <c r="PF19" s="382">
        <f t="shared" si="429"/>
        <v>8752</v>
      </c>
      <c r="PG19" s="382">
        <f t="shared" si="430"/>
        <v>20342</v>
      </c>
      <c r="PH19" s="118">
        <v>854107</v>
      </c>
      <c r="PI19" s="39">
        <v>687946</v>
      </c>
      <c r="PJ19" s="39">
        <v>135912</v>
      </c>
      <c r="PK19" s="39">
        <v>16687</v>
      </c>
      <c r="PL19" s="39">
        <v>30249</v>
      </c>
      <c r="PM19" s="39">
        <v>876829</v>
      </c>
      <c r="PN19" s="39">
        <v>704634</v>
      </c>
      <c r="PO19" s="39">
        <v>134213</v>
      </c>
      <c r="PP19" s="39">
        <v>13328</v>
      </c>
      <c r="PQ19" s="39">
        <v>28996</v>
      </c>
      <c r="PR19" s="393"/>
      <c r="PS19" s="394"/>
      <c r="PT19" s="394"/>
      <c r="PU19" s="394"/>
      <c r="PV19" s="394"/>
      <c r="PW19" s="394">
        <v>1034162</v>
      </c>
      <c r="PX19" s="394">
        <v>809870</v>
      </c>
      <c r="PY19" s="394">
        <v>169332</v>
      </c>
      <c r="PZ19" s="394">
        <v>24180</v>
      </c>
      <c r="QA19" s="406">
        <v>37755</v>
      </c>
      <c r="QB19" s="394">
        <v>1067807</v>
      </c>
      <c r="QC19" s="394">
        <v>832424</v>
      </c>
      <c r="QD19" s="394">
        <v>178818</v>
      </c>
      <c r="QE19" s="394">
        <v>25563</v>
      </c>
      <c r="QF19" s="394">
        <v>37877</v>
      </c>
      <c r="QG19" s="394">
        <v>1145497</v>
      </c>
      <c r="QH19" s="394">
        <v>896269</v>
      </c>
      <c r="QI19" s="394">
        <v>185268</v>
      </c>
      <c r="QJ19" s="394">
        <v>25883</v>
      </c>
      <c r="QK19" s="394">
        <v>44215</v>
      </c>
      <c r="QL19" s="393">
        <v>1202961</v>
      </c>
      <c r="QM19" s="394">
        <v>933792</v>
      </c>
      <c r="QN19" s="394">
        <v>200906</v>
      </c>
      <c r="QO19" s="394">
        <v>30168</v>
      </c>
      <c r="QP19" s="394">
        <v>47364</v>
      </c>
      <c r="QQ19" s="393">
        <v>1240055</v>
      </c>
      <c r="QR19" s="394">
        <v>963378</v>
      </c>
      <c r="QS19" s="394">
        <v>207273</v>
      </c>
      <c r="QT19" s="394">
        <v>29070</v>
      </c>
      <c r="QU19" s="394">
        <v>49404</v>
      </c>
      <c r="QV19" s="393">
        <v>1294493</v>
      </c>
      <c r="QW19" s="394">
        <v>1008899</v>
      </c>
      <c r="QX19" s="394">
        <v>206641</v>
      </c>
      <c r="QY19" s="394">
        <v>31914</v>
      </c>
      <c r="QZ19" s="394">
        <v>55471</v>
      </c>
      <c r="RA19" s="393">
        <v>1344053</v>
      </c>
      <c r="RB19" s="394"/>
      <c r="RC19" s="394"/>
      <c r="RD19" s="394"/>
      <c r="RE19" s="394"/>
      <c r="RF19" s="394">
        <v>1407108</v>
      </c>
      <c r="RG19" s="394">
        <v>1073556</v>
      </c>
      <c r="RH19" s="394">
        <v>238973</v>
      </c>
      <c r="RI19" s="394">
        <v>40710</v>
      </c>
      <c r="RJ19" s="394">
        <v>67579</v>
      </c>
      <c r="RK19" s="394">
        <v>1503840</v>
      </c>
      <c r="RL19" s="394">
        <v>1108008</v>
      </c>
      <c r="RM19" s="394">
        <v>263198</v>
      </c>
      <c r="RN19" s="394">
        <v>48984</v>
      </c>
      <c r="RO19" s="394">
        <v>122040</v>
      </c>
      <c r="RP19" s="1">
        <v>35701</v>
      </c>
      <c r="RQ19" s="1">
        <v>0</v>
      </c>
      <c r="RR19" s="1">
        <v>2031</v>
      </c>
      <c r="RS19" s="1">
        <v>64239</v>
      </c>
      <c r="RT19" s="1">
        <v>20069</v>
      </c>
      <c r="RU19" s="10">
        <v>243161</v>
      </c>
      <c r="RV19" s="3">
        <v>210311</v>
      </c>
      <c r="RW19" s="3">
        <v>29704</v>
      </c>
      <c r="RX19" s="3">
        <v>1882</v>
      </c>
      <c r="RY19" s="3">
        <v>3146</v>
      </c>
      <c r="RZ19" s="10">
        <v>351526</v>
      </c>
      <c r="SA19" s="39">
        <v>296500</v>
      </c>
      <c r="SB19" s="39">
        <v>45894</v>
      </c>
      <c r="SC19" s="39">
        <v>4057</v>
      </c>
      <c r="SD19" s="39">
        <v>9132</v>
      </c>
      <c r="SE19" s="118">
        <v>424974</v>
      </c>
      <c r="SF19" s="39">
        <v>348783</v>
      </c>
      <c r="SG19" s="39">
        <v>58261</v>
      </c>
      <c r="SH19" s="39">
        <v>6852</v>
      </c>
      <c r="SI19" s="39">
        <v>13102</v>
      </c>
      <c r="SJ19" s="118">
        <v>473862</v>
      </c>
      <c r="SK19" s="39">
        <v>389863</v>
      </c>
      <c r="SL19" s="39">
        <v>68018</v>
      </c>
      <c r="SM19" s="39">
        <v>9032</v>
      </c>
      <c r="SN19" s="39">
        <v>15981</v>
      </c>
      <c r="SO19" s="118">
        <v>483068.43300000002</v>
      </c>
      <c r="SP19" s="39">
        <v>397168.19400000002</v>
      </c>
      <c r="SQ19" s="39">
        <v>70260.694000000003</v>
      </c>
      <c r="SR19" s="39">
        <v>9653.6</v>
      </c>
      <c r="SS19" s="39">
        <v>15639.544999999998</v>
      </c>
      <c r="ST19" s="118">
        <v>492859</v>
      </c>
      <c r="SU19" s="39">
        <v>394581</v>
      </c>
      <c r="SV19" s="39">
        <v>71991</v>
      </c>
      <c r="SW19" s="39">
        <v>12378</v>
      </c>
      <c r="SX19" s="39">
        <v>17532</v>
      </c>
      <c r="SY19" s="39">
        <v>506277</v>
      </c>
      <c r="SZ19" s="39">
        <v>405517</v>
      </c>
      <c r="TA19" s="39">
        <v>73397</v>
      </c>
      <c r="TB19" s="39">
        <v>13090</v>
      </c>
      <c r="TC19" s="39">
        <v>17577</v>
      </c>
      <c r="TD19" s="39">
        <v>543917</v>
      </c>
      <c r="TE19" s="39">
        <v>438468</v>
      </c>
      <c r="TF19" s="39">
        <v>75297</v>
      </c>
      <c r="TG19" s="39">
        <v>12622</v>
      </c>
      <c r="TH19" s="39">
        <v>20283</v>
      </c>
      <c r="TI19" s="39">
        <v>575843</v>
      </c>
      <c r="TJ19" s="39">
        <v>465608</v>
      </c>
      <c r="TK19" s="39">
        <v>78216</v>
      </c>
      <c r="TL19" s="39">
        <v>13459</v>
      </c>
      <c r="TM19" s="39">
        <v>22951</v>
      </c>
      <c r="TN19" s="39">
        <v>591086</v>
      </c>
      <c r="TO19" s="39">
        <v>471416</v>
      </c>
      <c r="TP19" s="39">
        <v>84749</v>
      </c>
      <c r="TQ19" s="39">
        <v>12799</v>
      </c>
      <c r="TR19" s="39">
        <v>26447</v>
      </c>
      <c r="TS19" s="118">
        <v>607024</v>
      </c>
      <c r="TT19" s="39">
        <v>492152</v>
      </c>
      <c r="TU19" s="39">
        <v>78878</v>
      </c>
      <c r="TV19" s="39">
        <v>15605</v>
      </c>
      <c r="TW19" s="39">
        <v>24663</v>
      </c>
      <c r="TX19" s="118">
        <v>627144</v>
      </c>
      <c r="TY19" s="39"/>
      <c r="TZ19" s="39"/>
      <c r="UA19" s="39"/>
      <c r="UB19" s="39"/>
      <c r="UC19" s="118">
        <v>656496</v>
      </c>
      <c r="UD19" s="39">
        <v>513584</v>
      </c>
      <c r="UE19" s="39">
        <v>98646</v>
      </c>
      <c r="UF19" s="39">
        <v>19737</v>
      </c>
      <c r="UG19" s="39">
        <v>31057</v>
      </c>
      <c r="UH19" s="118">
        <v>704740</v>
      </c>
      <c r="UI19" s="39">
        <v>533726</v>
      </c>
      <c r="UJ19" s="39">
        <v>109433</v>
      </c>
      <c r="UK19" s="39">
        <v>23450</v>
      </c>
      <c r="UL19" s="39">
        <v>56922</v>
      </c>
      <c r="UM19" s="1">
        <v>16283</v>
      </c>
      <c r="UN19" s="1">
        <v>0</v>
      </c>
      <c r="UO19" s="1">
        <v>812</v>
      </c>
      <c r="UP19" s="1">
        <v>32076</v>
      </c>
      <c r="UQ19" s="1">
        <v>14328</v>
      </c>
      <c r="UR19" s="588">
        <f t="shared" si="431"/>
        <v>68113</v>
      </c>
      <c r="US19" s="40">
        <v>36314</v>
      </c>
      <c r="UT19" s="40">
        <v>31799</v>
      </c>
      <c r="UU19" s="588">
        <f t="shared" si="432"/>
        <v>10131</v>
      </c>
      <c r="UV19" s="40">
        <v>3314</v>
      </c>
      <c r="UW19" s="40">
        <v>6817</v>
      </c>
      <c r="UX19" s="42">
        <v>115527</v>
      </c>
      <c r="UY19" s="588">
        <f t="shared" si="433"/>
        <v>61393</v>
      </c>
      <c r="UZ19" s="588">
        <f t="shared" si="434"/>
        <v>54134</v>
      </c>
      <c r="VA19" s="588">
        <f t="shared" si="435"/>
        <v>101840</v>
      </c>
      <c r="VB19" s="40">
        <v>56625</v>
      </c>
      <c r="VC19" s="40">
        <v>45215</v>
      </c>
      <c r="VD19" s="588">
        <f t="shared" si="436"/>
        <v>12907</v>
      </c>
      <c r="VE19" s="40">
        <v>4280</v>
      </c>
      <c r="VF19" s="40">
        <v>8627</v>
      </c>
      <c r="VG19" s="588">
        <f t="shared" si="437"/>
        <v>780</v>
      </c>
      <c r="VH19" s="40">
        <v>488</v>
      </c>
      <c r="VI19" s="40">
        <v>292</v>
      </c>
      <c r="VJ19" s="42">
        <v>232629</v>
      </c>
      <c r="VK19" s="588">
        <f t="shared" si="438"/>
        <v>127330</v>
      </c>
      <c r="VL19" s="588">
        <f t="shared" si="439"/>
        <v>105299</v>
      </c>
      <c r="VM19" s="39">
        <f>114387+86260</f>
        <v>200647</v>
      </c>
      <c r="VN19" s="40">
        <v>114387</v>
      </c>
      <c r="VO19" s="40">
        <v>86260</v>
      </c>
      <c r="VP19" s="40">
        <v>12943</v>
      </c>
      <c r="VQ19" s="40">
        <v>19039</v>
      </c>
      <c r="VR19" s="39">
        <f>11086+17562</f>
        <v>28648</v>
      </c>
      <c r="VS19" s="40">
        <v>11086</v>
      </c>
      <c r="VT19" s="40">
        <v>17562</v>
      </c>
      <c r="VU19" s="39">
        <f>679+548</f>
        <v>1227</v>
      </c>
      <c r="VV19" s="40">
        <v>679</v>
      </c>
      <c r="VW19" s="40">
        <v>548</v>
      </c>
      <c r="VX19" s="233">
        <f t="shared" si="440"/>
        <v>2107</v>
      </c>
      <c r="VY19" s="233">
        <f t="shared" si="441"/>
        <v>1178</v>
      </c>
      <c r="VZ19" s="233">
        <f t="shared" si="442"/>
        <v>929</v>
      </c>
      <c r="WA19" s="234">
        <f t="shared" si="443"/>
        <v>201</v>
      </c>
      <c r="WB19" s="234">
        <f t="shared" si="444"/>
        <v>147</v>
      </c>
      <c r="WC19" s="234">
        <f t="shared" si="445"/>
        <v>54</v>
      </c>
      <c r="WD19" s="40">
        <v>1906</v>
      </c>
      <c r="WE19" s="40">
        <v>1031</v>
      </c>
      <c r="WF19" s="40">
        <v>875</v>
      </c>
      <c r="WG19" s="12">
        <f t="shared" si="446"/>
        <v>274302</v>
      </c>
      <c r="WH19" s="588">
        <f t="shared" si="447"/>
        <v>189936</v>
      </c>
      <c r="WI19" s="588">
        <f t="shared" si="448"/>
        <v>170897</v>
      </c>
      <c r="WJ19" s="11">
        <f t="shared" si="449"/>
        <v>210311</v>
      </c>
      <c r="WK19" s="90">
        <f t="shared" si="450"/>
        <v>310420</v>
      </c>
      <c r="WL19" s="40">
        <v>170618</v>
      </c>
      <c r="WM19" s="40">
        <v>139802</v>
      </c>
      <c r="WN19" s="40">
        <v>19318</v>
      </c>
      <c r="WO19" s="40">
        <v>31095</v>
      </c>
      <c r="WP19" s="11">
        <f t="shared" si="451"/>
        <v>31208</v>
      </c>
      <c r="WQ19" s="90">
        <f t="shared" si="452"/>
        <v>42783</v>
      </c>
      <c r="WR19" s="40">
        <v>15315</v>
      </c>
      <c r="WS19" s="40">
        <v>27468</v>
      </c>
      <c r="WT19" s="11">
        <f t="shared" si="453"/>
        <v>2863</v>
      </c>
      <c r="WU19" s="40">
        <v>1422</v>
      </c>
      <c r="WV19" s="40">
        <v>1441</v>
      </c>
      <c r="WW19" s="9">
        <f t="shared" si="454"/>
        <v>17474</v>
      </c>
      <c r="WX19" s="235">
        <f t="shared" si="455"/>
        <v>2581</v>
      </c>
      <c r="WY19" s="235">
        <f t="shared" si="456"/>
        <v>2186</v>
      </c>
      <c r="WZ19" s="236">
        <f t="shared" si="457"/>
        <v>58</v>
      </c>
      <c r="XA19" s="236">
        <f t="shared" si="458"/>
        <v>36</v>
      </c>
      <c r="XB19" s="236">
        <f t="shared" si="459"/>
        <v>22</v>
      </c>
      <c r="XC19" s="589">
        <f t="shared" si="460"/>
        <v>4709</v>
      </c>
      <c r="XD19" s="589">
        <f t="shared" si="461"/>
        <v>2545</v>
      </c>
      <c r="XE19" s="589">
        <f t="shared" si="462"/>
        <v>2164</v>
      </c>
      <c r="XF19" s="40">
        <v>374</v>
      </c>
      <c r="XG19" s="40">
        <v>221</v>
      </c>
      <c r="XH19" s="40">
        <v>2171</v>
      </c>
      <c r="XI19" s="40">
        <v>1943</v>
      </c>
      <c r="XJ19" s="590">
        <v>530055</v>
      </c>
      <c r="XK19" s="40">
        <v>263846</v>
      </c>
      <c r="XL19" s="40">
        <v>266209</v>
      </c>
      <c r="XM19" s="5">
        <f t="shared" si="463"/>
        <v>447005</v>
      </c>
      <c r="XN19" s="5">
        <v>231443</v>
      </c>
      <c r="XO19" s="5">
        <v>215562</v>
      </c>
      <c r="XP19" s="84">
        <f t="shared" si="464"/>
        <v>443003</v>
      </c>
      <c r="XQ19" s="40">
        <v>229256</v>
      </c>
      <c r="XR19" s="40">
        <v>213747</v>
      </c>
      <c r="XS19" s="5">
        <f t="shared" si="465"/>
        <v>67219</v>
      </c>
      <c r="XT19" s="40">
        <v>23922</v>
      </c>
      <c r="XU19" s="40">
        <v>43297</v>
      </c>
      <c r="XV19" s="5">
        <f t="shared" si="466"/>
        <v>6411</v>
      </c>
      <c r="XW19" s="40">
        <v>3389</v>
      </c>
      <c r="XX19" s="40">
        <v>3022</v>
      </c>
      <c r="XY19" s="84">
        <f t="shared" si="467"/>
        <v>15831</v>
      </c>
      <c r="XZ19" s="84">
        <f t="shared" si="468"/>
        <v>8481</v>
      </c>
      <c r="YA19" s="84">
        <f t="shared" si="469"/>
        <v>7350</v>
      </c>
      <c r="YB19" s="587">
        <v>651175</v>
      </c>
      <c r="YC19" s="40">
        <v>534267</v>
      </c>
      <c r="YD19" s="40">
        <v>86848</v>
      </c>
      <c r="YE19" s="40">
        <v>9803</v>
      </c>
      <c r="YF19" s="5">
        <v>22918</v>
      </c>
      <c r="YG19" s="118">
        <v>675376</v>
      </c>
      <c r="YH19" s="39">
        <v>560188</v>
      </c>
      <c r="YI19" s="39">
        <v>90836</v>
      </c>
      <c r="YJ19" s="39">
        <v>24352</v>
      </c>
      <c r="YK19" s="39">
        <v>10375</v>
      </c>
      <c r="YL19" s="118">
        <v>709053</v>
      </c>
      <c r="YM19" s="39">
        <v>583698</v>
      </c>
      <c r="YN19" s="39">
        <v>98961</v>
      </c>
      <c r="YO19" s="39">
        <v>26394</v>
      </c>
      <c r="YP19" s="39">
        <v>11719</v>
      </c>
      <c r="YQ19" s="118">
        <v>734469</v>
      </c>
      <c r="YR19" s="39">
        <v>602233</v>
      </c>
      <c r="YS19" s="39">
        <v>103918</v>
      </c>
      <c r="YT19" s="39">
        <v>28318</v>
      </c>
      <c r="YU19" s="39">
        <v>13644</v>
      </c>
      <c r="YV19" s="10">
        <v>747679.16700000002</v>
      </c>
      <c r="YW19" s="39">
        <v>612029.67599999998</v>
      </c>
      <c r="YX19" s="39">
        <v>106575.20999999999</v>
      </c>
      <c r="YY19" s="39">
        <v>14963.080000000002</v>
      </c>
      <c r="YZ19" s="39">
        <v>29074.281000000046</v>
      </c>
      <c r="ZA19" s="39">
        <v>765736</v>
      </c>
      <c r="ZB19" s="39">
        <v>612995</v>
      </c>
      <c r="ZC19" s="39">
        <v>110058</v>
      </c>
      <c r="ZD19" s="39">
        <v>17794</v>
      </c>
      <c r="ZE19" s="1">
        <v>29691</v>
      </c>
      <c r="ZF19" s="1">
        <v>789918</v>
      </c>
      <c r="ZG19" s="1">
        <v>630925</v>
      </c>
      <c r="ZH19" s="1">
        <v>115582</v>
      </c>
      <c r="ZI19" s="1">
        <v>18496</v>
      </c>
      <c r="ZJ19" s="1">
        <v>29424</v>
      </c>
      <c r="ZK19" s="1">
        <v>856973</v>
      </c>
      <c r="ZL19" s="1">
        <v>683836</v>
      </c>
      <c r="ZM19" s="1">
        <v>122566</v>
      </c>
      <c r="ZN19" s="1">
        <v>19219</v>
      </c>
      <c r="ZO19" s="1">
        <v>35498</v>
      </c>
      <c r="ZP19" s="1">
        <v>890241</v>
      </c>
      <c r="ZQ19" s="1">
        <v>712287</v>
      </c>
      <c r="ZR19" s="1">
        <v>125729</v>
      </c>
      <c r="ZS19" s="1">
        <v>20731</v>
      </c>
      <c r="ZT19" s="1">
        <v>37769</v>
      </c>
      <c r="ZU19" s="1">
        <v>922506</v>
      </c>
      <c r="ZV19" s="1">
        <v>734380</v>
      </c>
      <c r="ZW19" s="1">
        <v>134989</v>
      </c>
      <c r="ZX19" s="1">
        <v>19981</v>
      </c>
      <c r="ZY19" s="1">
        <v>38611</v>
      </c>
      <c r="ZZ19" s="394">
        <v>23549</v>
      </c>
      <c r="AAA19" s="1">
        <v>0</v>
      </c>
      <c r="AAB19" s="1">
        <v>1434</v>
      </c>
      <c r="AAC19" s="1">
        <v>7963</v>
      </c>
      <c r="AAD19" s="1">
        <v>5665</v>
      </c>
      <c r="AAE19" s="50">
        <v>964340</v>
      </c>
      <c r="AAF19" s="1">
        <v>773676</v>
      </c>
      <c r="AAG19" s="1">
        <v>128683</v>
      </c>
      <c r="AAH19" s="1">
        <v>23622</v>
      </c>
      <c r="AAI19" s="1">
        <v>44131</v>
      </c>
      <c r="AAJ19" s="50">
        <v>989335</v>
      </c>
      <c r="AAK19" s="1"/>
      <c r="AAL19" s="1"/>
      <c r="AAM19" s="1"/>
      <c r="AAN19" s="1"/>
      <c r="AAO19" s="68">
        <v>1054559</v>
      </c>
      <c r="AAP19" s="37">
        <v>825092</v>
      </c>
      <c r="AAQ19" s="37">
        <v>157571</v>
      </c>
      <c r="AAR19" s="37">
        <v>28326</v>
      </c>
      <c r="AAS19" s="37">
        <v>52891</v>
      </c>
      <c r="AAT19" s="68">
        <v>1134636</v>
      </c>
      <c r="AAU19" s="37">
        <v>854730</v>
      </c>
      <c r="AAV19" s="37">
        <v>178040</v>
      </c>
      <c r="AAW19" s="37">
        <v>36219</v>
      </c>
      <c r="AAX19" s="37">
        <v>94323</v>
      </c>
      <c r="AAY19" s="1">
        <v>31141</v>
      </c>
      <c r="AAZ19" s="1">
        <v>0</v>
      </c>
      <c r="ABA19" s="1">
        <v>1504</v>
      </c>
      <c r="ABB19" s="1">
        <v>47350</v>
      </c>
      <c r="ABC19" s="1">
        <v>14328</v>
      </c>
      <c r="ABD19" s="10">
        <v>178529</v>
      </c>
      <c r="ABE19" s="39">
        <v>150505</v>
      </c>
      <c r="ABF19" s="39">
        <v>21325</v>
      </c>
      <c r="ABG19" s="39">
        <v>2354</v>
      </c>
      <c r="ABH19" s="39">
        <v>6699</v>
      </c>
      <c r="ABI19" s="118">
        <v>226201</v>
      </c>
      <c r="ABJ19" s="39">
        <v>185484</v>
      </c>
      <c r="ABK19" s="39">
        <v>28587</v>
      </c>
      <c r="ABL19" s="39">
        <v>2951</v>
      </c>
      <c r="ABM19" s="39">
        <v>9816</v>
      </c>
      <c r="ABN19" s="10">
        <v>260607</v>
      </c>
      <c r="ABO19" s="39">
        <v>212370</v>
      </c>
      <c r="ABP19" s="39">
        <v>35900</v>
      </c>
      <c r="ABQ19" s="39">
        <v>4612</v>
      </c>
      <c r="ABR19" s="39">
        <v>12337</v>
      </c>
      <c r="ABS19" s="10">
        <v>264610.734</v>
      </c>
      <c r="ABT19" s="39">
        <v>214861.48200000002</v>
      </c>
      <c r="ABU19" s="39">
        <v>36314.515999999996</v>
      </c>
      <c r="ABV19" s="39">
        <v>5309.4800000000005</v>
      </c>
      <c r="ABW19" s="207">
        <v>13434.735999999983</v>
      </c>
      <c r="ABX19" s="1">
        <v>272877</v>
      </c>
      <c r="ABY19" s="1">
        <v>218414</v>
      </c>
      <c r="ABZ19" s="1">
        <v>38067</v>
      </c>
      <c r="ACA19" s="1">
        <v>5416</v>
      </c>
      <c r="ACB19" s="49">
        <v>12159</v>
      </c>
      <c r="ACC19" s="1">
        <v>283641</v>
      </c>
      <c r="ACD19" s="1">
        <v>225408</v>
      </c>
      <c r="ACE19" s="1">
        <v>42185</v>
      </c>
      <c r="ACF19" s="1">
        <v>5406</v>
      </c>
      <c r="ACG19" s="1">
        <v>11847</v>
      </c>
      <c r="ACH19" s="1">
        <v>313056</v>
      </c>
      <c r="ACI19" s="1">
        <v>245368</v>
      </c>
      <c r="ACJ19" s="1">
        <v>47269</v>
      </c>
      <c r="ACK19" s="1">
        <v>6597</v>
      </c>
      <c r="ACL19" s="1">
        <v>15215</v>
      </c>
      <c r="ACM19" s="1">
        <v>314398</v>
      </c>
      <c r="ACN19" s="1">
        <v>246679</v>
      </c>
      <c r="ACO19" s="1">
        <v>47513</v>
      </c>
      <c r="ACP19" s="1">
        <v>7272</v>
      </c>
      <c r="ACQ19" s="1">
        <v>14818</v>
      </c>
      <c r="ACR19" s="1">
        <v>331420</v>
      </c>
      <c r="ACS19" s="1">
        <v>262964</v>
      </c>
      <c r="ACT19" s="1">
        <v>50240</v>
      </c>
      <c r="ACU19" s="1">
        <v>7182</v>
      </c>
      <c r="ACV19" s="1">
        <v>12164</v>
      </c>
      <c r="ADB19" s="50">
        <v>357316</v>
      </c>
      <c r="ADC19" s="1">
        <v>281524</v>
      </c>
      <c r="ADD19" s="1">
        <v>49805</v>
      </c>
      <c r="ADE19" s="1">
        <v>8017</v>
      </c>
      <c r="ADF19" s="1">
        <v>19468</v>
      </c>
      <c r="ADG19" s="50">
        <v>362191</v>
      </c>
      <c r="ADL19" s="50">
        <v>398063</v>
      </c>
      <c r="ADM19" s="1">
        <v>311508</v>
      </c>
      <c r="ADN19" s="1">
        <v>58925</v>
      </c>
      <c r="ADO19" s="1">
        <v>8589</v>
      </c>
      <c r="ADP19" s="1">
        <v>21834</v>
      </c>
      <c r="ADQ19" s="50">
        <v>429896</v>
      </c>
      <c r="ADR19" s="1">
        <v>321004</v>
      </c>
      <c r="ADS19" s="1">
        <v>68607</v>
      </c>
      <c r="ADT19" s="1">
        <v>12769</v>
      </c>
      <c r="ADU19" s="1">
        <v>37401</v>
      </c>
      <c r="ADV19" s="1">
        <v>14858</v>
      </c>
      <c r="ADW19" s="1">
        <v>0</v>
      </c>
      <c r="ADX19" s="1">
        <v>692</v>
      </c>
      <c r="ADY19" s="1">
        <v>15274</v>
      </c>
      <c r="ADZ19" s="1">
        <v>6577</v>
      </c>
    </row>
    <row r="20" spans="1:806" ht="14.1">
      <c r="A20" s="138" t="s">
        <v>20</v>
      </c>
      <c r="B20" s="118">
        <f>92688+130233+138554+70113+142024+171471</f>
        <v>745083</v>
      </c>
      <c r="C20" s="39">
        <f>70990+107825+122996+52266+113696+148385</f>
        <v>616158</v>
      </c>
      <c r="D20" s="39">
        <f>20407+21149+14213+16451+26560+21150</f>
        <v>119930</v>
      </c>
      <c r="E20" s="39">
        <f>966+932+1081+772+1250+1293</f>
        <v>6294</v>
      </c>
      <c r="F20" s="207">
        <f>189+177+141+116+137+99+167+203+233+375+260+337</f>
        <v>2434</v>
      </c>
      <c r="G20" s="3">
        <v>500929</v>
      </c>
      <c r="H20" s="39">
        <v>425527</v>
      </c>
      <c r="I20" s="39">
        <v>71529</v>
      </c>
      <c r="J20" s="39">
        <v>2086</v>
      </c>
      <c r="K20" s="207">
        <v>3873</v>
      </c>
      <c r="L20" s="3">
        <v>359789</v>
      </c>
      <c r="M20" s="39">
        <v>296675</v>
      </c>
      <c r="N20" s="39">
        <v>46394</v>
      </c>
      <c r="O20" s="39">
        <v>15842</v>
      </c>
      <c r="P20" s="207">
        <v>16720</v>
      </c>
      <c r="Q20" s="39">
        <v>302251</v>
      </c>
      <c r="R20" s="39">
        <v>228329</v>
      </c>
      <c r="S20" s="39">
        <v>36200</v>
      </c>
      <c r="T20" s="39">
        <v>30665</v>
      </c>
      <c r="U20" s="207">
        <v>21080</v>
      </c>
      <c r="V20" s="5">
        <v>272076</v>
      </c>
      <c r="W20" s="394">
        <v>219652</v>
      </c>
      <c r="X20" s="394">
        <v>31654</v>
      </c>
      <c r="Y20" s="394">
        <v>34444</v>
      </c>
      <c r="Z20" s="406">
        <v>20770</v>
      </c>
      <c r="AA20" s="394">
        <v>260560</v>
      </c>
      <c r="AB20" s="1">
        <v>186019</v>
      </c>
      <c r="AC20" s="394">
        <v>32160</v>
      </c>
      <c r="AD20" s="394">
        <v>34075</v>
      </c>
      <c r="AE20" s="394">
        <v>24143</v>
      </c>
      <c r="AF20" s="393">
        <v>253953</v>
      </c>
      <c r="AG20" s="394">
        <v>176738</v>
      </c>
      <c r="AH20" s="394">
        <v>30230</v>
      </c>
      <c r="AI20" s="394">
        <v>37921</v>
      </c>
      <c r="AJ20" s="490">
        <v>26859</v>
      </c>
      <c r="AK20" s="490">
        <v>239689</v>
      </c>
      <c r="AL20" s="490">
        <v>166113</v>
      </c>
      <c r="AM20" s="685">
        <v>22605</v>
      </c>
      <c r="AN20" s="685">
        <v>41798</v>
      </c>
      <c r="AO20" s="490">
        <v>28644</v>
      </c>
      <c r="AP20" s="394">
        <v>237285</v>
      </c>
      <c r="AQ20" s="394">
        <v>155682</v>
      </c>
      <c r="AR20" s="394">
        <v>27088</v>
      </c>
      <c r="AS20" s="394">
        <v>44074</v>
      </c>
      <c r="AT20" s="394">
        <v>26621</v>
      </c>
      <c r="AU20" s="393">
        <v>216289</v>
      </c>
      <c r="AV20" s="394">
        <v>142973</v>
      </c>
      <c r="AW20" s="394">
        <v>29093</v>
      </c>
      <c r="AX20" s="394">
        <v>37605</v>
      </c>
      <c r="AY20" s="394">
        <v>19784</v>
      </c>
      <c r="AZ20" s="1">
        <v>5707</v>
      </c>
      <c r="BA20" s="1">
        <v>0</v>
      </c>
      <c r="BB20" s="1">
        <v>1086</v>
      </c>
      <c r="BC20" s="1">
        <v>1539</v>
      </c>
      <c r="BD20" s="1">
        <v>11452</v>
      </c>
      <c r="BE20" s="393">
        <v>200536</v>
      </c>
      <c r="BF20" s="394">
        <v>126845</v>
      </c>
      <c r="BG20" s="394">
        <v>22393</v>
      </c>
      <c r="BH20" s="394">
        <v>43658</v>
      </c>
      <c r="BI20" s="394">
        <v>23748</v>
      </c>
      <c r="BJ20" s="393">
        <v>206601</v>
      </c>
      <c r="BK20" s="394"/>
      <c r="BL20" s="394"/>
      <c r="BM20" s="394"/>
      <c r="BN20" s="394"/>
      <c r="BO20" s="393">
        <v>202493</v>
      </c>
      <c r="BP20" s="394">
        <v>128834</v>
      </c>
      <c r="BQ20" s="394">
        <v>22515</v>
      </c>
      <c r="BR20" s="394">
        <v>42379</v>
      </c>
      <c r="BS20" s="394">
        <v>24240</v>
      </c>
      <c r="BT20" s="393">
        <v>182718</v>
      </c>
      <c r="BU20" s="394">
        <v>108330</v>
      </c>
      <c r="BV20" s="394">
        <v>20158</v>
      </c>
      <c r="BW20" s="394">
        <v>42102</v>
      </c>
      <c r="BX20" s="394">
        <v>6584</v>
      </c>
      <c r="BY20" s="1">
        <v>0</v>
      </c>
      <c r="BZ20" s="1">
        <v>1317</v>
      </c>
      <c r="CA20" s="1">
        <v>17646</v>
      </c>
      <c r="CB20" s="1">
        <v>23163</v>
      </c>
      <c r="CC20" s="118">
        <v>532985</v>
      </c>
      <c r="CD20" s="39">
        <v>425380</v>
      </c>
      <c r="CE20" s="39">
        <v>103745</v>
      </c>
      <c r="CF20" s="39">
        <v>42102</v>
      </c>
      <c r="CG20" s="207">
        <v>3860</v>
      </c>
      <c r="CH20" s="3">
        <v>541895</v>
      </c>
      <c r="CI20" s="39">
        <v>419278</v>
      </c>
      <c r="CJ20" s="39">
        <v>107540</v>
      </c>
      <c r="CK20" s="39">
        <v>10764</v>
      </c>
      <c r="CL20" s="207">
        <v>15077</v>
      </c>
      <c r="CM20" s="1">
        <v>475309</v>
      </c>
      <c r="CN20" s="39">
        <v>356639</v>
      </c>
      <c r="CO20" s="39">
        <v>93984</v>
      </c>
      <c r="CP20" s="39">
        <v>15794</v>
      </c>
      <c r="CQ20" s="207">
        <v>15943</v>
      </c>
      <c r="CR20" s="3">
        <v>434549</v>
      </c>
      <c r="CS20" s="39">
        <v>326638</v>
      </c>
      <c r="CT20" s="39">
        <v>89588</v>
      </c>
      <c r="CU20" s="39">
        <v>22633</v>
      </c>
      <c r="CV20" s="207">
        <v>18323</v>
      </c>
      <c r="CW20" s="39">
        <v>410812</v>
      </c>
      <c r="CX20" s="39">
        <v>294501</v>
      </c>
      <c r="CY20" s="39">
        <v>83264</v>
      </c>
      <c r="CZ20" s="39">
        <v>23937</v>
      </c>
      <c r="DA20" s="39">
        <v>19180</v>
      </c>
      <c r="DB20" s="39">
        <v>396682</v>
      </c>
      <c r="DC20" s="39">
        <v>279749</v>
      </c>
      <c r="DD20" s="39">
        <v>84191</v>
      </c>
      <c r="DE20" s="39">
        <v>23531</v>
      </c>
      <c r="DF20" s="39">
        <v>19015</v>
      </c>
      <c r="DG20" s="39">
        <v>389302</v>
      </c>
      <c r="DH20" s="39">
        <v>274904</v>
      </c>
      <c r="DI20" s="39">
        <v>81044</v>
      </c>
      <c r="DJ20" s="39">
        <v>22136</v>
      </c>
      <c r="DK20" s="39">
        <v>19316</v>
      </c>
      <c r="DL20" s="39">
        <v>386520</v>
      </c>
      <c r="DM20" s="39">
        <v>272101</v>
      </c>
      <c r="DN20" s="39">
        <v>82843</v>
      </c>
      <c r="DO20" s="39">
        <v>22927</v>
      </c>
      <c r="DP20" s="39">
        <v>15648</v>
      </c>
      <c r="DQ20" s="39">
        <v>374024</v>
      </c>
      <c r="DR20" s="39">
        <v>262597</v>
      </c>
      <c r="DS20" s="39">
        <v>76440</v>
      </c>
      <c r="DT20" s="39">
        <v>23844</v>
      </c>
      <c r="DU20" s="39">
        <v>16653</v>
      </c>
      <c r="DV20" s="118">
        <v>359348</v>
      </c>
      <c r="DW20" s="39">
        <v>259169</v>
      </c>
      <c r="DX20" s="39">
        <v>69324</v>
      </c>
      <c r="DY20" s="39">
        <v>22381</v>
      </c>
      <c r="DZ20" s="39">
        <v>15972</v>
      </c>
      <c r="EA20" s="118">
        <v>358348</v>
      </c>
      <c r="EB20" s="39"/>
      <c r="EC20" s="39"/>
      <c r="ED20" s="39"/>
      <c r="EE20" s="39"/>
      <c r="EF20" s="118">
        <v>360324</v>
      </c>
      <c r="EG20" s="39">
        <v>248617</v>
      </c>
      <c r="EH20" s="39">
        <v>71909</v>
      </c>
      <c r="EI20" s="39">
        <v>27389</v>
      </c>
      <c r="EJ20" s="39">
        <v>20574</v>
      </c>
      <c r="EK20" s="118">
        <v>360324</v>
      </c>
      <c r="EL20" s="39">
        <v>248617</v>
      </c>
      <c r="EM20" s="39">
        <v>71909</v>
      </c>
      <c r="EN20" s="39">
        <v>27389</v>
      </c>
      <c r="EO20" s="39">
        <v>20574</v>
      </c>
      <c r="EP20" s="118">
        <v>311330</v>
      </c>
      <c r="EQ20" s="39">
        <v>205959</v>
      </c>
      <c r="ER20" s="39">
        <v>63004</v>
      </c>
      <c r="ES20" s="39">
        <v>27170</v>
      </c>
      <c r="ET20" s="1">
        <v>4164</v>
      </c>
      <c r="EU20" s="1">
        <v>0</v>
      </c>
      <c r="EV20" s="1">
        <v>1140</v>
      </c>
      <c r="EW20" s="1">
        <v>21045</v>
      </c>
      <c r="EX20" s="1">
        <v>13093</v>
      </c>
      <c r="EY20" s="10">
        <v>693245</v>
      </c>
      <c r="EZ20" s="39">
        <v>532862</v>
      </c>
      <c r="FA20" s="39">
        <v>120495</v>
      </c>
      <c r="FB20" s="39">
        <v>57173</v>
      </c>
      <c r="FC20" s="382">
        <f t="shared" si="470"/>
        <v>39888</v>
      </c>
      <c r="FD20" s="230">
        <v>268253</v>
      </c>
      <c r="FE20" s="231">
        <v>426225</v>
      </c>
      <c r="FF20" s="231">
        <v>580953</v>
      </c>
      <c r="FG20" s="231">
        <v>888432</v>
      </c>
      <c r="FH20" s="10">
        <v>1511917</v>
      </c>
      <c r="FI20" s="39">
        <v>1335174.5789999999</v>
      </c>
      <c r="FJ20" s="39">
        <v>159721.872</v>
      </c>
      <c r="FK20" s="39">
        <v>7601.2840000000006</v>
      </c>
      <c r="FL20" s="207">
        <v>8400.3040000000001</v>
      </c>
      <c r="FM20" s="3">
        <v>2105152</v>
      </c>
      <c r="FN20" s="39">
        <v>1827392</v>
      </c>
      <c r="FO20" s="39">
        <v>255975</v>
      </c>
      <c r="FP20" s="39">
        <v>11386</v>
      </c>
      <c r="FQ20" s="207">
        <v>21785</v>
      </c>
      <c r="FR20" s="3">
        <v>2843244</v>
      </c>
      <c r="FS20" s="39">
        <v>2395794</v>
      </c>
      <c r="FT20" s="39">
        <v>373778</v>
      </c>
      <c r="FU20" s="39">
        <v>33040</v>
      </c>
      <c r="FV20" s="39">
        <v>73672</v>
      </c>
      <c r="FW20" s="232">
        <v>3283956</v>
      </c>
      <c r="FX20" s="39">
        <v>2691921</v>
      </c>
      <c r="FY20" s="39">
        <v>506771</v>
      </c>
      <c r="FZ20" s="39">
        <v>70426</v>
      </c>
      <c r="GA20" s="39">
        <v>54632</v>
      </c>
      <c r="GB20" s="118">
        <v>3375905</v>
      </c>
      <c r="GC20" s="39">
        <v>2800521</v>
      </c>
      <c r="GD20" s="39">
        <v>473798</v>
      </c>
      <c r="GE20" s="39">
        <v>101586</v>
      </c>
      <c r="GF20" s="39">
        <v>58755</v>
      </c>
      <c r="GG20" s="40">
        <v>3439085</v>
      </c>
      <c r="GH20" s="40">
        <v>2848904</v>
      </c>
      <c r="GI20" s="40">
        <v>483659</v>
      </c>
      <c r="GJ20" s="40">
        <v>106522</v>
      </c>
      <c r="GK20" s="40">
        <v>64957</v>
      </c>
      <c r="GL20" s="10">
        <v>3501749</v>
      </c>
      <c r="GM20" s="39">
        <v>2889237</v>
      </c>
      <c r="GN20" s="39">
        <v>499530</v>
      </c>
      <c r="GO20" s="39">
        <v>79259</v>
      </c>
      <c r="GP20" s="39">
        <v>79577</v>
      </c>
      <c r="GQ20" s="10">
        <v>3555537.26</v>
      </c>
      <c r="GR20" s="39">
        <v>2927278.44</v>
      </c>
      <c r="GS20" s="39">
        <v>510367.35799999995</v>
      </c>
      <c r="GT20" s="39">
        <v>87203.707999999999</v>
      </c>
      <c r="GU20" s="410">
        <f t="shared" si="471"/>
        <v>117891.46199999988</v>
      </c>
      <c r="GV20" s="39">
        <v>3623171</v>
      </c>
      <c r="GW20" s="39">
        <v>2910355</v>
      </c>
      <c r="GX20" s="39">
        <v>525764</v>
      </c>
      <c r="GY20" s="39">
        <v>91624</v>
      </c>
      <c r="GZ20" s="39">
        <v>126220</v>
      </c>
      <c r="HA20" s="39">
        <v>3683278</v>
      </c>
      <c r="HB20" s="39">
        <v>2953839</v>
      </c>
      <c r="HC20" s="39">
        <v>536626</v>
      </c>
      <c r="HD20" s="39">
        <v>92073</v>
      </c>
      <c r="HE20" s="39">
        <v>130878</v>
      </c>
      <c r="HF20" s="39">
        <v>3796082</v>
      </c>
      <c r="HG20" s="39">
        <v>3016598</v>
      </c>
      <c r="HH20" s="39">
        <v>574047</v>
      </c>
      <c r="HI20" s="39">
        <v>95225</v>
      </c>
      <c r="HJ20" s="39">
        <v>136539</v>
      </c>
      <c r="HK20" s="39">
        <v>3849682</v>
      </c>
      <c r="HL20" s="39">
        <v>3055838</v>
      </c>
      <c r="HM20" s="39">
        <v>578873</v>
      </c>
      <c r="HN20" s="39">
        <v>98215</v>
      </c>
      <c r="HO20" s="39">
        <v>143509</v>
      </c>
      <c r="HP20" s="118">
        <v>3936885</v>
      </c>
      <c r="HQ20" s="39">
        <v>3116440</v>
      </c>
      <c r="HR20" s="39">
        <v>591132</v>
      </c>
      <c r="HS20" s="39">
        <v>106955</v>
      </c>
      <c r="HT20" s="39">
        <v>144876</v>
      </c>
      <c r="HU20" s="394">
        <v>65939</v>
      </c>
      <c r="HV20" s="1">
        <v>0</v>
      </c>
      <c r="HW20" s="1">
        <v>10655</v>
      </c>
      <c r="HX20" s="1">
        <v>47472</v>
      </c>
      <c r="HY20" s="1">
        <v>20810</v>
      </c>
      <c r="HZ20" s="118">
        <v>4028569</v>
      </c>
      <c r="IA20" s="39">
        <v>3172091</v>
      </c>
      <c r="IB20" s="39">
        <v>618424</v>
      </c>
      <c r="IC20" s="39">
        <v>110059</v>
      </c>
      <c r="ID20" s="39">
        <v>151253</v>
      </c>
      <c r="IE20" s="393">
        <v>4075874</v>
      </c>
      <c r="IF20" s="394"/>
      <c r="IG20" s="394"/>
      <c r="IH20" s="394"/>
      <c r="II20" s="394"/>
      <c r="IJ20" s="393">
        <v>4131145</v>
      </c>
      <c r="IK20" s="394">
        <v>3235574</v>
      </c>
      <c r="IL20" s="394">
        <v>642620</v>
      </c>
      <c r="IM20" s="394">
        <v>119183</v>
      </c>
      <c r="IN20" s="394">
        <v>165996</v>
      </c>
      <c r="IO20" s="393">
        <v>4320485</v>
      </c>
      <c r="IP20" s="394">
        <v>3329219</v>
      </c>
      <c r="IQ20" s="394">
        <v>623198</v>
      </c>
      <c r="IR20" s="394">
        <v>142019</v>
      </c>
      <c r="IS20" s="394">
        <v>338971</v>
      </c>
      <c r="IT20" s="1">
        <v>71641</v>
      </c>
      <c r="IU20" s="1">
        <v>0</v>
      </c>
      <c r="IV20" s="1">
        <v>9286</v>
      </c>
      <c r="IW20" s="1">
        <v>202105</v>
      </c>
      <c r="IX20" s="1">
        <v>55939</v>
      </c>
      <c r="IY20" s="399">
        <f>153080+166949</f>
        <v>320029</v>
      </c>
      <c r="IZ20" s="394">
        <f>145279+134138</f>
        <v>279417</v>
      </c>
      <c r="JA20" s="394">
        <f>17087+19544</f>
        <v>36631</v>
      </c>
      <c r="JB20" s="394">
        <f>1015+908</f>
        <v>1923</v>
      </c>
      <c r="JC20" s="406">
        <f>267+517+311+704</f>
        <v>1799</v>
      </c>
      <c r="JD20" s="5">
        <v>661296</v>
      </c>
      <c r="JE20" s="394">
        <v>563230</v>
      </c>
      <c r="JF20" s="394">
        <v>91719</v>
      </c>
      <c r="JG20" s="394">
        <v>4214</v>
      </c>
      <c r="JH20" s="406">
        <v>6347</v>
      </c>
      <c r="JI20" s="5">
        <v>927857</v>
      </c>
      <c r="JJ20" s="394">
        <v>764539</v>
      </c>
      <c r="JK20" s="394">
        <v>140258</v>
      </c>
      <c r="JL20" s="394">
        <v>11715</v>
      </c>
      <c r="JM20" s="406">
        <v>23060</v>
      </c>
      <c r="JN20" s="394">
        <v>1009576</v>
      </c>
      <c r="JO20" s="394">
        <v>811818</v>
      </c>
      <c r="JP20" s="394">
        <v>162865</v>
      </c>
      <c r="JQ20" s="394">
        <v>15303</v>
      </c>
      <c r="JR20" s="394">
        <v>25392</v>
      </c>
      <c r="JS20" s="5">
        <v>1148161</v>
      </c>
      <c r="JT20" s="394">
        <v>926065</v>
      </c>
      <c r="JU20" s="394">
        <v>189678</v>
      </c>
      <c r="JV20" s="394">
        <v>24169</v>
      </c>
      <c r="JW20" s="406">
        <v>32418</v>
      </c>
      <c r="JX20" s="5">
        <v>1152572.4850000001</v>
      </c>
      <c r="JY20" s="394">
        <v>927317.52</v>
      </c>
      <c r="JZ20" s="394">
        <v>191782.04800000001</v>
      </c>
      <c r="KA20" s="394">
        <v>26276.613999999998</v>
      </c>
      <c r="KB20" s="406">
        <v>33472.917000000074</v>
      </c>
      <c r="KC20" s="394">
        <v>1173959</v>
      </c>
      <c r="KD20" s="394">
        <v>919877</v>
      </c>
      <c r="KE20" s="394">
        <v>199470</v>
      </c>
      <c r="KF20" s="394">
        <v>27321</v>
      </c>
      <c r="KG20" s="439">
        <v>35763</v>
      </c>
      <c r="KH20" s="439">
        <v>1199268</v>
      </c>
      <c r="KI20" s="439">
        <v>935909</v>
      </c>
      <c r="KJ20" s="439">
        <v>204699</v>
      </c>
      <c r="KK20" s="439">
        <v>28718</v>
      </c>
      <c r="KL20" s="439">
        <v>38201</v>
      </c>
      <c r="KM20" s="439">
        <v>1204228</v>
      </c>
      <c r="KN20" s="439">
        <v>937511</v>
      </c>
      <c r="KO20" s="439">
        <v>208078</v>
      </c>
      <c r="KP20" s="439">
        <v>27160</v>
      </c>
      <c r="KQ20" s="439">
        <v>38562</v>
      </c>
      <c r="KR20" s="439">
        <v>1216465</v>
      </c>
      <c r="KS20" s="439">
        <v>941611</v>
      </c>
      <c r="KT20" s="439">
        <v>215583</v>
      </c>
      <c r="KU20" s="439">
        <v>28887</v>
      </c>
      <c r="KV20" s="439">
        <v>38546</v>
      </c>
      <c r="KW20" s="630">
        <v>1288093</v>
      </c>
      <c r="KX20" s="439">
        <v>999714</v>
      </c>
      <c r="KY20" s="439">
        <v>221364</v>
      </c>
      <c r="KZ20" s="439">
        <v>32779</v>
      </c>
      <c r="LA20" s="439">
        <v>41937</v>
      </c>
      <c r="LB20" s="652">
        <v>1286327</v>
      </c>
      <c r="LC20" s="653">
        <v>991382</v>
      </c>
      <c r="LD20" s="653">
        <v>231211</v>
      </c>
      <c r="LE20" s="653">
        <v>29816</v>
      </c>
      <c r="LF20" s="653">
        <v>39595</v>
      </c>
      <c r="LG20" s="652">
        <v>1323317</v>
      </c>
      <c r="LH20" s="653"/>
      <c r="LI20" s="439"/>
      <c r="LJ20" s="439"/>
      <c r="LK20" s="439"/>
      <c r="LL20" s="652">
        <v>1302168</v>
      </c>
      <c r="LM20" s="653">
        <v>990217</v>
      </c>
      <c r="LN20" s="653">
        <v>237845</v>
      </c>
      <c r="LO20" s="653">
        <v>34661</v>
      </c>
      <c r="LP20" s="653">
        <v>48494</v>
      </c>
      <c r="LQ20" s="652">
        <v>1350569</v>
      </c>
      <c r="LR20" s="653">
        <v>1016718</v>
      </c>
      <c r="LS20" s="653">
        <v>218924</v>
      </c>
      <c r="LT20" s="653">
        <v>40220</v>
      </c>
      <c r="LU20" s="653">
        <v>105677</v>
      </c>
      <c r="LV20" s="1">
        <v>14716</v>
      </c>
      <c r="LW20" s="1">
        <v>0</v>
      </c>
      <c r="LX20" s="1">
        <v>3980</v>
      </c>
      <c r="LY20" s="1">
        <v>72440</v>
      </c>
      <c r="LZ20" s="1">
        <v>14541</v>
      </c>
      <c r="MA20" s="10">
        <v>130284</v>
      </c>
      <c r="MB20" s="39">
        <v>111464</v>
      </c>
      <c r="MC20" s="39">
        <v>16941</v>
      </c>
      <c r="MD20" s="39">
        <v>972</v>
      </c>
      <c r="ME20" s="207">
        <v>1879</v>
      </c>
      <c r="MF20" s="3">
        <v>177708</v>
      </c>
      <c r="MG20" s="39">
        <v>148430</v>
      </c>
      <c r="MH20" s="39">
        <v>24335</v>
      </c>
      <c r="MI20" s="39">
        <v>2236</v>
      </c>
      <c r="MJ20" s="207">
        <v>4943</v>
      </c>
      <c r="MK20" s="39">
        <v>228866</v>
      </c>
      <c r="ML20" s="39">
        <v>185632</v>
      </c>
      <c r="MM20" s="39">
        <v>34449</v>
      </c>
      <c r="MN20" s="39">
        <v>3707</v>
      </c>
      <c r="MO20" s="39">
        <v>6273</v>
      </c>
      <c r="MP20" s="118">
        <v>258166</v>
      </c>
      <c r="MQ20" s="39">
        <v>212314</v>
      </c>
      <c r="MR20" s="39">
        <v>37324</v>
      </c>
      <c r="MS20" s="39">
        <v>5619</v>
      </c>
      <c r="MT20" s="39">
        <v>8528</v>
      </c>
      <c r="MU20" s="118"/>
      <c r="MV20" s="39"/>
      <c r="MW20" s="39"/>
      <c r="MX20" s="39"/>
      <c r="MY20" s="207"/>
      <c r="MZ20" s="39">
        <v>268586</v>
      </c>
      <c r="NA20" s="39">
        <v>216052</v>
      </c>
      <c r="NB20" s="39">
        <v>40075</v>
      </c>
      <c r="NC20" s="39">
        <v>5743</v>
      </c>
      <c r="ND20" s="39">
        <v>8412</v>
      </c>
      <c r="NE20" s="39">
        <v>277840</v>
      </c>
      <c r="NF20" s="39">
        <v>222262</v>
      </c>
      <c r="NG20" s="39">
        <v>42298</v>
      </c>
      <c r="NH20" s="39">
        <v>6011</v>
      </c>
      <c r="NI20" s="39">
        <v>9144</v>
      </c>
      <c r="NJ20" s="39">
        <v>296099</v>
      </c>
      <c r="NK20" s="39">
        <v>236002</v>
      </c>
      <c r="NL20" s="39">
        <v>44178</v>
      </c>
      <c r="NM20" s="39">
        <v>8629</v>
      </c>
      <c r="NN20" s="39">
        <v>63055</v>
      </c>
      <c r="NO20" s="39">
        <v>300500</v>
      </c>
      <c r="NP20" s="39">
        <v>241293</v>
      </c>
      <c r="NQ20" s="39">
        <v>46301</v>
      </c>
      <c r="NR20" s="39">
        <v>6282</v>
      </c>
      <c r="NS20" s="39">
        <v>8189</v>
      </c>
      <c r="NT20" s="39">
        <v>328595</v>
      </c>
      <c r="NU20" s="39">
        <v>256564</v>
      </c>
      <c r="NV20" s="39">
        <v>53649</v>
      </c>
      <c r="NW20" s="39">
        <v>9103</v>
      </c>
      <c r="NX20" s="39">
        <v>11592</v>
      </c>
      <c r="NY20" s="118">
        <v>332593</v>
      </c>
      <c r="NZ20" s="39">
        <v>264355</v>
      </c>
      <c r="OA20" s="39">
        <v>51838</v>
      </c>
      <c r="OB20" s="39">
        <v>7203</v>
      </c>
      <c r="OC20" s="39">
        <v>10627</v>
      </c>
      <c r="OD20" s="118">
        <v>348066</v>
      </c>
      <c r="OE20" s="39"/>
      <c r="OF20" s="39"/>
      <c r="OG20" s="39"/>
      <c r="OH20" s="39"/>
      <c r="OI20" s="118">
        <v>348886</v>
      </c>
      <c r="OJ20" s="39">
        <v>273993</v>
      </c>
      <c r="OK20" s="39">
        <v>55364</v>
      </c>
      <c r="OL20" s="39">
        <v>10749</v>
      </c>
      <c r="OM20" s="39">
        <v>11430</v>
      </c>
      <c r="ON20" s="118">
        <v>373330</v>
      </c>
      <c r="OO20" s="39">
        <v>286895</v>
      </c>
      <c r="OP20" s="39">
        <v>51638</v>
      </c>
      <c r="OQ20" s="39">
        <v>12029</v>
      </c>
      <c r="OR20" s="39">
        <v>5233</v>
      </c>
      <c r="OS20" s="1">
        <v>6839</v>
      </c>
      <c r="OT20" s="1">
        <v>0</v>
      </c>
      <c r="OU20" s="1">
        <v>1162</v>
      </c>
      <c r="OV20" s="1">
        <v>19638</v>
      </c>
      <c r="OW20" s="1">
        <v>5233</v>
      </c>
      <c r="OX20" s="402">
        <f t="shared" si="421"/>
        <v>506465</v>
      </c>
      <c r="OY20" s="382">
        <f t="shared" si="422"/>
        <v>408022</v>
      </c>
      <c r="OZ20" s="382">
        <f t="shared" si="423"/>
        <v>48610</v>
      </c>
      <c r="PA20" s="382">
        <f t="shared" si="424"/>
        <v>67219</v>
      </c>
      <c r="PB20" s="382">
        <f t="shared" si="425"/>
        <v>22661</v>
      </c>
      <c r="PC20" s="402">
        <f t="shared" si="426"/>
        <v>910396</v>
      </c>
      <c r="PD20" s="382">
        <f t="shared" si="427"/>
        <v>785779</v>
      </c>
      <c r="PE20" s="382">
        <f t="shared" si="428"/>
        <v>92601</v>
      </c>
      <c r="PF20" s="382">
        <f t="shared" si="429"/>
        <v>10629</v>
      </c>
      <c r="PG20" s="382">
        <f t="shared" si="430"/>
        <v>32016</v>
      </c>
      <c r="PH20" s="118">
        <v>1047711</v>
      </c>
      <c r="PI20" s="39">
        <v>890924</v>
      </c>
      <c r="PJ20" s="39">
        <v>114347</v>
      </c>
      <c r="PK20" s="39">
        <v>19451</v>
      </c>
      <c r="PL20" s="39">
        <v>42440</v>
      </c>
      <c r="PM20" s="39">
        <v>1108463</v>
      </c>
      <c r="PN20" s="39">
        <v>935316</v>
      </c>
      <c r="PO20" s="39">
        <v>120425</v>
      </c>
      <c r="PP20" s="39">
        <v>15692</v>
      </c>
      <c r="PQ20" s="39">
        <v>41675</v>
      </c>
      <c r="PR20" s="393"/>
      <c r="PS20" s="394"/>
      <c r="PT20" s="394"/>
      <c r="PU20" s="394"/>
      <c r="PV20" s="394"/>
      <c r="PW20" s="394">
        <v>1285726</v>
      </c>
      <c r="PX20" s="394">
        <v>1062413</v>
      </c>
      <c r="PY20" s="394">
        <v>149426</v>
      </c>
      <c r="PZ20" s="394">
        <v>24930</v>
      </c>
      <c r="QA20" s="406">
        <v>55425</v>
      </c>
      <c r="QB20" s="394">
        <v>1328731</v>
      </c>
      <c r="QC20" s="394">
        <v>1092735</v>
      </c>
      <c r="QD20" s="394">
        <v>157465</v>
      </c>
      <c r="QE20" s="394">
        <v>25889</v>
      </c>
      <c r="QF20" s="394">
        <v>60015</v>
      </c>
      <c r="QG20" s="394">
        <v>1414406</v>
      </c>
      <c r="QH20" s="394">
        <v>1159811</v>
      </c>
      <c r="QI20" s="394">
        <v>167508</v>
      </c>
      <c r="QJ20" s="394">
        <v>30962</v>
      </c>
      <c r="QK20" s="394">
        <v>63055</v>
      </c>
      <c r="QL20" s="393">
        <v>1451580</v>
      </c>
      <c r="QM20" s="394">
        <v>1187189</v>
      </c>
      <c r="QN20" s="394">
        <v>172900</v>
      </c>
      <c r="QO20" s="394">
        <v>28052</v>
      </c>
      <c r="QP20" s="394">
        <v>69622</v>
      </c>
      <c r="QQ20" s="393">
        <v>1511450</v>
      </c>
      <c r="QR20" s="394">
        <v>1219188</v>
      </c>
      <c r="QS20" s="394">
        <v>189063</v>
      </c>
      <c r="QT20" s="394">
        <v>34162</v>
      </c>
      <c r="QU20" s="394">
        <v>74882</v>
      </c>
      <c r="QV20" s="393">
        <v>1586755</v>
      </c>
      <c r="QW20" s="394">
        <v>1282936</v>
      </c>
      <c r="QX20" s="394">
        <v>194471</v>
      </c>
      <c r="QY20" s="394">
        <v>34047</v>
      </c>
      <c r="QZ20" s="394">
        <v>81414</v>
      </c>
      <c r="RA20" s="393">
        <v>1623491</v>
      </c>
      <c r="RB20" s="394"/>
      <c r="RC20" s="394"/>
      <c r="RD20" s="394"/>
      <c r="RE20" s="394"/>
      <c r="RF20" s="394">
        <v>1697110</v>
      </c>
      <c r="RG20" s="394">
        <v>1362512</v>
      </c>
      <c r="RH20" s="394">
        <v>215411</v>
      </c>
      <c r="RI20" s="394">
        <v>45738</v>
      </c>
      <c r="RJ20" s="394">
        <v>85491</v>
      </c>
      <c r="RK20" s="394">
        <v>1840811</v>
      </c>
      <c r="RL20" s="394">
        <v>1460903</v>
      </c>
      <c r="RM20" s="394">
        <v>208261</v>
      </c>
      <c r="RN20" s="394">
        <v>54553</v>
      </c>
      <c r="RO20" s="394">
        <v>160740</v>
      </c>
      <c r="RP20" s="1">
        <v>52278</v>
      </c>
      <c r="RQ20" s="1">
        <v>0</v>
      </c>
      <c r="RR20" s="1">
        <v>3164</v>
      </c>
      <c r="RS20" s="1">
        <v>83800</v>
      </c>
      <c r="RT20" s="1">
        <v>21498</v>
      </c>
      <c r="RU20" s="10">
        <v>330742</v>
      </c>
      <c r="RV20" s="3">
        <v>296558</v>
      </c>
      <c r="RW20" s="3">
        <v>29667</v>
      </c>
      <c r="RX20" s="3">
        <v>2085</v>
      </c>
      <c r="RY20" s="3">
        <v>4517</v>
      </c>
      <c r="RZ20" s="10">
        <v>478463</v>
      </c>
      <c r="SA20" s="39">
        <v>416710</v>
      </c>
      <c r="SB20" s="39">
        <v>46840</v>
      </c>
      <c r="SC20" s="39">
        <v>5223</v>
      </c>
      <c r="SD20" s="39">
        <v>14913</v>
      </c>
      <c r="SE20" s="118">
        <v>572759</v>
      </c>
      <c r="SF20" s="39">
        <v>489536</v>
      </c>
      <c r="SG20" s="39">
        <v>58454</v>
      </c>
      <c r="SH20" s="39">
        <v>7752</v>
      </c>
      <c r="SI20" s="39">
        <v>19387</v>
      </c>
      <c r="SJ20" s="118">
        <v>623580</v>
      </c>
      <c r="SK20" s="39">
        <v>534005</v>
      </c>
      <c r="SL20" s="39">
        <v>66155</v>
      </c>
      <c r="SM20" s="39">
        <v>10899</v>
      </c>
      <c r="SN20" s="39">
        <v>23420</v>
      </c>
      <c r="SO20" s="118">
        <v>637955.25</v>
      </c>
      <c r="SP20" s="39">
        <v>543241.98</v>
      </c>
      <c r="SQ20" s="39">
        <v>68763.957999999999</v>
      </c>
      <c r="SR20" s="39">
        <v>11550.16</v>
      </c>
      <c r="SS20" s="39">
        <v>25949.31200000002</v>
      </c>
      <c r="ST20" s="118">
        <v>653169</v>
      </c>
      <c r="SU20" s="39">
        <v>546096</v>
      </c>
      <c r="SV20" s="39">
        <v>71585</v>
      </c>
      <c r="SW20" s="39">
        <v>12708</v>
      </c>
      <c r="SX20" s="39">
        <v>26139</v>
      </c>
      <c r="SY20" s="39">
        <v>674064</v>
      </c>
      <c r="SZ20" s="39">
        <v>561308</v>
      </c>
      <c r="TA20" s="39">
        <v>74613</v>
      </c>
      <c r="TB20" s="39">
        <v>13591</v>
      </c>
      <c r="TC20" s="39">
        <v>28433</v>
      </c>
      <c r="TD20" s="39">
        <v>717801</v>
      </c>
      <c r="TE20" s="39">
        <v>595250</v>
      </c>
      <c r="TF20" s="39">
        <v>78535</v>
      </c>
      <c r="TG20" s="39">
        <v>16212</v>
      </c>
      <c r="TH20" s="39">
        <v>31947</v>
      </c>
      <c r="TI20" s="39">
        <v>719980</v>
      </c>
      <c r="TJ20" s="39">
        <v>594128</v>
      </c>
      <c r="TK20" s="39">
        <v>79518</v>
      </c>
      <c r="TL20" s="39">
        <v>14785</v>
      </c>
      <c r="TM20" s="39">
        <v>35052</v>
      </c>
      <c r="TN20" s="39">
        <v>756055</v>
      </c>
      <c r="TO20" s="39">
        <v>619416</v>
      </c>
      <c r="TP20" s="39">
        <v>87073</v>
      </c>
      <c r="TQ20" s="39">
        <v>16022</v>
      </c>
      <c r="TR20" s="39">
        <v>35873</v>
      </c>
      <c r="TS20" s="118">
        <v>790840</v>
      </c>
      <c r="TT20" s="39">
        <v>649334</v>
      </c>
      <c r="TU20" s="39">
        <v>87343</v>
      </c>
      <c r="TV20" s="39">
        <v>18644</v>
      </c>
      <c r="TW20" s="39">
        <v>38546</v>
      </c>
      <c r="TX20" s="118">
        <v>801616</v>
      </c>
      <c r="TY20" s="39"/>
      <c r="TZ20" s="39"/>
      <c r="UA20" s="39"/>
      <c r="UB20" s="39"/>
      <c r="UC20" s="118">
        <v>845100</v>
      </c>
      <c r="UD20" s="39">
        <v>694001</v>
      </c>
      <c r="UE20" s="39">
        <v>97757</v>
      </c>
      <c r="UF20" s="39">
        <v>23531</v>
      </c>
      <c r="UG20" s="39">
        <v>36740</v>
      </c>
      <c r="UH20" s="118">
        <v>924404</v>
      </c>
      <c r="UI20" s="39">
        <v>745268</v>
      </c>
      <c r="UJ20" s="39">
        <v>100091</v>
      </c>
      <c r="UK20" s="39">
        <v>25717</v>
      </c>
      <c r="UL20" s="39">
        <v>72549</v>
      </c>
      <c r="UM20" s="1">
        <v>22460</v>
      </c>
      <c r="UN20" s="1">
        <v>0</v>
      </c>
      <c r="UO20" s="1">
        <v>881</v>
      </c>
      <c r="UP20" s="1">
        <v>39928</v>
      </c>
      <c r="UQ20" s="1">
        <v>16265</v>
      </c>
      <c r="UR20" s="588">
        <f t="shared" si="431"/>
        <v>96965</v>
      </c>
      <c r="US20" s="40">
        <v>57488</v>
      </c>
      <c r="UT20" s="40">
        <v>39477</v>
      </c>
      <c r="UU20" s="588">
        <f t="shared" si="432"/>
        <v>8079</v>
      </c>
      <c r="UV20" s="40">
        <v>3402</v>
      </c>
      <c r="UW20" s="40">
        <v>4677</v>
      </c>
      <c r="UX20" s="42">
        <v>168529</v>
      </c>
      <c r="UY20" s="588">
        <f t="shared" si="433"/>
        <v>97820</v>
      </c>
      <c r="UZ20" s="588">
        <f t="shared" si="434"/>
        <v>70709</v>
      </c>
      <c r="VA20" s="588">
        <f t="shared" si="435"/>
        <v>154618</v>
      </c>
      <c r="VB20" s="40">
        <v>92150</v>
      </c>
      <c r="VC20" s="40">
        <v>62468</v>
      </c>
      <c r="VD20" s="588">
        <f t="shared" si="436"/>
        <v>12494</v>
      </c>
      <c r="VE20" s="40">
        <v>4773</v>
      </c>
      <c r="VF20" s="40">
        <v>7721</v>
      </c>
      <c r="VG20" s="588">
        <f t="shared" si="437"/>
        <v>1417</v>
      </c>
      <c r="VH20" s="40">
        <v>897</v>
      </c>
      <c r="VI20" s="40">
        <v>520</v>
      </c>
      <c r="VJ20" s="42">
        <v>339173</v>
      </c>
      <c r="VK20" s="588">
        <f t="shared" si="438"/>
        <v>193258</v>
      </c>
      <c r="VL20" s="588">
        <f t="shared" si="439"/>
        <v>145915</v>
      </c>
      <c r="VM20" s="39">
        <f>177814+127140</f>
        <v>304954</v>
      </c>
      <c r="VN20" s="40">
        <v>177814</v>
      </c>
      <c r="VO20" s="40">
        <v>127140</v>
      </c>
      <c r="VP20" s="40">
        <v>15444</v>
      </c>
      <c r="VQ20" s="40">
        <v>18775</v>
      </c>
      <c r="VR20" s="39">
        <f>11977+16419</f>
        <v>28396</v>
      </c>
      <c r="VS20" s="40">
        <v>11977</v>
      </c>
      <c r="VT20" s="40">
        <v>16419</v>
      </c>
      <c r="VU20" s="39">
        <f>1016+773</f>
        <v>1789</v>
      </c>
      <c r="VV20" s="40">
        <v>1016</v>
      </c>
      <c r="VW20" s="40">
        <v>773</v>
      </c>
      <c r="VX20" s="233">
        <f t="shared" si="440"/>
        <v>4034</v>
      </c>
      <c r="VY20" s="233">
        <f t="shared" si="441"/>
        <v>2451</v>
      </c>
      <c r="VZ20" s="233">
        <f t="shared" si="442"/>
        <v>1583</v>
      </c>
      <c r="WA20" s="234">
        <f t="shared" si="443"/>
        <v>316</v>
      </c>
      <c r="WB20" s="234">
        <f t="shared" si="444"/>
        <v>234</v>
      </c>
      <c r="WC20" s="234">
        <f t="shared" si="445"/>
        <v>82</v>
      </c>
      <c r="WD20" s="40">
        <v>3718</v>
      </c>
      <c r="WE20" s="40">
        <v>2217</v>
      </c>
      <c r="WF20" s="40">
        <v>1501</v>
      </c>
      <c r="WG20" s="12">
        <f t="shared" si="446"/>
        <v>376181</v>
      </c>
      <c r="WH20" s="588">
        <f t="shared" si="447"/>
        <v>269093</v>
      </c>
      <c r="WI20" s="588">
        <f t="shared" si="448"/>
        <v>231898</v>
      </c>
      <c r="WJ20" s="11">
        <f t="shared" si="449"/>
        <v>296558</v>
      </c>
      <c r="WK20" s="90">
        <f t="shared" si="450"/>
        <v>445647</v>
      </c>
      <c r="WL20" s="40">
        <v>245339</v>
      </c>
      <c r="WM20" s="40">
        <v>200308</v>
      </c>
      <c r="WN20" s="40">
        <v>23754</v>
      </c>
      <c r="WO20" s="40">
        <v>31590</v>
      </c>
      <c r="WP20" s="11">
        <f t="shared" si="451"/>
        <v>31669</v>
      </c>
      <c r="WQ20" s="90">
        <f t="shared" si="452"/>
        <v>43576</v>
      </c>
      <c r="WR20" s="40">
        <v>16863</v>
      </c>
      <c r="WS20" s="40">
        <v>26713</v>
      </c>
      <c r="WT20" s="11">
        <f t="shared" si="453"/>
        <v>3494</v>
      </c>
      <c r="WU20" s="40">
        <v>2028</v>
      </c>
      <c r="WV20" s="40">
        <v>1466</v>
      </c>
      <c r="WW20" s="9">
        <f t="shared" si="454"/>
        <v>20782</v>
      </c>
      <c r="WX20" s="235">
        <f t="shared" si="455"/>
        <v>4863</v>
      </c>
      <c r="WY20" s="235">
        <f t="shared" si="456"/>
        <v>3411</v>
      </c>
      <c r="WZ20" s="236">
        <f t="shared" si="457"/>
        <v>116</v>
      </c>
      <c r="XA20" s="236">
        <f t="shared" si="458"/>
        <v>46</v>
      </c>
      <c r="XB20" s="236">
        <f t="shared" si="459"/>
        <v>70</v>
      </c>
      <c r="XC20" s="589">
        <f t="shared" si="460"/>
        <v>8158</v>
      </c>
      <c r="XD20" s="589">
        <f t="shared" si="461"/>
        <v>4817</v>
      </c>
      <c r="XE20" s="589">
        <f t="shared" si="462"/>
        <v>3341</v>
      </c>
      <c r="XF20" s="40">
        <v>443</v>
      </c>
      <c r="XG20" s="40">
        <v>394</v>
      </c>
      <c r="XH20" s="40">
        <v>4374</v>
      </c>
      <c r="XI20" s="40">
        <v>2947</v>
      </c>
      <c r="XJ20" s="590">
        <v>732688</v>
      </c>
      <c r="XK20" s="40">
        <v>371605</v>
      </c>
      <c r="XL20" s="40">
        <v>361083</v>
      </c>
      <c r="XM20" s="5">
        <f t="shared" si="463"/>
        <v>637349</v>
      </c>
      <c r="XN20" s="5">
        <v>330921</v>
      </c>
      <c r="XO20" s="5">
        <v>306428</v>
      </c>
      <c r="XP20" s="84">
        <f t="shared" si="464"/>
        <v>632166</v>
      </c>
      <c r="XQ20" s="40">
        <v>328124</v>
      </c>
      <c r="XR20" s="40">
        <v>304042</v>
      </c>
      <c r="XS20" s="5">
        <f t="shared" si="465"/>
        <v>68266</v>
      </c>
      <c r="XT20" s="40">
        <v>26265</v>
      </c>
      <c r="XU20" s="40">
        <v>42001</v>
      </c>
      <c r="XV20" s="5">
        <f t="shared" si="466"/>
        <v>8393</v>
      </c>
      <c r="XW20" s="40">
        <v>4446</v>
      </c>
      <c r="XX20" s="40">
        <v>3947</v>
      </c>
      <c r="XY20" s="84">
        <f t="shared" si="467"/>
        <v>27073</v>
      </c>
      <c r="XZ20" s="84">
        <f t="shared" si="468"/>
        <v>14419</v>
      </c>
      <c r="YA20" s="84">
        <f t="shared" si="469"/>
        <v>12654</v>
      </c>
      <c r="YB20" s="587">
        <v>879597</v>
      </c>
      <c r="YC20" s="40">
        <v>749684</v>
      </c>
      <c r="YD20" s="40">
        <v>85976</v>
      </c>
      <c r="YE20" s="40">
        <v>11985</v>
      </c>
      <c r="YF20" s="5">
        <v>35402</v>
      </c>
      <c r="YG20" s="118">
        <v>914639</v>
      </c>
      <c r="YH20" s="39">
        <v>785993</v>
      </c>
      <c r="YI20" s="39">
        <v>90613</v>
      </c>
      <c r="YJ20" s="39">
        <v>38033</v>
      </c>
      <c r="YK20" s="39">
        <v>12358</v>
      </c>
      <c r="YL20" s="118">
        <v>942859</v>
      </c>
      <c r="YM20" s="39">
        <v>807119</v>
      </c>
      <c r="YN20" s="39">
        <v>94559</v>
      </c>
      <c r="YO20" s="39">
        <v>41181</v>
      </c>
      <c r="YP20" s="39">
        <v>13987</v>
      </c>
      <c r="YQ20" s="118">
        <v>964514</v>
      </c>
      <c r="YR20" s="39">
        <v>822042</v>
      </c>
      <c r="YS20" s="39">
        <v>99718</v>
      </c>
      <c r="YT20" s="39">
        <v>42754</v>
      </c>
      <c r="YU20" s="39">
        <v>16905</v>
      </c>
      <c r="YV20" s="10">
        <v>986704.11999999988</v>
      </c>
      <c r="YW20" s="39">
        <v>837353.88</v>
      </c>
      <c r="YX20" s="39">
        <v>105353.954</v>
      </c>
      <c r="YY20" s="39">
        <v>18047.125</v>
      </c>
      <c r="YZ20" s="39">
        <v>43996.285999999876</v>
      </c>
      <c r="ZA20" s="39">
        <v>1017140</v>
      </c>
      <c r="ZB20" s="39">
        <v>846361</v>
      </c>
      <c r="ZC20" s="39">
        <v>109351</v>
      </c>
      <c r="ZD20" s="39">
        <v>19187</v>
      </c>
      <c r="ZE20" s="1">
        <v>47013</v>
      </c>
      <c r="ZF20" s="1">
        <v>1050891</v>
      </c>
      <c r="ZG20" s="1">
        <v>870473</v>
      </c>
      <c r="ZH20" s="1">
        <v>115167</v>
      </c>
      <c r="ZI20" s="1">
        <v>19878</v>
      </c>
      <c r="ZJ20" s="1">
        <v>50871</v>
      </c>
      <c r="ZK20" s="1">
        <v>1118307</v>
      </c>
      <c r="ZL20" s="1">
        <v>923809</v>
      </c>
      <c r="ZM20" s="1">
        <v>123330</v>
      </c>
      <c r="ZN20" s="1">
        <v>22333</v>
      </c>
      <c r="ZO20" s="1">
        <v>54258</v>
      </c>
      <c r="ZP20" s="1">
        <v>1151080</v>
      </c>
      <c r="ZQ20" s="1">
        <v>945896</v>
      </c>
      <c r="ZR20" s="1">
        <v>126599</v>
      </c>
      <c r="ZS20" s="1">
        <v>21770</v>
      </c>
      <c r="ZT20" s="1">
        <v>61433</v>
      </c>
      <c r="ZU20" s="1">
        <v>1182855</v>
      </c>
      <c r="ZV20" s="1">
        <v>962624</v>
      </c>
      <c r="ZW20" s="1">
        <v>135414</v>
      </c>
      <c r="ZX20" s="1">
        <v>25059</v>
      </c>
      <c r="ZY20" s="1">
        <v>63290</v>
      </c>
      <c r="ZZ20" s="394">
        <v>42087</v>
      </c>
      <c r="AAA20" s="1">
        <v>0</v>
      </c>
      <c r="AAB20" s="1">
        <v>1963</v>
      </c>
      <c r="AAC20" s="1">
        <v>14948</v>
      </c>
      <c r="AAD20" s="1">
        <v>4292</v>
      </c>
      <c r="AAE20" s="50">
        <v>1254162</v>
      </c>
      <c r="AAF20" s="1">
        <v>1018581</v>
      </c>
      <c r="AAG20" s="1">
        <v>142633</v>
      </c>
      <c r="AAH20" s="1">
        <v>26844</v>
      </c>
      <c r="AAI20" s="1">
        <v>70787</v>
      </c>
      <c r="AAJ20" s="50">
        <v>1275425</v>
      </c>
      <c r="AAK20" s="1"/>
      <c r="AAL20" s="1"/>
      <c r="AAM20" s="1"/>
      <c r="AAN20" s="1"/>
      <c r="AAO20" s="68">
        <v>1348224</v>
      </c>
      <c r="AAP20" s="37">
        <v>1088519</v>
      </c>
      <c r="AAQ20" s="37">
        <v>160047</v>
      </c>
      <c r="AAR20" s="37">
        <v>34989</v>
      </c>
      <c r="AAS20" s="37">
        <v>74061</v>
      </c>
      <c r="AAT20" s="68">
        <v>1467481</v>
      </c>
      <c r="AAU20" s="37">
        <v>1174008</v>
      </c>
      <c r="AAV20" s="37">
        <v>156623</v>
      </c>
      <c r="AAW20" s="37">
        <v>42524</v>
      </c>
      <c r="AAX20" s="37">
        <v>127868</v>
      </c>
      <c r="AAY20" s="1">
        <v>45439</v>
      </c>
      <c r="AAZ20" s="1">
        <v>0</v>
      </c>
      <c r="ABA20" s="1">
        <v>2002</v>
      </c>
      <c r="ABB20" s="1">
        <v>64162</v>
      </c>
      <c r="ABC20" s="1">
        <v>16265</v>
      </c>
      <c r="ABD20" s="10">
        <v>254225</v>
      </c>
      <c r="ABE20" s="39">
        <v>220639</v>
      </c>
      <c r="ABF20" s="39">
        <v>21426</v>
      </c>
      <c r="ABG20" s="39">
        <v>3170</v>
      </c>
      <c r="ABH20" s="39">
        <v>12160</v>
      </c>
      <c r="ABI20" s="118">
        <v>306838</v>
      </c>
      <c r="ABJ20" s="39">
        <v>260148</v>
      </c>
      <c r="ABK20" s="39">
        <v>27522</v>
      </c>
      <c r="ABL20" s="39">
        <v>4233</v>
      </c>
      <c r="ABM20" s="39">
        <v>16015</v>
      </c>
      <c r="ABN20" s="10">
        <v>340934</v>
      </c>
      <c r="ABO20" s="39">
        <v>288037</v>
      </c>
      <c r="ABP20" s="39">
        <v>33563</v>
      </c>
      <c r="ABQ20" s="39">
        <v>6006</v>
      </c>
      <c r="ABR20" s="39">
        <v>19334</v>
      </c>
      <c r="ABS20" s="10">
        <v>348748.86999999994</v>
      </c>
      <c r="ABT20" s="39">
        <v>294111.90000000002</v>
      </c>
      <c r="ABU20" s="39">
        <v>36589.995999999999</v>
      </c>
      <c r="ABV20" s="39">
        <v>6496.9650000000001</v>
      </c>
      <c r="ABW20" s="207">
        <v>18046.973999999915</v>
      </c>
      <c r="ABX20" s="1">
        <v>363971</v>
      </c>
      <c r="ABY20" s="1">
        <v>300265</v>
      </c>
      <c r="ABZ20" s="1">
        <v>37766</v>
      </c>
      <c r="ACA20" s="1">
        <v>6479</v>
      </c>
      <c r="ACB20" s="49">
        <v>20874</v>
      </c>
      <c r="ACC20" s="1">
        <v>376827</v>
      </c>
      <c r="ACD20" s="1">
        <v>309165</v>
      </c>
      <c r="ACE20" s="1">
        <v>40554</v>
      </c>
      <c r="ACF20" s="1">
        <v>6287</v>
      </c>
      <c r="ACG20" s="1">
        <v>22438</v>
      </c>
      <c r="ACH20" s="1">
        <v>400506</v>
      </c>
      <c r="ACI20" s="1">
        <v>328559</v>
      </c>
      <c r="ACJ20" s="1">
        <v>44795</v>
      </c>
      <c r="ACK20" s="1">
        <v>6121</v>
      </c>
      <c r="ACL20" s="1">
        <v>22311</v>
      </c>
      <c r="ACM20" s="1">
        <v>431100</v>
      </c>
      <c r="ACN20" s="1">
        <v>351768</v>
      </c>
      <c r="ACO20" s="1">
        <v>47081</v>
      </c>
      <c r="ACP20" s="1">
        <v>6985</v>
      </c>
      <c r="ACQ20" s="1">
        <v>26381</v>
      </c>
      <c r="ACR20" s="1">
        <v>426800</v>
      </c>
      <c r="ACS20" s="1">
        <v>343208</v>
      </c>
      <c r="ACT20" s="1">
        <v>48341</v>
      </c>
      <c r="ACU20" s="1">
        <v>9037</v>
      </c>
      <c r="ACV20" s="1">
        <v>27417</v>
      </c>
      <c r="ADB20" s="50">
        <v>463322</v>
      </c>
      <c r="ADC20" s="1">
        <v>369247</v>
      </c>
      <c r="ADD20" s="1">
        <v>55290</v>
      </c>
      <c r="ADE20" s="1">
        <v>8200</v>
      </c>
      <c r="ADF20" s="1">
        <v>32241</v>
      </c>
      <c r="ADG20" s="50">
        <v>473809</v>
      </c>
      <c r="ADL20" s="50">
        <v>503124</v>
      </c>
      <c r="ADM20" s="1">
        <v>394518</v>
      </c>
      <c r="ADN20" s="1">
        <v>62290</v>
      </c>
      <c r="ADO20" s="1">
        <v>11458</v>
      </c>
      <c r="ADP20" s="1">
        <v>37321</v>
      </c>
      <c r="ADQ20" s="50">
        <v>543077</v>
      </c>
      <c r="ADR20" s="1">
        <v>428740</v>
      </c>
      <c r="ADS20" s="1">
        <v>56532</v>
      </c>
      <c r="ADT20" s="1">
        <v>16807</v>
      </c>
      <c r="ADU20" s="1">
        <v>55319</v>
      </c>
      <c r="ADV20" s="1">
        <v>22979</v>
      </c>
      <c r="ADW20" s="1">
        <v>0</v>
      </c>
      <c r="ADX20" s="1">
        <v>1121</v>
      </c>
      <c r="ADY20" s="1">
        <v>24234</v>
      </c>
      <c r="ADZ20" s="1">
        <v>6985</v>
      </c>
    </row>
    <row r="21" spans="1:806" ht="14.1">
      <c r="A21" s="138" t="s">
        <v>21</v>
      </c>
      <c r="B21" s="118">
        <f>258240+333787+197000+260893+359522+231183</f>
        <v>1640625</v>
      </c>
      <c r="C21" s="39">
        <f>66613+169198+133332+51747+168413+153066</f>
        <v>742369</v>
      </c>
      <c r="D21" s="39">
        <f>35986+44830+22001+27977+50255+29115</f>
        <v>210164</v>
      </c>
      <c r="E21" s="39">
        <f>153668+117252+40310+177763+136688+46718</f>
        <v>672399</v>
      </c>
      <c r="F21" s="207">
        <f>564+839+749+1069+1209+425+432+873+774+2533+2902+1319</f>
        <v>13688</v>
      </c>
      <c r="G21" s="3">
        <v>1387528</v>
      </c>
      <c r="H21" s="39">
        <v>875053</v>
      </c>
      <c r="I21" s="39">
        <v>133858</v>
      </c>
      <c r="J21" s="39">
        <v>806630</v>
      </c>
      <c r="K21" s="207">
        <v>378617</v>
      </c>
      <c r="L21" s="3">
        <v>1465420</v>
      </c>
      <c r="M21" s="39">
        <v>877801</v>
      </c>
      <c r="N21" s="39">
        <v>89530</v>
      </c>
      <c r="O21" s="39">
        <v>1074838</v>
      </c>
      <c r="P21" s="207">
        <v>498089</v>
      </c>
      <c r="Q21" s="39">
        <v>1522349</v>
      </c>
      <c r="R21" s="39">
        <v>206918</v>
      </c>
      <c r="S21" s="39">
        <v>71191</v>
      </c>
      <c r="T21" s="39">
        <v>1199938</v>
      </c>
      <c r="U21" s="207">
        <v>494041</v>
      </c>
      <c r="V21" s="5">
        <v>1536433</v>
      </c>
      <c r="W21" s="394">
        <v>1064847</v>
      </c>
      <c r="X21" s="394">
        <v>69658</v>
      </c>
      <c r="Y21" s="394">
        <v>1230505</v>
      </c>
      <c r="Z21" s="406">
        <v>401928</v>
      </c>
      <c r="AA21" s="394">
        <v>1522152</v>
      </c>
      <c r="AB21" s="1">
        <v>172400</v>
      </c>
      <c r="AC21" s="394">
        <v>64759</v>
      </c>
      <c r="AD21" s="394">
        <v>1229426</v>
      </c>
      <c r="AE21" s="394">
        <v>356807</v>
      </c>
      <c r="AF21" s="393">
        <v>1517494</v>
      </c>
      <c r="AG21" s="394">
        <v>165467</v>
      </c>
      <c r="AH21" s="394">
        <v>61561</v>
      </c>
      <c r="AI21" s="394">
        <v>1233551</v>
      </c>
      <c r="AJ21" s="490">
        <v>333153</v>
      </c>
      <c r="AK21" s="490">
        <v>1542434</v>
      </c>
      <c r="AL21" s="490">
        <v>153246</v>
      </c>
      <c r="AM21" s="685">
        <v>60019</v>
      </c>
      <c r="AN21" s="685">
        <v>1265604</v>
      </c>
      <c r="AO21" s="490">
        <v>303243</v>
      </c>
      <c r="AP21" s="394">
        <v>1559568</v>
      </c>
      <c r="AQ21" s="394">
        <v>158337</v>
      </c>
      <c r="AR21" s="394">
        <v>63765</v>
      </c>
      <c r="AS21" s="394">
        <v>1277240</v>
      </c>
      <c r="AT21" s="394">
        <v>317787</v>
      </c>
      <c r="AU21" s="393">
        <v>1529632</v>
      </c>
      <c r="AV21" s="394">
        <v>153191</v>
      </c>
      <c r="AW21" s="394">
        <v>58612</v>
      </c>
      <c r="AX21" s="394">
        <v>1248530</v>
      </c>
      <c r="AY21" s="394">
        <v>324921</v>
      </c>
      <c r="AZ21" s="1">
        <v>63882</v>
      </c>
      <c r="BA21" s="1">
        <v>852</v>
      </c>
      <c r="BB21" s="1">
        <v>10918</v>
      </c>
      <c r="BC21" s="1">
        <v>19034</v>
      </c>
      <c r="BD21" s="1">
        <v>230235</v>
      </c>
      <c r="BE21" s="393">
        <v>1473004</v>
      </c>
      <c r="BF21" s="394">
        <v>132839</v>
      </c>
      <c r="BG21" s="394">
        <v>59178</v>
      </c>
      <c r="BH21" s="394">
        <v>1216821</v>
      </c>
      <c r="BI21" s="394">
        <v>315572</v>
      </c>
      <c r="BJ21" s="393">
        <v>1478739</v>
      </c>
      <c r="BK21" s="394"/>
      <c r="BL21" s="394"/>
      <c r="BM21" s="394"/>
      <c r="BN21" s="394"/>
      <c r="BO21" s="393">
        <v>1436483</v>
      </c>
      <c r="BP21" s="394">
        <v>129127</v>
      </c>
      <c r="BQ21" s="394">
        <v>46677</v>
      </c>
      <c r="BR21" s="394">
        <v>1196230</v>
      </c>
      <c r="BS21" s="394">
        <v>326622</v>
      </c>
      <c r="BT21" s="393">
        <v>1459699</v>
      </c>
      <c r="BU21" s="394">
        <v>119744</v>
      </c>
      <c r="BV21" s="394">
        <v>55215</v>
      </c>
      <c r="BW21" s="394">
        <v>1194040</v>
      </c>
      <c r="BX21" s="394">
        <v>74686</v>
      </c>
      <c r="BY21" s="1">
        <v>733</v>
      </c>
      <c r="BZ21" s="1">
        <v>23931</v>
      </c>
      <c r="CA21" s="1">
        <v>599866</v>
      </c>
      <c r="CB21" s="1">
        <v>422828</v>
      </c>
      <c r="CC21" s="118">
        <v>1485031</v>
      </c>
      <c r="CD21" s="39">
        <v>1056520</v>
      </c>
      <c r="CE21" s="39">
        <v>244692</v>
      </c>
      <c r="CF21" s="39">
        <v>1194040</v>
      </c>
      <c r="CG21" s="207">
        <v>183819</v>
      </c>
      <c r="CH21" s="3">
        <v>1649141</v>
      </c>
      <c r="CI21" s="39">
        <v>1071404</v>
      </c>
      <c r="CJ21" s="39">
        <v>244573</v>
      </c>
      <c r="CK21" s="39">
        <v>656630</v>
      </c>
      <c r="CL21" s="207">
        <v>333164</v>
      </c>
      <c r="CM21" s="1">
        <v>1576635</v>
      </c>
      <c r="CN21" s="39">
        <v>554343</v>
      </c>
      <c r="CO21" s="39">
        <v>208026</v>
      </c>
      <c r="CP21" s="39">
        <v>765649</v>
      </c>
      <c r="CQ21" s="207">
        <v>343360</v>
      </c>
      <c r="CR21" s="3">
        <v>1513114</v>
      </c>
      <c r="CS21" s="39">
        <v>1055443</v>
      </c>
      <c r="CT21" s="39">
        <v>189834</v>
      </c>
      <c r="CU21" s="39">
        <v>797971</v>
      </c>
      <c r="CV21" s="207">
        <v>267837</v>
      </c>
      <c r="CW21" s="39">
        <v>1517129</v>
      </c>
      <c r="CX21" s="39">
        <v>448221</v>
      </c>
      <c r="CY21" s="39">
        <v>185429</v>
      </c>
      <c r="CZ21" s="39">
        <v>829258</v>
      </c>
      <c r="DA21" s="39">
        <v>249059</v>
      </c>
      <c r="DB21" s="39">
        <v>1512343</v>
      </c>
      <c r="DC21" s="39">
        <v>430163</v>
      </c>
      <c r="DD21" s="39">
        <v>187310</v>
      </c>
      <c r="DE21" s="39">
        <v>843158</v>
      </c>
      <c r="DF21" s="39">
        <v>235320</v>
      </c>
      <c r="DG21" s="39">
        <v>1503261</v>
      </c>
      <c r="DH21" s="39">
        <v>402523</v>
      </c>
      <c r="DI21" s="39">
        <v>180135</v>
      </c>
      <c r="DJ21" s="39">
        <v>865597</v>
      </c>
      <c r="DK21" s="39">
        <v>215714</v>
      </c>
      <c r="DL21" s="39">
        <v>1511574</v>
      </c>
      <c r="DM21" s="39">
        <v>405970</v>
      </c>
      <c r="DN21" s="39">
        <v>177476</v>
      </c>
      <c r="DO21" s="39">
        <v>869192</v>
      </c>
      <c r="DP21" s="39">
        <v>207514</v>
      </c>
      <c r="DQ21" s="39">
        <v>1506376</v>
      </c>
      <c r="DR21" s="39">
        <v>411448</v>
      </c>
      <c r="DS21" s="39">
        <v>170378</v>
      </c>
      <c r="DT21" s="39">
        <v>866132</v>
      </c>
      <c r="DU21" s="39">
        <v>223457</v>
      </c>
      <c r="DV21" s="118">
        <v>1496019</v>
      </c>
      <c r="DW21" s="39">
        <v>380691</v>
      </c>
      <c r="DX21" s="39">
        <v>168119</v>
      </c>
      <c r="DY21" s="39">
        <v>889107</v>
      </c>
      <c r="DZ21" s="39">
        <v>236778</v>
      </c>
      <c r="EA21" s="118">
        <v>1485230</v>
      </c>
      <c r="EB21" s="39"/>
      <c r="EC21" s="39"/>
      <c r="ED21" s="39"/>
      <c r="EE21" s="39"/>
      <c r="EF21" s="118">
        <v>1445905</v>
      </c>
      <c r="EG21" s="39">
        <v>355613</v>
      </c>
      <c r="EH21" s="39">
        <v>154942</v>
      </c>
      <c r="EI21" s="39">
        <v>877563</v>
      </c>
      <c r="EJ21" s="39">
        <v>231339</v>
      </c>
      <c r="EK21" s="118">
        <v>1445905</v>
      </c>
      <c r="EL21" s="39">
        <v>355613</v>
      </c>
      <c r="EM21" s="39">
        <v>154942</v>
      </c>
      <c r="EN21" s="39">
        <v>877563</v>
      </c>
      <c r="EO21" s="39">
        <v>231339</v>
      </c>
      <c r="EP21" s="118">
        <v>1349205</v>
      </c>
      <c r="EQ21" s="39">
        <v>306668</v>
      </c>
      <c r="ER21" s="39">
        <v>142973</v>
      </c>
      <c r="ES21" s="39">
        <v>822424</v>
      </c>
      <c r="ET21" s="1">
        <v>48104</v>
      </c>
      <c r="EU21" s="1">
        <v>967</v>
      </c>
      <c r="EV21" s="1">
        <v>17664</v>
      </c>
      <c r="EW21" s="1">
        <v>454462</v>
      </c>
      <c r="EX21" s="1">
        <v>236422</v>
      </c>
      <c r="EY21" s="10">
        <v>3059939</v>
      </c>
      <c r="EZ21" s="39">
        <v>2155074</v>
      </c>
      <c r="FA21" s="39">
        <v>252622</v>
      </c>
      <c r="FB21" s="39">
        <v>2051874</v>
      </c>
      <c r="FC21" s="382">
        <f t="shared" si="470"/>
        <v>652243</v>
      </c>
      <c r="FD21" s="230">
        <v>834876</v>
      </c>
      <c r="FE21" s="231">
        <v>1260685</v>
      </c>
      <c r="FF21" s="231">
        <v>1989554</v>
      </c>
      <c r="FG21" s="231">
        <v>2756519</v>
      </c>
      <c r="FH21" s="10">
        <v>4974371</v>
      </c>
      <c r="FI21" s="39">
        <v>3992800.6640000003</v>
      </c>
      <c r="FJ21" s="39">
        <v>442046.88</v>
      </c>
      <c r="FK21" s="39">
        <v>465968.03</v>
      </c>
      <c r="FL21" s="207">
        <v>71238.684000000008</v>
      </c>
      <c r="FM21" s="3">
        <v>7438046</v>
      </c>
      <c r="FN21" s="39">
        <v>6177033</v>
      </c>
      <c r="FO21" s="39">
        <v>738700</v>
      </c>
      <c r="FP21" s="39">
        <v>947947</v>
      </c>
      <c r="FQ21" s="207">
        <v>522313</v>
      </c>
      <c r="FR21" s="3">
        <v>9676332</v>
      </c>
      <c r="FS21" s="39">
        <v>7574175</v>
      </c>
      <c r="FT21" s="39">
        <v>1047116</v>
      </c>
      <c r="FU21" s="39">
        <v>1680568</v>
      </c>
      <c r="FV21" s="39">
        <v>1055041</v>
      </c>
      <c r="FW21" s="232">
        <v>11383858</v>
      </c>
      <c r="FX21" s="39">
        <v>7025813</v>
      </c>
      <c r="FY21" s="39">
        <v>1400190</v>
      </c>
      <c r="FZ21" s="39">
        <v>3240246</v>
      </c>
      <c r="GA21" s="39">
        <v>2474597</v>
      </c>
      <c r="GB21" s="118">
        <v>11720149</v>
      </c>
      <c r="GC21" s="39">
        <v>8901330</v>
      </c>
      <c r="GD21" s="39">
        <v>1344301</v>
      </c>
      <c r="GE21" s="39">
        <v>1474518</v>
      </c>
      <c r="GF21" s="39">
        <v>2607520</v>
      </c>
      <c r="GG21" s="40">
        <v>11990037</v>
      </c>
      <c r="GH21" s="40">
        <v>9189345</v>
      </c>
      <c r="GI21" s="40">
        <v>1397466</v>
      </c>
      <c r="GJ21" s="40">
        <v>1403226</v>
      </c>
      <c r="GK21" s="40">
        <v>2689661</v>
      </c>
      <c r="GL21" s="10">
        <v>12399247</v>
      </c>
      <c r="GM21" s="39">
        <v>9561767</v>
      </c>
      <c r="GN21" s="39">
        <v>1486828</v>
      </c>
      <c r="GO21" s="39">
        <v>2864863</v>
      </c>
      <c r="GP21" s="39">
        <v>1177623</v>
      </c>
      <c r="GQ21" s="10">
        <v>12712942.085999999</v>
      </c>
      <c r="GR21" s="39">
        <v>9805588.8839999996</v>
      </c>
      <c r="GS21" s="39">
        <v>1539023.9139999999</v>
      </c>
      <c r="GT21" s="39">
        <v>3009414.87</v>
      </c>
      <c r="GU21" s="410">
        <f t="shared" si="471"/>
        <v>1368329.2879999997</v>
      </c>
      <c r="GV21" s="39">
        <v>13041436</v>
      </c>
      <c r="GW21" s="39">
        <v>7551860</v>
      </c>
      <c r="GX21" s="39">
        <v>1583662</v>
      </c>
      <c r="GY21" s="39">
        <v>3157719</v>
      </c>
      <c r="GZ21" s="39">
        <v>1365311</v>
      </c>
      <c r="HA21" s="39">
        <v>13356793</v>
      </c>
      <c r="HB21" s="39">
        <v>7649725</v>
      </c>
      <c r="HC21" s="39">
        <v>1633819</v>
      </c>
      <c r="HD21" s="39">
        <v>3281801</v>
      </c>
      <c r="HE21" s="39">
        <v>1406115</v>
      </c>
      <c r="HF21" s="39">
        <v>14042193</v>
      </c>
      <c r="HG21" s="39">
        <v>7843193</v>
      </c>
      <c r="HH21" s="39">
        <v>1749943</v>
      </c>
      <c r="HI21" s="39">
        <v>3558659</v>
      </c>
      <c r="HJ21" s="39">
        <v>1492205</v>
      </c>
      <c r="HK21" s="39">
        <v>14401719</v>
      </c>
      <c r="HL21" s="39">
        <v>7911575</v>
      </c>
      <c r="HM21" s="39">
        <v>1809766</v>
      </c>
      <c r="HN21" s="39">
        <v>3734366</v>
      </c>
      <c r="HO21" s="39">
        <v>1578332</v>
      </c>
      <c r="HP21" s="118">
        <v>14739272</v>
      </c>
      <c r="HQ21" s="39">
        <v>7973248</v>
      </c>
      <c r="HR21" s="39">
        <v>1868624</v>
      </c>
      <c r="HS21" s="39">
        <v>3909892</v>
      </c>
      <c r="HT21" s="39">
        <v>1692568</v>
      </c>
      <c r="HU21" s="394">
        <v>773543</v>
      </c>
      <c r="HV21" s="1">
        <v>13441</v>
      </c>
      <c r="HW21" s="1">
        <v>66529</v>
      </c>
      <c r="HX21" s="1">
        <v>264087</v>
      </c>
      <c r="HY21" s="1">
        <v>574968</v>
      </c>
      <c r="HZ21" s="118">
        <v>15180323</v>
      </c>
      <c r="IA21" s="39">
        <v>8066539</v>
      </c>
      <c r="IB21" s="39">
        <v>1929416</v>
      </c>
      <c r="IC21" s="39">
        <v>4124449</v>
      </c>
      <c r="ID21" s="39">
        <v>1797482</v>
      </c>
      <c r="IE21" s="393">
        <v>15513128</v>
      </c>
      <c r="IF21" s="394"/>
      <c r="IG21" s="394"/>
      <c r="IH21" s="394"/>
      <c r="II21" s="394"/>
      <c r="IJ21" s="393">
        <v>15890162</v>
      </c>
      <c r="IK21" s="394">
        <v>8185175</v>
      </c>
      <c r="IL21" s="394">
        <v>2087880</v>
      </c>
      <c r="IM21" s="394">
        <v>4465125</v>
      </c>
      <c r="IN21" s="394">
        <v>1953106</v>
      </c>
      <c r="IO21" s="393">
        <v>16415784</v>
      </c>
      <c r="IP21" s="394">
        <v>8061666</v>
      </c>
      <c r="IQ21" s="394">
        <v>2082595</v>
      </c>
      <c r="IR21" s="394">
        <v>4803204</v>
      </c>
      <c r="IS21" s="394">
        <v>5232537</v>
      </c>
      <c r="IT21" s="1">
        <v>954128</v>
      </c>
      <c r="IU21" s="1">
        <v>15491</v>
      </c>
      <c r="IV21" s="1">
        <v>104518</v>
      </c>
      <c r="IW21" s="1">
        <v>2988188</v>
      </c>
      <c r="IX21" s="1">
        <v>1170212</v>
      </c>
      <c r="IY21" s="399">
        <f>680030+667850</f>
        <v>1347880</v>
      </c>
      <c r="IZ21" s="394">
        <f>542781+538765</f>
        <v>1081546</v>
      </c>
      <c r="JA21" s="394">
        <f>59637+63682</f>
        <v>123319</v>
      </c>
      <c r="JB21" s="394">
        <f>52541+72777</f>
        <v>125318</v>
      </c>
      <c r="JC21" s="406">
        <f>2795+5372+2168+6199</f>
        <v>16534</v>
      </c>
      <c r="JD21" s="5">
        <v>2702979</v>
      </c>
      <c r="JE21" s="394">
        <v>2230874</v>
      </c>
      <c r="JF21" s="394">
        <v>289619</v>
      </c>
      <c r="JG21" s="394">
        <v>355244</v>
      </c>
      <c r="JH21" s="406">
        <v>182486</v>
      </c>
      <c r="JI21" s="5">
        <v>3527296</v>
      </c>
      <c r="JJ21" s="394">
        <v>2746490</v>
      </c>
      <c r="JK21" s="394">
        <v>421669</v>
      </c>
      <c r="JL21" s="394">
        <v>625832</v>
      </c>
      <c r="JM21" s="406">
        <v>359137</v>
      </c>
      <c r="JN21" s="394">
        <v>3888717</v>
      </c>
      <c r="JO21" s="394">
        <v>2411924</v>
      </c>
      <c r="JP21" s="394">
        <v>498350</v>
      </c>
      <c r="JQ21" s="394">
        <v>830078</v>
      </c>
      <c r="JR21" s="394">
        <v>452616</v>
      </c>
      <c r="JS21" s="5">
        <v>4490922</v>
      </c>
      <c r="JT21" s="394">
        <v>3439349</v>
      </c>
      <c r="JU21" s="394">
        <v>627035</v>
      </c>
      <c r="JV21" s="394">
        <v>1067602</v>
      </c>
      <c r="JW21" s="406">
        <v>424538</v>
      </c>
      <c r="JX21" s="5">
        <v>4589908.3710000003</v>
      </c>
      <c r="JY21" s="394">
        <v>3507982.3479999998</v>
      </c>
      <c r="JZ21" s="394">
        <v>650367.49800000002</v>
      </c>
      <c r="KA21" s="394">
        <v>1119664.4550000001</v>
      </c>
      <c r="KB21" s="406">
        <v>431558.52500000049</v>
      </c>
      <c r="KC21" s="394">
        <v>4714810</v>
      </c>
      <c r="KD21" s="394">
        <v>2666299</v>
      </c>
      <c r="KE21" s="394">
        <v>664833</v>
      </c>
      <c r="KF21" s="394">
        <v>1181713</v>
      </c>
      <c r="KG21" s="439">
        <v>431996</v>
      </c>
      <c r="KH21" s="439">
        <v>4798516</v>
      </c>
      <c r="KI21" s="439">
        <v>2695294</v>
      </c>
      <c r="KJ21" s="439">
        <v>681303</v>
      </c>
      <c r="KK21" s="439">
        <v>1215578</v>
      </c>
      <c r="KL21" s="439">
        <v>431840</v>
      </c>
      <c r="KM21" s="439">
        <v>4994310</v>
      </c>
      <c r="KN21" s="439">
        <v>2747650</v>
      </c>
      <c r="KO21" s="439">
        <v>729803</v>
      </c>
      <c r="KP21" s="439">
        <v>1308224</v>
      </c>
      <c r="KQ21" s="439">
        <v>435145</v>
      </c>
      <c r="KR21" s="439">
        <v>5020691</v>
      </c>
      <c r="KS21" s="439">
        <v>2731007</v>
      </c>
      <c r="KT21" s="439">
        <v>743529</v>
      </c>
      <c r="KU21" s="439">
        <v>1335289</v>
      </c>
      <c r="KV21" s="439">
        <v>435968</v>
      </c>
      <c r="KW21" s="630">
        <v>5128874</v>
      </c>
      <c r="KX21" s="439">
        <v>2751835</v>
      </c>
      <c r="KY21" s="439">
        <v>759222</v>
      </c>
      <c r="KZ21" s="439">
        <v>1387185</v>
      </c>
      <c r="LA21" s="439">
        <v>481057</v>
      </c>
      <c r="LB21" s="652">
        <v>5256158</v>
      </c>
      <c r="LC21" s="653">
        <v>2735650</v>
      </c>
      <c r="LD21" s="653">
        <v>777810</v>
      </c>
      <c r="LE21" s="653">
        <v>1487596</v>
      </c>
      <c r="LF21" s="653">
        <v>510511</v>
      </c>
      <c r="LG21" s="652">
        <v>5284495</v>
      </c>
      <c r="LH21" s="653"/>
      <c r="LI21" s="439"/>
      <c r="LJ21" s="439"/>
      <c r="LK21" s="439"/>
      <c r="LL21" s="652">
        <v>5379207</v>
      </c>
      <c r="LM21" s="653">
        <v>2747246</v>
      </c>
      <c r="LN21" s="653">
        <v>822016</v>
      </c>
      <c r="LO21" s="653">
        <v>1553994</v>
      </c>
      <c r="LP21" s="653">
        <v>528970</v>
      </c>
      <c r="LQ21" s="652">
        <v>5325871</v>
      </c>
      <c r="LR21" s="653">
        <v>2554766</v>
      </c>
      <c r="LS21" s="653">
        <v>778554</v>
      </c>
      <c r="LT21" s="653">
        <v>1652853</v>
      </c>
      <c r="LU21" s="653">
        <v>1612741</v>
      </c>
      <c r="LV21" s="1">
        <v>158645</v>
      </c>
      <c r="LW21" s="1">
        <v>6110</v>
      </c>
      <c r="LX21" s="1">
        <v>40815</v>
      </c>
      <c r="LY21" s="1">
        <v>1007243</v>
      </c>
      <c r="LZ21" s="1">
        <v>399928</v>
      </c>
      <c r="MA21" s="10">
        <v>531540</v>
      </c>
      <c r="MB21" s="39">
        <v>428473</v>
      </c>
      <c r="MC21" s="39">
        <v>58313</v>
      </c>
      <c r="MD21" s="39">
        <v>77473</v>
      </c>
      <c r="ME21" s="207">
        <v>44754</v>
      </c>
      <c r="MF21" s="3">
        <v>668494</v>
      </c>
      <c r="MG21" s="39">
        <v>513198</v>
      </c>
      <c r="MH21" s="39">
        <v>78521</v>
      </c>
      <c r="MI21" s="39">
        <v>117122</v>
      </c>
      <c r="MJ21" s="207">
        <v>76775</v>
      </c>
      <c r="MK21" s="39">
        <v>893262</v>
      </c>
      <c r="ML21" s="39">
        <v>542320</v>
      </c>
      <c r="MM21" s="39">
        <v>110885</v>
      </c>
      <c r="MN21" s="39">
        <v>195165</v>
      </c>
      <c r="MO21" s="39">
        <v>116816</v>
      </c>
      <c r="MP21" s="118">
        <v>970431</v>
      </c>
      <c r="MQ21" s="39">
        <v>744720</v>
      </c>
      <c r="MR21" s="39">
        <v>129636</v>
      </c>
      <c r="MS21" s="39">
        <v>222646</v>
      </c>
      <c r="MT21" s="39">
        <v>96075</v>
      </c>
      <c r="MU21" s="118"/>
      <c r="MV21" s="39"/>
      <c r="MW21" s="39"/>
      <c r="MX21" s="39"/>
      <c r="MY21" s="207"/>
      <c r="MZ21" s="39">
        <v>1046805</v>
      </c>
      <c r="NA21" s="39">
        <v>593850</v>
      </c>
      <c r="NB21" s="39">
        <v>137346</v>
      </c>
      <c r="NC21" s="39">
        <v>255661</v>
      </c>
      <c r="ND21" s="39">
        <v>107048</v>
      </c>
      <c r="NE21" s="39">
        <v>1076946</v>
      </c>
      <c r="NF21" s="39">
        <v>609870</v>
      </c>
      <c r="NG21" s="39">
        <v>141892</v>
      </c>
      <c r="NH21" s="39">
        <v>263028</v>
      </c>
      <c r="NI21" s="39">
        <v>109838</v>
      </c>
      <c r="NJ21" s="39">
        <v>1147113</v>
      </c>
      <c r="NK21" s="39">
        <v>631461</v>
      </c>
      <c r="NL21" s="39">
        <v>153203</v>
      </c>
      <c r="NM21" s="39">
        <v>301612</v>
      </c>
      <c r="NN21" s="39">
        <v>740874</v>
      </c>
      <c r="NO21" s="39">
        <v>1204220</v>
      </c>
      <c r="NP21" s="39">
        <v>666795</v>
      </c>
      <c r="NQ21" s="39">
        <v>166153</v>
      </c>
      <c r="NR21" s="39">
        <v>305084</v>
      </c>
      <c r="NS21" s="39">
        <v>119288</v>
      </c>
      <c r="NT21" s="39">
        <v>1259574</v>
      </c>
      <c r="NU21" s="39">
        <v>675580</v>
      </c>
      <c r="NV21" s="39">
        <v>182659</v>
      </c>
      <c r="NW21" s="39">
        <v>333215</v>
      </c>
      <c r="NX21" s="39">
        <v>127567</v>
      </c>
      <c r="NY21" s="118">
        <v>1323957</v>
      </c>
      <c r="NZ21" s="39">
        <v>686966</v>
      </c>
      <c r="OA21" s="39">
        <v>177967</v>
      </c>
      <c r="OB21" s="39">
        <v>370521</v>
      </c>
      <c r="OC21" s="39">
        <v>149620</v>
      </c>
      <c r="OD21" s="118">
        <v>1334999</v>
      </c>
      <c r="OE21" s="39"/>
      <c r="OF21" s="39"/>
      <c r="OG21" s="39"/>
      <c r="OH21" s="39"/>
      <c r="OI21" s="118">
        <v>1402600</v>
      </c>
      <c r="OJ21" s="39">
        <v>724150</v>
      </c>
      <c r="OK21" s="39">
        <v>203737</v>
      </c>
      <c r="OL21" s="39">
        <v>389983</v>
      </c>
      <c r="OM21" s="39">
        <v>153926</v>
      </c>
      <c r="ON21" s="118">
        <v>1449493</v>
      </c>
      <c r="OO21" s="39">
        <v>685293</v>
      </c>
      <c r="OP21" s="39">
        <v>213684</v>
      </c>
      <c r="OQ21" s="39">
        <v>439269</v>
      </c>
      <c r="OR21" s="39">
        <v>105872</v>
      </c>
      <c r="OS21" s="1">
        <v>57860</v>
      </c>
      <c r="OT21" s="1">
        <v>2394</v>
      </c>
      <c r="OU21" s="1">
        <v>11840</v>
      </c>
      <c r="OV21" s="1">
        <v>270819</v>
      </c>
      <c r="OW21" s="1">
        <v>105872</v>
      </c>
      <c r="OX21" s="402">
        <f t="shared" si="421"/>
        <v>2623059</v>
      </c>
      <c r="OY21" s="382">
        <f t="shared" si="422"/>
        <v>1689872</v>
      </c>
      <c r="OZ21" s="382">
        <f t="shared" si="423"/>
        <v>180505</v>
      </c>
      <c r="PA21" s="382">
        <f t="shared" si="424"/>
        <v>1092022</v>
      </c>
      <c r="PB21" s="382">
        <f t="shared" si="425"/>
        <v>361558</v>
      </c>
      <c r="PC21" s="402">
        <f t="shared" si="426"/>
        <v>3640787</v>
      </c>
      <c r="PD21" s="382">
        <f t="shared" si="427"/>
        <v>2969351</v>
      </c>
      <c r="PE21" s="382">
        <f t="shared" si="428"/>
        <v>290499</v>
      </c>
      <c r="PF21" s="382">
        <f t="shared" si="429"/>
        <v>421857</v>
      </c>
      <c r="PG21" s="382">
        <f t="shared" si="430"/>
        <v>380937</v>
      </c>
      <c r="PH21" s="118">
        <v>4332522</v>
      </c>
      <c r="PI21" s="39">
        <v>3437067</v>
      </c>
      <c r="PJ21" s="39">
        <v>397154</v>
      </c>
      <c r="PK21" s="39">
        <v>696027</v>
      </c>
      <c r="PL21" s="39">
        <v>498301</v>
      </c>
      <c r="PM21" s="39">
        <v>4477416</v>
      </c>
      <c r="PN21" s="39">
        <v>3081148</v>
      </c>
      <c r="PO21" s="39">
        <v>386913</v>
      </c>
      <c r="PP21" s="39">
        <v>656841</v>
      </c>
      <c r="PQ21" s="39">
        <v>570586</v>
      </c>
      <c r="PR21" s="393"/>
      <c r="PS21" s="394"/>
      <c r="PT21" s="394"/>
      <c r="PU21" s="394"/>
      <c r="PV21" s="394"/>
      <c r="PW21" s="394">
        <v>5292426</v>
      </c>
      <c r="PX21" s="394">
        <v>3434487</v>
      </c>
      <c r="PY21" s="394">
        <v>509277</v>
      </c>
      <c r="PZ21" s="394">
        <v>878549</v>
      </c>
      <c r="QA21" s="406">
        <v>617962</v>
      </c>
      <c r="QB21" s="394">
        <v>5490069</v>
      </c>
      <c r="QC21" s="394">
        <v>3522913</v>
      </c>
      <c r="QD21" s="394">
        <v>539016</v>
      </c>
      <c r="QE21" s="394">
        <v>918789</v>
      </c>
      <c r="QF21" s="394">
        <v>662995</v>
      </c>
      <c r="QG21" s="394">
        <v>5896142</v>
      </c>
      <c r="QH21" s="394">
        <v>3679272</v>
      </c>
      <c r="QI21" s="394">
        <v>586336</v>
      </c>
      <c r="QJ21" s="394">
        <v>1040112</v>
      </c>
      <c r="QK21" s="394">
        <v>740874</v>
      </c>
      <c r="QL21" s="393">
        <v>6159594</v>
      </c>
      <c r="QM21" s="394">
        <v>3819961</v>
      </c>
      <c r="QN21" s="394">
        <v>625102</v>
      </c>
      <c r="QO21" s="394">
        <v>1082075</v>
      </c>
      <c r="QP21" s="394">
        <v>795613</v>
      </c>
      <c r="QQ21" s="393">
        <v>6395261</v>
      </c>
      <c r="QR21" s="394">
        <v>3884670</v>
      </c>
      <c r="QS21" s="394">
        <v>667786</v>
      </c>
      <c r="QT21" s="394">
        <v>1188657</v>
      </c>
      <c r="QU21" s="394">
        <v>846059</v>
      </c>
      <c r="QV21" s="393">
        <v>6695446</v>
      </c>
      <c r="QW21" s="394">
        <v>3995561</v>
      </c>
      <c r="QX21" s="394">
        <v>700411</v>
      </c>
      <c r="QY21" s="394">
        <v>1271685</v>
      </c>
      <c r="QZ21" s="394">
        <v>929459</v>
      </c>
      <c r="RA21" s="393">
        <v>6935776</v>
      </c>
      <c r="RB21" s="394"/>
      <c r="RC21" s="394"/>
      <c r="RD21" s="394"/>
      <c r="RE21" s="394"/>
      <c r="RF21" s="394">
        <v>7179133</v>
      </c>
      <c r="RG21" s="394">
        <v>4143115</v>
      </c>
      <c r="RH21" s="394">
        <v>791869</v>
      </c>
      <c r="RI21" s="394">
        <v>1445070</v>
      </c>
      <c r="RJ21" s="394">
        <v>1041839</v>
      </c>
      <c r="RK21" s="394">
        <v>7815930</v>
      </c>
      <c r="RL21" s="394">
        <v>4286630</v>
      </c>
      <c r="RM21" s="394">
        <v>869327</v>
      </c>
      <c r="RN21" s="394">
        <v>1673105</v>
      </c>
      <c r="RO21" s="394">
        <v>2292628</v>
      </c>
      <c r="RP21" s="1">
        <v>721348</v>
      </c>
      <c r="RQ21" s="1">
        <v>7547</v>
      </c>
      <c r="RR21" s="1">
        <v>42008</v>
      </c>
      <c r="RS21" s="1">
        <v>1178810</v>
      </c>
      <c r="RT21" s="1">
        <v>342915</v>
      </c>
      <c r="RU21" s="10">
        <v>1428031</v>
      </c>
      <c r="RV21" s="3">
        <v>1256246</v>
      </c>
      <c r="RW21" s="3">
        <v>92024</v>
      </c>
      <c r="RX21" s="3">
        <v>106558</v>
      </c>
      <c r="RY21" s="3">
        <v>79761</v>
      </c>
      <c r="RZ21" s="10">
        <v>1996250</v>
      </c>
      <c r="SA21" s="39">
        <v>1658073</v>
      </c>
      <c r="SB21" s="39">
        <v>147745</v>
      </c>
      <c r="SC21" s="39">
        <v>206895</v>
      </c>
      <c r="SD21" s="39">
        <v>190432</v>
      </c>
      <c r="SE21" s="118">
        <v>2417177</v>
      </c>
      <c r="SF21" s="39">
        <v>1712859</v>
      </c>
      <c r="SG21" s="39">
        <v>190382</v>
      </c>
      <c r="SH21" s="39">
        <v>330674</v>
      </c>
      <c r="SI21" s="39">
        <v>289442</v>
      </c>
      <c r="SJ21" s="118">
        <v>2661834</v>
      </c>
      <c r="SK21" s="39">
        <v>2142452</v>
      </c>
      <c r="SL21" s="39">
        <v>225054</v>
      </c>
      <c r="SM21" s="39">
        <v>398359</v>
      </c>
      <c r="SN21" s="39">
        <v>294328</v>
      </c>
      <c r="SO21" s="118">
        <v>2744481.2939999998</v>
      </c>
      <c r="SP21" s="39">
        <v>2202965.0239999997</v>
      </c>
      <c r="SQ21" s="39">
        <v>236497.272</v>
      </c>
      <c r="SR21" s="39">
        <v>425573.82</v>
      </c>
      <c r="SS21" s="39">
        <v>305018.99800000002</v>
      </c>
      <c r="ST21" s="118">
        <v>2829442</v>
      </c>
      <c r="SU21" s="39">
        <v>1895249</v>
      </c>
      <c r="SV21" s="39">
        <v>250964</v>
      </c>
      <c r="SW21" s="39">
        <v>447586</v>
      </c>
      <c r="SX21" s="39">
        <v>310107</v>
      </c>
      <c r="SY21" s="39">
        <v>2932559</v>
      </c>
      <c r="SZ21" s="39">
        <v>1943628</v>
      </c>
      <c r="TA21" s="39">
        <v>265078</v>
      </c>
      <c r="TB21" s="39">
        <v>466522</v>
      </c>
      <c r="TC21" s="39">
        <v>333962</v>
      </c>
      <c r="TD21" s="39">
        <v>3104847</v>
      </c>
      <c r="TE21" s="39">
        <v>2002709</v>
      </c>
      <c r="TF21" s="39">
        <v>280417</v>
      </c>
      <c r="TG21" s="39">
        <v>532825</v>
      </c>
      <c r="TH21" s="39">
        <v>366143</v>
      </c>
      <c r="TI21" s="39">
        <v>3266266</v>
      </c>
      <c r="TJ21" s="39">
        <v>2081062</v>
      </c>
      <c r="TK21" s="39">
        <v>299190</v>
      </c>
      <c r="TL21" s="39">
        <v>567254</v>
      </c>
      <c r="TM21" s="39">
        <v>396270</v>
      </c>
      <c r="TN21" s="39">
        <v>3362678</v>
      </c>
      <c r="TO21" s="39">
        <v>2113931</v>
      </c>
      <c r="TP21" s="39">
        <v>319731</v>
      </c>
      <c r="TQ21" s="39">
        <v>609619</v>
      </c>
      <c r="TR21" s="39">
        <v>416630</v>
      </c>
      <c r="TS21" s="118">
        <v>3510311</v>
      </c>
      <c r="TT21" s="39">
        <v>2186757</v>
      </c>
      <c r="TU21" s="39">
        <v>334356</v>
      </c>
      <c r="TV21" s="39">
        <v>648030</v>
      </c>
      <c r="TW21" s="39">
        <v>445068</v>
      </c>
      <c r="TX21" s="118">
        <v>3627047</v>
      </c>
      <c r="TY21" s="39"/>
      <c r="TZ21" s="39"/>
      <c r="UA21" s="39"/>
      <c r="UB21" s="39"/>
      <c r="UC21" s="118">
        <v>3750797</v>
      </c>
      <c r="UD21" s="39">
        <v>2242843</v>
      </c>
      <c r="UE21" s="39">
        <v>370205</v>
      </c>
      <c r="UF21" s="39">
        <v>757319</v>
      </c>
      <c r="UG21" s="39">
        <v>506334</v>
      </c>
      <c r="UH21" s="118">
        <v>4077821</v>
      </c>
      <c r="UI21" s="39">
        <v>2327922</v>
      </c>
      <c r="UJ21" s="39">
        <v>407111</v>
      </c>
      <c r="UK21" s="39">
        <v>870580</v>
      </c>
      <c r="UL21" s="39">
        <v>1153631</v>
      </c>
      <c r="UM21" s="1">
        <v>330011</v>
      </c>
      <c r="UN21" s="1">
        <v>4297</v>
      </c>
      <c r="UO21" s="1">
        <v>22045</v>
      </c>
      <c r="UP21" s="1">
        <v>623615</v>
      </c>
      <c r="UQ21" s="1">
        <v>237043</v>
      </c>
      <c r="UR21" s="588">
        <f t="shared" si="431"/>
        <v>380189</v>
      </c>
      <c r="US21" s="40">
        <v>229145</v>
      </c>
      <c r="UT21" s="40">
        <v>151044</v>
      </c>
      <c r="UU21" s="588">
        <f t="shared" si="432"/>
        <v>23258</v>
      </c>
      <c r="UV21" s="40">
        <v>9029</v>
      </c>
      <c r="UW21" s="40">
        <v>14229</v>
      </c>
      <c r="UX21" s="42">
        <v>663143</v>
      </c>
      <c r="UY21" s="588">
        <f t="shared" si="433"/>
        <v>397121</v>
      </c>
      <c r="UZ21" s="588">
        <f t="shared" si="434"/>
        <v>266022</v>
      </c>
      <c r="VA21" s="588">
        <f t="shared" si="435"/>
        <v>597992</v>
      </c>
      <c r="VB21" s="40">
        <v>363619</v>
      </c>
      <c r="VC21" s="40">
        <v>234373</v>
      </c>
      <c r="VD21" s="588">
        <f t="shared" si="436"/>
        <v>30345</v>
      </c>
      <c r="VE21" s="40">
        <v>11596</v>
      </c>
      <c r="VF21" s="40">
        <v>18749</v>
      </c>
      <c r="VG21" s="588">
        <f t="shared" si="437"/>
        <v>34806</v>
      </c>
      <c r="VH21" s="40">
        <v>21906</v>
      </c>
      <c r="VI21" s="40">
        <v>12900</v>
      </c>
      <c r="VJ21" s="42">
        <v>1340981</v>
      </c>
      <c r="VK21" s="588">
        <f t="shared" si="438"/>
        <v>792622</v>
      </c>
      <c r="VL21" s="588">
        <f t="shared" si="439"/>
        <v>548359</v>
      </c>
      <c r="VM21" s="39">
        <f>462265+696595</f>
        <v>1158860</v>
      </c>
      <c r="VN21" s="40">
        <v>696595</v>
      </c>
      <c r="VO21" s="40">
        <v>462265</v>
      </c>
      <c r="VP21" s="40">
        <v>96027</v>
      </c>
      <c r="VQ21" s="40">
        <v>86094</v>
      </c>
      <c r="VR21" s="39">
        <f>33242+42901</f>
        <v>76143</v>
      </c>
      <c r="VS21" s="40">
        <v>33242</v>
      </c>
      <c r="VT21" s="40">
        <v>42901</v>
      </c>
      <c r="VU21" s="39">
        <f>43231+30396</f>
        <v>73627</v>
      </c>
      <c r="VV21" s="40">
        <v>43231</v>
      </c>
      <c r="VW21" s="40">
        <v>30396</v>
      </c>
      <c r="VX21" s="233">
        <f t="shared" si="440"/>
        <v>32351</v>
      </c>
      <c r="VY21" s="233">
        <f t="shared" si="441"/>
        <v>19554</v>
      </c>
      <c r="VZ21" s="233">
        <f t="shared" si="442"/>
        <v>12797</v>
      </c>
      <c r="WA21" s="234">
        <f t="shared" si="443"/>
        <v>1533</v>
      </c>
      <c r="WB21" s="234">
        <f t="shared" si="444"/>
        <v>1026</v>
      </c>
      <c r="WC21" s="234">
        <f t="shared" si="445"/>
        <v>507</v>
      </c>
      <c r="WD21" s="40">
        <v>30818</v>
      </c>
      <c r="WE21" s="40">
        <v>18528</v>
      </c>
      <c r="WF21" s="40">
        <v>12290</v>
      </c>
      <c r="WG21" s="12">
        <f t="shared" si="446"/>
        <v>2091519</v>
      </c>
      <c r="WH21" s="588">
        <f t="shared" si="447"/>
        <v>1159039</v>
      </c>
      <c r="WI21" s="588">
        <f t="shared" si="448"/>
        <v>935866</v>
      </c>
      <c r="WJ21" s="11">
        <f t="shared" si="449"/>
        <v>1261399</v>
      </c>
      <c r="WK21" s="90">
        <f t="shared" si="450"/>
        <v>1725910</v>
      </c>
      <c r="WL21" s="40">
        <v>971282</v>
      </c>
      <c r="WM21" s="40">
        <v>754628</v>
      </c>
      <c r="WN21" s="40">
        <v>187757</v>
      </c>
      <c r="WO21" s="40">
        <v>181238</v>
      </c>
      <c r="WP21" s="11">
        <f t="shared" si="451"/>
        <v>122192</v>
      </c>
      <c r="WQ21" s="90">
        <f t="shared" si="452"/>
        <v>132669</v>
      </c>
      <c r="WR21" s="40">
        <v>59265</v>
      </c>
      <c r="WS21" s="40">
        <v>73404</v>
      </c>
      <c r="WT21" s="11">
        <f t="shared" si="453"/>
        <v>155314</v>
      </c>
      <c r="WU21" s="40">
        <v>82236</v>
      </c>
      <c r="WV21" s="40">
        <v>73078</v>
      </c>
      <c r="WW21" s="9">
        <f t="shared" si="454"/>
        <v>316804</v>
      </c>
      <c r="WX21" s="235">
        <f t="shared" si="455"/>
        <v>46256</v>
      </c>
      <c r="WY21" s="235">
        <f t="shared" si="456"/>
        <v>34756</v>
      </c>
      <c r="WZ21" s="236">
        <f t="shared" si="457"/>
        <v>847</v>
      </c>
      <c r="XA21" s="236">
        <f t="shared" si="458"/>
        <v>531</v>
      </c>
      <c r="XB21" s="236">
        <f t="shared" si="459"/>
        <v>316</v>
      </c>
      <c r="XC21" s="589">
        <f t="shared" si="460"/>
        <v>80165</v>
      </c>
      <c r="XD21" s="589">
        <f t="shared" si="461"/>
        <v>45725</v>
      </c>
      <c r="XE21" s="589">
        <f t="shared" si="462"/>
        <v>34440</v>
      </c>
      <c r="XF21" s="40">
        <v>3415</v>
      </c>
      <c r="XG21" s="40">
        <v>2423</v>
      </c>
      <c r="XH21" s="40">
        <v>42310</v>
      </c>
      <c r="XI21" s="40">
        <v>32017</v>
      </c>
      <c r="XJ21" s="590">
        <v>2972293</v>
      </c>
      <c r="XK21" s="40">
        <v>1556073</v>
      </c>
      <c r="XL21" s="40">
        <v>1416220</v>
      </c>
      <c r="XM21" s="5">
        <f t="shared" si="463"/>
        <v>2456153</v>
      </c>
      <c r="XN21" s="5">
        <v>1305191</v>
      </c>
      <c r="XO21" s="5">
        <v>1150962</v>
      </c>
      <c r="XP21" s="84">
        <f t="shared" si="464"/>
        <v>2240491</v>
      </c>
      <c r="XQ21" s="40">
        <v>1199471</v>
      </c>
      <c r="XR21" s="40">
        <v>1041020</v>
      </c>
      <c r="XS21" s="5">
        <f t="shared" si="465"/>
        <v>211978</v>
      </c>
      <c r="XT21" s="40">
        <v>91937</v>
      </c>
      <c r="XU21" s="40">
        <v>120041</v>
      </c>
      <c r="XV21" s="5">
        <f t="shared" si="466"/>
        <v>304735</v>
      </c>
      <c r="XW21" s="40">
        <v>148308</v>
      </c>
      <c r="XX21" s="40">
        <v>156427</v>
      </c>
      <c r="XY21" s="84">
        <f t="shared" si="467"/>
        <v>304162</v>
      </c>
      <c r="XZ21" s="84">
        <f t="shared" si="468"/>
        <v>158945</v>
      </c>
      <c r="YA21" s="84">
        <f t="shared" si="469"/>
        <v>145217</v>
      </c>
      <c r="YB21" s="587">
        <v>3584154</v>
      </c>
      <c r="YC21" s="40">
        <v>2538828</v>
      </c>
      <c r="YD21" s="40">
        <v>276028</v>
      </c>
      <c r="YE21" s="40">
        <v>461676</v>
      </c>
      <c r="YF21" s="5">
        <v>453770</v>
      </c>
      <c r="YG21" s="118">
        <v>3719713</v>
      </c>
      <c r="YH21" s="39">
        <v>2959333</v>
      </c>
      <c r="YI21" s="39">
        <v>294208</v>
      </c>
      <c r="YJ21" s="39">
        <v>466172</v>
      </c>
      <c r="YK21" s="39">
        <v>490379</v>
      </c>
      <c r="YL21" s="118">
        <v>3840464</v>
      </c>
      <c r="YM21" s="39">
        <v>3071167</v>
      </c>
      <c r="YN21" s="39">
        <v>302697</v>
      </c>
      <c r="YO21" s="39">
        <v>466600</v>
      </c>
      <c r="YP21" s="39">
        <v>512279</v>
      </c>
      <c r="YQ21" s="118">
        <v>3982036</v>
      </c>
      <c r="YR21" s="39">
        <v>3162601</v>
      </c>
      <c r="YS21" s="39">
        <v>332852</v>
      </c>
      <c r="YT21" s="39">
        <v>486583</v>
      </c>
      <c r="YU21" s="39">
        <v>553022</v>
      </c>
      <c r="YV21" s="10">
        <v>4100949.0599999996</v>
      </c>
      <c r="YW21" s="39">
        <v>3256556.9919999996</v>
      </c>
      <c r="YX21" s="39">
        <v>351162.61599999998</v>
      </c>
      <c r="YY21" s="39">
        <v>587697.18000000005</v>
      </c>
      <c r="YZ21" s="39">
        <v>493229.45199999999</v>
      </c>
      <c r="ZA21" s="39">
        <v>4245621</v>
      </c>
      <c r="ZB21" s="39">
        <v>2840637</v>
      </c>
      <c r="ZC21" s="39">
        <v>371931</v>
      </c>
      <c r="ZD21" s="39">
        <v>622888</v>
      </c>
      <c r="ZE21" s="1">
        <v>510914</v>
      </c>
      <c r="ZF21" s="1">
        <v>4413123</v>
      </c>
      <c r="ZG21" s="1">
        <v>2913043</v>
      </c>
      <c r="ZH21" s="1">
        <v>397124</v>
      </c>
      <c r="ZI21" s="1">
        <v>655761</v>
      </c>
      <c r="ZJ21" s="1">
        <v>553157</v>
      </c>
      <c r="ZK21" s="1">
        <v>4749029</v>
      </c>
      <c r="ZL21" s="1">
        <v>3047811</v>
      </c>
      <c r="ZM21" s="1">
        <v>433133</v>
      </c>
      <c r="ZN21" s="1">
        <v>738500</v>
      </c>
      <c r="ZO21" s="1">
        <v>632979</v>
      </c>
      <c r="ZP21" s="1">
        <v>4955374</v>
      </c>
      <c r="ZQ21" s="1">
        <v>3153166</v>
      </c>
      <c r="ZR21" s="1">
        <v>458949</v>
      </c>
      <c r="ZS21" s="1">
        <v>776991</v>
      </c>
      <c r="ZT21" s="1">
        <v>676325</v>
      </c>
      <c r="ZU21" s="1">
        <v>5135687</v>
      </c>
      <c r="ZV21" s="1">
        <v>3209090</v>
      </c>
      <c r="ZW21" s="1">
        <v>485127</v>
      </c>
      <c r="ZX21" s="1">
        <v>855442</v>
      </c>
      <c r="ZY21" s="1">
        <v>718492</v>
      </c>
      <c r="ZZ21" s="394">
        <v>500722</v>
      </c>
      <c r="AAA21" s="1">
        <v>1601</v>
      </c>
      <c r="AAB21" s="1">
        <v>15160</v>
      </c>
      <c r="AAC21" s="1">
        <v>96195</v>
      </c>
      <c r="AAD21" s="1">
        <v>103614</v>
      </c>
      <c r="AAE21" s="50">
        <v>5371489</v>
      </c>
      <c r="AAF21" s="1">
        <v>3308595</v>
      </c>
      <c r="AAG21" s="1">
        <v>522444</v>
      </c>
      <c r="AAH21" s="1">
        <v>901164</v>
      </c>
      <c r="AAI21" s="1">
        <v>779839</v>
      </c>
      <c r="AAJ21" s="50">
        <v>5600777</v>
      </c>
      <c r="AAK21" s="1"/>
      <c r="AAL21" s="1"/>
      <c r="AAM21" s="1"/>
      <c r="AAN21" s="1"/>
      <c r="AAO21" s="68">
        <v>5776533</v>
      </c>
      <c r="AAP21" s="37">
        <v>3418965</v>
      </c>
      <c r="AAQ21" s="37">
        <v>588132</v>
      </c>
      <c r="AAR21" s="37">
        <v>1055087</v>
      </c>
      <c r="AAS21" s="37">
        <v>887913</v>
      </c>
      <c r="AAT21" s="68">
        <v>6366437</v>
      </c>
      <c r="AAU21" s="37">
        <v>3601337</v>
      </c>
      <c r="AAV21" s="37">
        <v>655643</v>
      </c>
      <c r="AAW21" s="37">
        <v>1233836</v>
      </c>
      <c r="AAX21" s="37">
        <v>1843843</v>
      </c>
      <c r="AAY21" s="1">
        <v>663488</v>
      </c>
      <c r="AAZ21" s="1">
        <v>5153</v>
      </c>
      <c r="ABA21" s="1">
        <v>30168</v>
      </c>
      <c r="ABB21" s="1">
        <v>907991</v>
      </c>
      <c r="ABC21" s="1">
        <v>237043</v>
      </c>
      <c r="ABD21" s="10">
        <v>976043</v>
      </c>
      <c r="ABE21" s="39">
        <v>798080</v>
      </c>
      <c r="ABF21" s="39">
        <v>64233</v>
      </c>
      <c r="ABG21" s="39">
        <v>97840</v>
      </c>
      <c r="ABH21" s="39">
        <v>113730</v>
      </c>
      <c r="ABI21" s="118">
        <v>1166977</v>
      </c>
      <c r="ABJ21" s="39">
        <v>825969</v>
      </c>
      <c r="ABK21" s="39">
        <v>85646</v>
      </c>
      <c r="ABL21" s="39">
        <v>131002</v>
      </c>
      <c r="ABM21" s="39">
        <v>164328</v>
      </c>
      <c r="ABN21" s="10">
        <v>1320202</v>
      </c>
      <c r="ABO21" s="39">
        <v>1020149</v>
      </c>
      <c r="ABP21" s="39">
        <v>107798</v>
      </c>
      <c r="ABQ21" s="39">
        <v>154663</v>
      </c>
      <c r="ABR21" s="39">
        <v>192255</v>
      </c>
      <c r="ABS21" s="10">
        <v>1356467.7659999998</v>
      </c>
      <c r="ABT21" s="39">
        <v>1053591.9680000001</v>
      </c>
      <c r="ABU21" s="39">
        <v>114665.344</v>
      </c>
      <c r="ABV21" s="39">
        <v>162123.36000000002</v>
      </c>
      <c r="ABW21" s="207">
        <v>188210.45399999974</v>
      </c>
      <c r="ABX21" s="1">
        <v>1416179</v>
      </c>
      <c r="ABY21" s="1">
        <v>945388</v>
      </c>
      <c r="ABZ21" s="1">
        <v>120967</v>
      </c>
      <c r="ACA21" s="1">
        <v>175302</v>
      </c>
      <c r="ACB21" s="49">
        <v>200807</v>
      </c>
      <c r="ACC21" s="1">
        <v>1480564</v>
      </c>
      <c r="ACD21" s="1">
        <v>969415</v>
      </c>
      <c r="ACE21" s="1">
        <v>132046</v>
      </c>
      <c r="ACF21" s="1">
        <v>189239</v>
      </c>
      <c r="ACG21" s="1">
        <v>219195</v>
      </c>
      <c r="ACH21" s="1">
        <v>1644182</v>
      </c>
      <c r="ACI21" s="1">
        <v>1045102</v>
      </c>
      <c r="ACJ21" s="1">
        <v>152716</v>
      </c>
      <c r="ACK21" s="1">
        <v>205675</v>
      </c>
      <c r="ACL21" s="1">
        <v>266836</v>
      </c>
      <c r="ACM21" s="1">
        <v>1689108</v>
      </c>
      <c r="ACN21" s="1">
        <v>1072104</v>
      </c>
      <c r="ACO21" s="1">
        <v>159759</v>
      </c>
      <c r="ACP21" s="1">
        <v>209737</v>
      </c>
      <c r="ACQ21" s="1">
        <v>280055</v>
      </c>
      <c r="ACR21" s="1">
        <v>1773009</v>
      </c>
      <c r="ACS21" s="1">
        <v>1095159</v>
      </c>
      <c r="ACT21" s="1">
        <v>165396</v>
      </c>
      <c r="ACU21" s="1">
        <v>245823</v>
      </c>
      <c r="ACV21" s="1">
        <v>301862</v>
      </c>
      <c r="ADB21" s="50">
        <v>1861178</v>
      </c>
      <c r="ADC21" s="1">
        <v>1121838</v>
      </c>
      <c r="ADD21" s="1">
        <v>188088</v>
      </c>
      <c r="ADE21" s="1">
        <v>253134</v>
      </c>
      <c r="ADF21" s="1">
        <v>334771</v>
      </c>
      <c r="ADG21" s="50">
        <v>1973730</v>
      </c>
      <c r="ADL21" s="50">
        <v>2025736</v>
      </c>
      <c r="ADM21" s="1">
        <v>1176122</v>
      </c>
      <c r="ADN21" s="1">
        <v>217927</v>
      </c>
      <c r="ADO21" s="1">
        <v>297768</v>
      </c>
      <c r="ADP21" s="1">
        <v>381579</v>
      </c>
      <c r="ADQ21" s="50">
        <v>2288616</v>
      </c>
      <c r="ADR21" s="1">
        <v>1273415</v>
      </c>
      <c r="ADS21" s="1">
        <v>248532</v>
      </c>
      <c r="ADT21" s="1">
        <v>363256</v>
      </c>
      <c r="ADU21" s="1">
        <v>690212</v>
      </c>
      <c r="ADV21" s="1">
        <v>333477</v>
      </c>
      <c r="ADW21" s="1">
        <v>856</v>
      </c>
      <c r="ADX21" s="1">
        <v>8123</v>
      </c>
      <c r="ADY21" s="1">
        <v>284376</v>
      </c>
      <c r="ADZ21" s="1">
        <v>63380</v>
      </c>
    </row>
    <row r="22" spans="1:806" ht="14.1">
      <c r="A22" s="138" t="s">
        <v>22</v>
      </c>
      <c r="B22" s="118">
        <f>86181+181000+76611+63160+180761+90255</f>
        <v>677968</v>
      </c>
      <c r="C22" s="39">
        <f>52226+134035+60161+37542+127915+68228</f>
        <v>480107</v>
      </c>
      <c r="D22" s="39">
        <f>32477+44236+15522+23143+48576+20121</f>
        <v>184075</v>
      </c>
      <c r="E22" s="39">
        <f>982+1894+685+1100+2104+1036</f>
        <v>7801</v>
      </c>
      <c r="F22" s="207">
        <f>120+212+114+349+516+121+93+284+92+1164+1748+695</f>
        <v>5508</v>
      </c>
      <c r="G22" s="3">
        <v>443668</v>
      </c>
      <c r="H22" s="39">
        <v>308766</v>
      </c>
      <c r="I22" s="39">
        <v>118013</v>
      </c>
      <c r="J22" s="39">
        <v>14194</v>
      </c>
      <c r="K22" s="207">
        <v>16889</v>
      </c>
      <c r="L22" s="3">
        <v>338184</v>
      </c>
      <c r="M22" s="39">
        <v>216029</v>
      </c>
      <c r="N22" s="39">
        <v>81723</v>
      </c>
      <c r="O22" s="39">
        <v>39380</v>
      </c>
      <c r="P22" s="207">
        <v>40432</v>
      </c>
      <c r="Q22" s="39">
        <v>284360</v>
      </c>
      <c r="R22" s="39">
        <v>154585</v>
      </c>
      <c r="S22" s="39">
        <v>58768</v>
      </c>
      <c r="T22" s="39">
        <v>54020</v>
      </c>
      <c r="U22" s="207">
        <v>45004</v>
      </c>
      <c r="V22" s="5">
        <v>292857</v>
      </c>
      <c r="W22" s="394">
        <v>183111</v>
      </c>
      <c r="X22" s="394">
        <v>62745</v>
      </c>
      <c r="Y22" s="394">
        <v>68005</v>
      </c>
      <c r="Z22" s="406">
        <v>47001</v>
      </c>
      <c r="AA22" s="394">
        <v>278157</v>
      </c>
      <c r="AB22" s="1">
        <v>130573</v>
      </c>
      <c r="AC22" s="394">
        <v>56892</v>
      </c>
      <c r="AD22" s="394">
        <v>71502</v>
      </c>
      <c r="AE22" s="394">
        <v>49451</v>
      </c>
      <c r="AF22" s="393">
        <v>268572</v>
      </c>
      <c r="AG22" s="394">
        <v>124934</v>
      </c>
      <c r="AH22" s="394">
        <v>53924</v>
      </c>
      <c r="AI22" s="394">
        <v>69393</v>
      </c>
      <c r="AJ22" s="490">
        <v>47932</v>
      </c>
      <c r="AK22" s="490">
        <v>268592</v>
      </c>
      <c r="AL22" s="490">
        <v>112655</v>
      </c>
      <c r="AM22" s="685">
        <v>44660</v>
      </c>
      <c r="AN22" s="685">
        <v>87239</v>
      </c>
      <c r="AO22" s="490">
        <v>46751</v>
      </c>
      <c r="AP22" s="394">
        <v>256445</v>
      </c>
      <c r="AQ22" s="394">
        <v>108278</v>
      </c>
      <c r="AR22" s="394">
        <v>50794</v>
      </c>
      <c r="AS22" s="394">
        <v>74021</v>
      </c>
      <c r="AT22" s="394">
        <v>51398</v>
      </c>
      <c r="AU22" s="393">
        <v>247576</v>
      </c>
      <c r="AV22" s="394">
        <v>103874</v>
      </c>
      <c r="AW22" s="394">
        <v>42490</v>
      </c>
      <c r="AX22" s="394">
        <v>74183</v>
      </c>
      <c r="AY22" s="394">
        <v>61835</v>
      </c>
      <c r="AZ22" s="1">
        <v>23657</v>
      </c>
      <c r="BA22" s="1">
        <v>138</v>
      </c>
      <c r="BB22" s="1">
        <v>787</v>
      </c>
      <c r="BC22" s="1">
        <v>4604</v>
      </c>
      <c r="BD22" s="1">
        <v>32649</v>
      </c>
      <c r="BE22" s="393">
        <v>240260</v>
      </c>
      <c r="BF22" s="394">
        <v>97219</v>
      </c>
      <c r="BG22" s="394">
        <v>43403</v>
      </c>
      <c r="BH22" s="394">
        <v>80413</v>
      </c>
      <c r="BI22" s="394">
        <v>55512</v>
      </c>
      <c r="BJ22" s="393">
        <v>229799</v>
      </c>
      <c r="BK22" s="394"/>
      <c r="BL22" s="394"/>
      <c r="BM22" s="394"/>
      <c r="BN22" s="394"/>
      <c r="BO22" s="393">
        <v>222224</v>
      </c>
      <c r="BP22" s="394">
        <v>83810</v>
      </c>
      <c r="BQ22" s="394">
        <v>38448</v>
      </c>
      <c r="BR22" s="394">
        <v>75872</v>
      </c>
      <c r="BS22" s="394">
        <v>58664</v>
      </c>
      <c r="BT22" s="393">
        <v>209401</v>
      </c>
      <c r="BU22" s="394">
        <v>76014</v>
      </c>
      <c r="BV22" s="394">
        <v>35375</v>
      </c>
      <c r="BW22" s="394">
        <v>73096</v>
      </c>
      <c r="BX22" s="394">
        <v>19871</v>
      </c>
      <c r="BY22" s="1">
        <v>0</v>
      </c>
      <c r="BZ22" s="1">
        <v>3410</v>
      </c>
      <c r="CA22" s="1">
        <v>32788</v>
      </c>
      <c r="CB22" s="1">
        <v>36214</v>
      </c>
      <c r="CC22" s="118">
        <v>543535</v>
      </c>
      <c r="CD22" s="39">
        <v>378211</v>
      </c>
      <c r="CE22" s="39">
        <v>150880</v>
      </c>
      <c r="CF22" s="39">
        <v>73096</v>
      </c>
      <c r="CG22" s="207">
        <v>14444</v>
      </c>
      <c r="CH22" s="3">
        <v>526426</v>
      </c>
      <c r="CI22" s="39">
        <v>335037</v>
      </c>
      <c r="CJ22" s="39">
        <v>155196</v>
      </c>
      <c r="CK22" s="39">
        <v>25567</v>
      </c>
      <c r="CL22" s="207">
        <v>36193</v>
      </c>
      <c r="CM22" s="1">
        <v>458466</v>
      </c>
      <c r="CN22" s="39">
        <v>269008</v>
      </c>
      <c r="CO22" s="39">
        <v>136647</v>
      </c>
      <c r="CP22" s="39">
        <v>34382</v>
      </c>
      <c r="CQ22" s="207">
        <v>34780</v>
      </c>
      <c r="CR22" s="3">
        <v>433915</v>
      </c>
      <c r="CS22" s="39">
        <v>263808</v>
      </c>
      <c r="CT22" s="39">
        <v>132047</v>
      </c>
      <c r="CU22" s="39">
        <v>41133</v>
      </c>
      <c r="CV22" s="207">
        <v>38060</v>
      </c>
      <c r="CW22" s="39">
        <v>406591</v>
      </c>
      <c r="CX22" s="39">
        <v>222898</v>
      </c>
      <c r="CY22" s="39">
        <v>121345</v>
      </c>
      <c r="CZ22" s="39">
        <v>42570</v>
      </c>
      <c r="DA22" s="39">
        <v>37397</v>
      </c>
      <c r="DB22" s="39">
        <v>393756</v>
      </c>
      <c r="DC22" s="39">
        <v>213394</v>
      </c>
      <c r="DD22" s="39">
        <v>119081</v>
      </c>
      <c r="DE22" s="39">
        <v>41871</v>
      </c>
      <c r="DF22" s="39">
        <v>35319</v>
      </c>
      <c r="DG22" s="39">
        <v>376397</v>
      </c>
      <c r="DH22" s="39">
        <v>201576</v>
      </c>
      <c r="DI22" s="39">
        <v>114573</v>
      </c>
      <c r="DJ22" s="39">
        <v>36922</v>
      </c>
      <c r="DK22" s="39">
        <v>34981</v>
      </c>
      <c r="DL22" s="39">
        <v>373316</v>
      </c>
      <c r="DM22" s="39">
        <v>191734</v>
      </c>
      <c r="DN22" s="39">
        <v>112815</v>
      </c>
      <c r="DO22" s="39">
        <v>47182</v>
      </c>
      <c r="DP22" s="39">
        <v>40677</v>
      </c>
      <c r="DQ22" s="39">
        <v>366738</v>
      </c>
      <c r="DR22" s="39">
        <v>188720</v>
      </c>
      <c r="DS22" s="39">
        <v>105330</v>
      </c>
      <c r="DT22" s="39">
        <v>46278</v>
      </c>
      <c r="DU22" s="39">
        <v>45269</v>
      </c>
      <c r="DV22" s="118">
        <v>353117</v>
      </c>
      <c r="DW22" s="39">
        <v>179852</v>
      </c>
      <c r="DX22" s="39">
        <v>105185</v>
      </c>
      <c r="DY22" s="39">
        <v>46161</v>
      </c>
      <c r="DZ22" s="39">
        <v>40412</v>
      </c>
      <c r="EA22" s="118">
        <v>358586</v>
      </c>
      <c r="EB22" s="39"/>
      <c r="EC22" s="39"/>
      <c r="ED22" s="39"/>
      <c r="EE22" s="39"/>
      <c r="EF22" s="118">
        <v>362488</v>
      </c>
      <c r="EG22" s="39">
        <v>179184</v>
      </c>
      <c r="EH22" s="39">
        <v>114652</v>
      </c>
      <c r="EI22" s="39">
        <v>48438</v>
      </c>
      <c r="EJ22" s="39">
        <v>41133</v>
      </c>
      <c r="EK22" s="118">
        <v>362488</v>
      </c>
      <c r="EL22" s="39">
        <v>179184</v>
      </c>
      <c r="EM22" s="39">
        <v>114652</v>
      </c>
      <c r="EN22" s="39">
        <v>48438</v>
      </c>
      <c r="EO22" s="39">
        <v>41133</v>
      </c>
      <c r="EP22" s="118">
        <v>302571</v>
      </c>
      <c r="EQ22" s="39">
        <v>148859</v>
      </c>
      <c r="ER22" s="39">
        <v>83871</v>
      </c>
      <c r="ES22" s="39">
        <v>45676</v>
      </c>
      <c r="ET22" s="1">
        <v>14720</v>
      </c>
      <c r="EU22" s="1">
        <v>0</v>
      </c>
      <c r="EV22" s="1">
        <v>1772</v>
      </c>
      <c r="EW22" s="1">
        <v>25819</v>
      </c>
      <c r="EX22" s="1">
        <v>23169</v>
      </c>
      <c r="EY22" s="10">
        <v>696056</v>
      </c>
      <c r="EZ22" s="39">
        <v>429971</v>
      </c>
      <c r="FA22" s="39">
        <v>183751</v>
      </c>
      <c r="FB22" s="39">
        <v>110002</v>
      </c>
      <c r="FC22" s="382">
        <f t="shared" si="470"/>
        <v>82334</v>
      </c>
      <c r="FD22" s="230">
        <v>293071</v>
      </c>
      <c r="FE22" s="231">
        <v>507780</v>
      </c>
      <c r="FF22" s="231">
        <v>790439</v>
      </c>
      <c r="FG22" s="231">
        <v>1168723</v>
      </c>
      <c r="FH22" s="10">
        <v>1955875</v>
      </c>
      <c r="FI22" s="39">
        <v>1670933.9680000001</v>
      </c>
      <c r="FJ22" s="39">
        <v>223334.26</v>
      </c>
      <c r="FK22" s="39">
        <v>27269.712000000003</v>
      </c>
      <c r="FL22" s="207">
        <v>32534.133000000002</v>
      </c>
      <c r="FM22" s="3">
        <v>2987611</v>
      </c>
      <c r="FN22" s="39">
        <v>2476927</v>
      </c>
      <c r="FO22" s="39">
        <v>408102</v>
      </c>
      <c r="FP22" s="39">
        <v>59549</v>
      </c>
      <c r="FQ22" s="207">
        <v>102582</v>
      </c>
      <c r="FR22" s="3">
        <v>3801964</v>
      </c>
      <c r="FS22" s="39">
        <v>2953546</v>
      </c>
      <c r="FT22" s="39">
        <v>596593</v>
      </c>
      <c r="FU22" s="39">
        <v>110241</v>
      </c>
      <c r="FV22" s="39">
        <v>251825</v>
      </c>
      <c r="FW22" s="232">
        <v>4310766</v>
      </c>
      <c r="FX22" s="39">
        <v>3143270</v>
      </c>
      <c r="FY22" s="39">
        <v>785684</v>
      </c>
      <c r="FZ22" s="39">
        <v>212770</v>
      </c>
      <c r="GA22" s="39">
        <v>178388</v>
      </c>
      <c r="GB22" s="118">
        <v>4377474</v>
      </c>
      <c r="GC22" s="39">
        <v>3285634</v>
      </c>
      <c r="GD22" s="39">
        <v>733988</v>
      </c>
      <c r="GE22" s="39">
        <v>357852</v>
      </c>
      <c r="GF22" s="39">
        <v>186685</v>
      </c>
      <c r="GG22" s="42">
        <v>4432496</v>
      </c>
      <c r="GH22" s="40">
        <v>3318362</v>
      </c>
      <c r="GI22" s="40">
        <v>749229</v>
      </c>
      <c r="GJ22" s="40">
        <v>364905</v>
      </c>
      <c r="GK22" s="40">
        <v>197207</v>
      </c>
      <c r="GL22" s="10">
        <v>4554995</v>
      </c>
      <c r="GM22" s="39">
        <v>3381735</v>
      </c>
      <c r="GN22" s="39">
        <v>772713</v>
      </c>
      <c r="GO22" s="39">
        <v>221893</v>
      </c>
      <c r="GP22" s="39">
        <v>337995</v>
      </c>
      <c r="GQ22" s="10">
        <v>4658220.99</v>
      </c>
      <c r="GR22" s="39">
        <v>3439767.4560000002</v>
      </c>
      <c r="GS22" s="39">
        <v>793647.17599999998</v>
      </c>
      <c r="GT22" s="39">
        <v>237354.15599999999</v>
      </c>
      <c r="GU22" s="410">
        <f t="shared" si="471"/>
        <v>424806.35800000001</v>
      </c>
      <c r="GV22" s="39">
        <v>4748305</v>
      </c>
      <c r="GW22" s="39">
        <v>3333752</v>
      </c>
      <c r="GX22" s="39">
        <v>813898</v>
      </c>
      <c r="GY22" s="39">
        <v>249910</v>
      </c>
      <c r="GZ22" s="39">
        <v>438543</v>
      </c>
      <c r="HA22" s="39">
        <v>4837135</v>
      </c>
      <c r="HB22" s="39">
        <v>3370881</v>
      </c>
      <c r="HC22" s="39">
        <v>830882</v>
      </c>
      <c r="HD22" s="39">
        <v>269338</v>
      </c>
      <c r="HE22" s="39">
        <v>455628</v>
      </c>
      <c r="HF22" s="39">
        <v>4978306</v>
      </c>
      <c r="HG22" s="39">
        <v>3423738</v>
      </c>
      <c r="HH22" s="39">
        <v>869522</v>
      </c>
      <c r="HI22" s="39">
        <v>283959</v>
      </c>
      <c r="HJ22" s="39">
        <v>488249</v>
      </c>
      <c r="HK22" s="39">
        <v>5055557</v>
      </c>
      <c r="HL22" s="39">
        <v>3453731</v>
      </c>
      <c r="HM22" s="39">
        <v>882391</v>
      </c>
      <c r="HN22" s="39">
        <v>297466</v>
      </c>
      <c r="HO22" s="39">
        <v>412202</v>
      </c>
      <c r="HP22" s="118">
        <v>5106859</v>
      </c>
      <c r="HQ22" s="39">
        <v>3465110</v>
      </c>
      <c r="HR22" s="39">
        <v>902707</v>
      </c>
      <c r="HS22" s="39">
        <v>306119</v>
      </c>
      <c r="HT22" s="39">
        <v>428560</v>
      </c>
      <c r="HU22" s="394">
        <v>325623</v>
      </c>
      <c r="HV22" s="1">
        <v>4631</v>
      </c>
      <c r="HW22" s="1">
        <v>14502</v>
      </c>
      <c r="HX22" s="1">
        <v>0</v>
      </c>
      <c r="HY22" s="1">
        <v>83804</v>
      </c>
      <c r="HZ22" s="118">
        <v>5185844</v>
      </c>
      <c r="IA22" s="39">
        <v>3492422</v>
      </c>
      <c r="IB22" s="39">
        <v>926340</v>
      </c>
      <c r="IC22" s="39">
        <v>312476</v>
      </c>
      <c r="ID22" s="39">
        <v>560752</v>
      </c>
      <c r="IE22" s="393">
        <v>5233622</v>
      </c>
      <c r="IF22" s="394"/>
      <c r="IG22" s="394"/>
      <c r="IH22" s="394"/>
      <c r="II22" s="394"/>
      <c r="IJ22" s="393">
        <v>5288045</v>
      </c>
      <c r="IK22" s="394">
        <v>3519512</v>
      </c>
      <c r="IL22" s="394">
        <v>957032</v>
      </c>
      <c r="IM22" s="394">
        <v>341666</v>
      </c>
      <c r="IN22" s="394">
        <v>590101</v>
      </c>
      <c r="IO22" s="393">
        <v>5430700</v>
      </c>
      <c r="IP22" s="394">
        <v>3506289</v>
      </c>
      <c r="IQ22" s="394">
        <v>949930</v>
      </c>
      <c r="IR22" s="394">
        <v>379058</v>
      </c>
      <c r="IS22" s="394">
        <v>909547</v>
      </c>
      <c r="IT22" s="1">
        <v>381702</v>
      </c>
      <c r="IU22" s="1">
        <v>0</v>
      </c>
      <c r="IV22" s="1">
        <v>17607</v>
      </c>
      <c r="IW22" s="1">
        <v>370726</v>
      </c>
      <c r="IX22" s="1">
        <v>139512</v>
      </c>
      <c r="IY22" s="399">
        <f>212528+255596</f>
        <v>468124</v>
      </c>
      <c r="IZ22" s="394">
        <f>217675+176502</f>
        <v>394177</v>
      </c>
      <c r="JA22" s="394">
        <f>28173+29658</f>
        <v>57831</v>
      </c>
      <c r="JB22" s="394">
        <f>3818+3775</f>
        <v>7593</v>
      </c>
      <c r="JC22" s="406">
        <f>420+3302+516+3569</f>
        <v>7807</v>
      </c>
      <c r="JD22" s="5">
        <v>955518</v>
      </c>
      <c r="JE22" s="394">
        <v>778941</v>
      </c>
      <c r="JF22" s="394">
        <v>145230</v>
      </c>
      <c r="JG22" s="394">
        <v>22593</v>
      </c>
      <c r="JH22" s="406">
        <v>31347</v>
      </c>
      <c r="JI22" s="5">
        <v>1214513</v>
      </c>
      <c r="JJ22" s="394">
        <v>919333</v>
      </c>
      <c r="JK22" s="394">
        <v>222477</v>
      </c>
      <c r="JL22" s="394">
        <v>38343</v>
      </c>
      <c r="JM22" s="406">
        <v>72703</v>
      </c>
      <c r="JN22" s="394">
        <v>1278304</v>
      </c>
      <c r="JO22" s="394">
        <v>909413</v>
      </c>
      <c r="JP22" s="394">
        <v>249417</v>
      </c>
      <c r="JQ22" s="394">
        <v>56551</v>
      </c>
      <c r="JR22" s="394">
        <v>87589</v>
      </c>
      <c r="JS22" s="5">
        <v>1425433</v>
      </c>
      <c r="JT22" s="394">
        <v>1024270</v>
      </c>
      <c r="JU22" s="394">
        <v>295872</v>
      </c>
      <c r="JV22" s="394">
        <v>73480</v>
      </c>
      <c r="JW22" s="406">
        <v>105291</v>
      </c>
      <c r="JX22" s="5">
        <v>1445654.79</v>
      </c>
      <c r="JY22" s="394">
        <v>1034254.4040000001</v>
      </c>
      <c r="JZ22" s="394">
        <v>302993.38</v>
      </c>
      <c r="KA22" s="394">
        <v>77730.015999999989</v>
      </c>
      <c r="KB22" s="406">
        <v>108407.00599999994</v>
      </c>
      <c r="KC22" s="394">
        <v>1467967</v>
      </c>
      <c r="KD22" s="394">
        <v>995134</v>
      </c>
      <c r="KE22" s="394">
        <v>309248</v>
      </c>
      <c r="KF22" s="394">
        <v>80431</v>
      </c>
      <c r="KG22" s="439">
        <v>112203</v>
      </c>
      <c r="KH22" s="439">
        <v>1496624</v>
      </c>
      <c r="KI22" s="439">
        <v>1004578</v>
      </c>
      <c r="KJ22" s="439">
        <v>320104</v>
      </c>
      <c r="KK22" s="439">
        <v>88153</v>
      </c>
      <c r="KL22" s="439">
        <v>114345</v>
      </c>
      <c r="KM22" s="439">
        <v>1529591</v>
      </c>
      <c r="KN22" s="439">
        <v>1013853</v>
      </c>
      <c r="KO22" s="439">
        <v>330900</v>
      </c>
      <c r="KP22" s="439">
        <v>90213</v>
      </c>
      <c r="KQ22" s="439">
        <v>124747</v>
      </c>
      <c r="KR22" s="439">
        <v>1554356</v>
      </c>
      <c r="KS22" s="439">
        <v>1025236</v>
      </c>
      <c r="KT22" s="439">
        <v>335886</v>
      </c>
      <c r="KU22" s="439">
        <v>99069</v>
      </c>
      <c r="KV22" s="439">
        <v>130620</v>
      </c>
      <c r="KW22" s="630">
        <v>1555338</v>
      </c>
      <c r="KX22" s="439">
        <v>1019223</v>
      </c>
      <c r="KY22" s="439">
        <v>340210</v>
      </c>
      <c r="KZ22" s="439">
        <v>100934</v>
      </c>
      <c r="LA22" s="439">
        <v>129879</v>
      </c>
      <c r="LB22" s="652">
        <v>1552141</v>
      </c>
      <c r="LC22" s="653">
        <v>1015839</v>
      </c>
      <c r="LD22" s="653">
        <v>334416</v>
      </c>
      <c r="LE22" s="653">
        <v>97558</v>
      </c>
      <c r="LF22" s="653">
        <v>139481</v>
      </c>
      <c r="LG22" s="652">
        <v>1545104</v>
      </c>
      <c r="LH22" s="653"/>
      <c r="LI22" s="439"/>
      <c r="LJ22" s="439"/>
      <c r="LK22" s="439"/>
      <c r="LL22" s="652">
        <v>1575365</v>
      </c>
      <c r="LM22" s="653">
        <v>1014863</v>
      </c>
      <c r="LN22" s="653">
        <v>347254</v>
      </c>
      <c r="LO22" s="653">
        <v>108622</v>
      </c>
      <c r="LP22" s="653">
        <v>142490</v>
      </c>
      <c r="LQ22" s="652">
        <v>1525641</v>
      </c>
      <c r="LR22" s="653">
        <v>953519</v>
      </c>
      <c r="LS22" s="653">
        <v>330404</v>
      </c>
      <c r="LT22" s="653">
        <v>113733</v>
      </c>
      <c r="LU22" s="653">
        <v>223558</v>
      </c>
      <c r="LV22" s="1">
        <v>59785</v>
      </c>
      <c r="LW22" s="1">
        <v>0</v>
      </c>
      <c r="LX22" s="1">
        <v>6707</v>
      </c>
      <c r="LY22" s="1">
        <v>115043</v>
      </c>
      <c r="LZ22" s="1">
        <v>42023</v>
      </c>
      <c r="MA22" s="10">
        <v>219511</v>
      </c>
      <c r="MB22" s="39">
        <v>182542</v>
      </c>
      <c r="MC22" s="39">
        <v>27880</v>
      </c>
      <c r="MD22" s="39">
        <v>5205</v>
      </c>
      <c r="ME22" s="207">
        <v>9089</v>
      </c>
      <c r="MF22" s="3">
        <v>262813</v>
      </c>
      <c r="MG22" s="39">
        <v>202932</v>
      </c>
      <c r="MH22" s="39">
        <v>41086</v>
      </c>
      <c r="MI22" s="39">
        <v>8593</v>
      </c>
      <c r="MJ22" s="207">
        <v>18795</v>
      </c>
      <c r="MK22" s="39">
        <v>333953</v>
      </c>
      <c r="ML22" s="39">
        <v>237954</v>
      </c>
      <c r="MM22" s="39">
        <v>61958</v>
      </c>
      <c r="MN22" s="39">
        <v>15172</v>
      </c>
      <c r="MO22" s="39">
        <v>25107</v>
      </c>
      <c r="MP22" s="118">
        <v>353195</v>
      </c>
      <c r="MQ22" s="39">
        <v>258769</v>
      </c>
      <c r="MR22" s="39">
        <v>65658</v>
      </c>
      <c r="MS22" s="39">
        <v>17098</v>
      </c>
      <c r="MT22" s="39">
        <v>28768</v>
      </c>
      <c r="MU22" s="118"/>
      <c r="MV22" s="39"/>
      <c r="MW22" s="39"/>
      <c r="MX22" s="39"/>
      <c r="MY22" s="207"/>
      <c r="MZ22" s="39">
        <v>377135</v>
      </c>
      <c r="NA22" s="39">
        <v>262816</v>
      </c>
      <c r="NB22" s="39">
        <v>71792</v>
      </c>
      <c r="NC22" s="39">
        <v>18384</v>
      </c>
      <c r="ND22" s="39">
        <v>31424</v>
      </c>
      <c r="NE22" s="39">
        <v>393267</v>
      </c>
      <c r="NF22" s="39">
        <v>271201</v>
      </c>
      <c r="NG22" s="39">
        <v>76211</v>
      </c>
      <c r="NH22" s="39">
        <v>20557</v>
      </c>
      <c r="NI22" s="39">
        <v>33274</v>
      </c>
      <c r="NJ22" s="39">
        <v>408872</v>
      </c>
      <c r="NK22" s="39">
        <v>277693</v>
      </c>
      <c r="NL22" s="39">
        <v>76757</v>
      </c>
      <c r="NM22" s="39">
        <v>23827</v>
      </c>
      <c r="NN22" s="39">
        <v>307774</v>
      </c>
      <c r="NO22" s="39">
        <v>426955</v>
      </c>
      <c r="NP22" s="39">
        <v>284277</v>
      </c>
      <c r="NQ22" s="39">
        <v>85569</v>
      </c>
      <c r="NR22" s="39">
        <v>28108</v>
      </c>
      <c r="NS22" s="39">
        <v>40386</v>
      </c>
      <c r="NT22" s="39">
        <v>438669</v>
      </c>
      <c r="NU22" s="39">
        <v>292359</v>
      </c>
      <c r="NV22" s="39">
        <v>87068</v>
      </c>
      <c r="NW22" s="39">
        <v>27896</v>
      </c>
      <c r="NX22" s="39">
        <v>40886</v>
      </c>
      <c r="NY22" s="118">
        <v>456210</v>
      </c>
      <c r="NZ22" s="39">
        <v>301252</v>
      </c>
      <c r="OA22" s="39">
        <v>92827</v>
      </c>
      <c r="OB22" s="39">
        <v>27429</v>
      </c>
      <c r="OC22" s="39">
        <v>44690</v>
      </c>
      <c r="OD22" s="118">
        <v>453566</v>
      </c>
      <c r="OE22" s="39"/>
      <c r="OF22" s="39"/>
      <c r="OG22" s="39"/>
      <c r="OH22" s="39"/>
      <c r="OI22" s="118">
        <v>468107</v>
      </c>
      <c r="OJ22" s="39">
        <v>295556</v>
      </c>
      <c r="OK22" s="39">
        <v>99789</v>
      </c>
      <c r="OL22" s="39">
        <v>34488</v>
      </c>
      <c r="OM22" s="39">
        <v>51087</v>
      </c>
      <c r="ON22" s="118">
        <v>456400</v>
      </c>
      <c r="OO22" s="39">
        <v>290455</v>
      </c>
      <c r="OP22" s="39">
        <v>91333</v>
      </c>
      <c r="OQ22" s="39">
        <v>32475</v>
      </c>
      <c r="OR22" s="39">
        <v>13375</v>
      </c>
      <c r="OS22" s="1">
        <v>22441</v>
      </c>
      <c r="OT22" s="1">
        <v>0</v>
      </c>
      <c r="OU22" s="1">
        <v>1283</v>
      </c>
      <c r="OV22" s="1">
        <v>31669</v>
      </c>
      <c r="OW22" s="1">
        <v>13375</v>
      </c>
      <c r="OX22" s="402">
        <f t="shared" si="421"/>
        <v>1104655</v>
      </c>
      <c r="OY22" s="382">
        <f t="shared" si="422"/>
        <v>717758</v>
      </c>
      <c r="OZ22" s="382">
        <f t="shared" si="423"/>
        <v>83496</v>
      </c>
      <c r="PA22" s="382">
        <f t="shared" si="424"/>
        <v>182806</v>
      </c>
      <c r="PB22" s="382">
        <f t="shared" si="425"/>
        <v>82927</v>
      </c>
      <c r="PC22" s="402">
        <f t="shared" si="426"/>
        <v>1637801</v>
      </c>
      <c r="PD22" s="382">
        <f t="shared" si="427"/>
        <v>1334281</v>
      </c>
      <c r="PE22" s="382">
        <f t="shared" si="428"/>
        <v>167084</v>
      </c>
      <c r="PF22" s="382">
        <f t="shared" si="429"/>
        <v>44792</v>
      </c>
      <c r="PG22" s="382">
        <f t="shared" si="430"/>
        <v>136436</v>
      </c>
      <c r="PH22" s="118">
        <v>1794206</v>
      </c>
      <c r="PI22" s="39">
        <v>1388200</v>
      </c>
      <c r="PJ22" s="39">
        <v>208082</v>
      </c>
      <c r="PK22" s="39">
        <v>77925</v>
      </c>
      <c r="PL22" s="39">
        <v>197924</v>
      </c>
      <c r="PM22" s="39">
        <v>1995662</v>
      </c>
      <c r="PN22" s="39">
        <v>1528146</v>
      </c>
      <c r="PO22" s="39">
        <v>222993</v>
      </c>
      <c r="PP22" s="39">
        <v>71769</v>
      </c>
      <c r="PQ22" s="39">
        <v>200794</v>
      </c>
      <c r="PR22" s="393"/>
      <c r="PS22" s="394"/>
      <c r="PT22" s="394"/>
      <c r="PU22" s="394"/>
      <c r="PV22" s="394"/>
      <c r="PW22" s="394">
        <v>2275156</v>
      </c>
      <c r="PX22" s="394">
        <v>1670263</v>
      </c>
      <c r="PY22" s="394">
        <v>272913</v>
      </c>
      <c r="PZ22" s="394">
        <v>99653</v>
      </c>
      <c r="QA22" s="406">
        <v>265704</v>
      </c>
      <c r="QB22" s="394">
        <v>2345676</v>
      </c>
      <c r="QC22" s="394">
        <v>1708571</v>
      </c>
      <c r="QD22" s="394">
        <v>284645</v>
      </c>
      <c r="QE22" s="394">
        <v>106440</v>
      </c>
      <c r="QF22" s="394">
        <v>279338</v>
      </c>
      <c r="QG22" s="394">
        <v>2475211</v>
      </c>
      <c r="QH22" s="394">
        <v>1784660</v>
      </c>
      <c r="QI22" s="394">
        <v>300362</v>
      </c>
      <c r="QJ22" s="394">
        <v>115757</v>
      </c>
      <c r="QK22" s="394">
        <v>307774</v>
      </c>
      <c r="QL22" s="393">
        <v>2528999</v>
      </c>
      <c r="QM22" s="394">
        <v>1796687</v>
      </c>
      <c r="QN22" s="394">
        <v>324245</v>
      </c>
      <c r="QO22" s="394">
        <v>124465</v>
      </c>
      <c r="QP22" s="394">
        <v>262527</v>
      </c>
      <c r="QQ22" s="393">
        <v>2617354</v>
      </c>
      <c r="QR22" s="394">
        <v>1855949</v>
      </c>
      <c r="QS22" s="394">
        <v>331786</v>
      </c>
      <c r="QT22" s="394">
        <v>128611</v>
      </c>
      <c r="QU22" s="394">
        <v>277975</v>
      </c>
      <c r="QV22" s="393">
        <v>2693426</v>
      </c>
      <c r="QW22" s="394">
        <v>1884891</v>
      </c>
      <c r="QX22" s="394">
        <v>359144</v>
      </c>
      <c r="QY22" s="394">
        <v>136562</v>
      </c>
      <c r="QZ22" s="394">
        <v>355335</v>
      </c>
      <c r="RA22" s="393">
        <v>2744023</v>
      </c>
      <c r="RB22" s="394"/>
      <c r="RC22" s="394"/>
      <c r="RD22" s="394"/>
      <c r="RE22" s="394"/>
      <c r="RF22" s="394">
        <v>2793177</v>
      </c>
      <c r="RG22" s="394">
        <v>1920466</v>
      </c>
      <c r="RH22" s="394">
        <v>379659</v>
      </c>
      <c r="RI22" s="394">
        <v>157006</v>
      </c>
      <c r="RJ22" s="394">
        <v>385678</v>
      </c>
      <c r="RK22" s="394">
        <v>2940860</v>
      </c>
      <c r="RL22" s="394">
        <v>1962324</v>
      </c>
      <c r="RM22" s="394">
        <v>386715</v>
      </c>
      <c r="RN22" s="394">
        <v>177786</v>
      </c>
      <c r="RO22" s="394">
        <v>559380</v>
      </c>
      <c r="RP22" s="1">
        <v>294906</v>
      </c>
      <c r="RQ22" s="1">
        <v>0</v>
      </c>
      <c r="RR22" s="1">
        <v>6058</v>
      </c>
      <c r="RS22" s="1">
        <v>197825</v>
      </c>
      <c r="RT22" s="1">
        <v>60591</v>
      </c>
      <c r="RU22" s="10">
        <v>612679</v>
      </c>
      <c r="RV22" s="3">
        <v>535216</v>
      </c>
      <c r="RW22" s="3">
        <v>50841</v>
      </c>
      <c r="RX22" s="3">
        <v>11445</v>
      </c>
      <c r="RY22" s="3">
        <v>26622</v>
      </c>
      <c r="RZ22" s="10">
        <v>835011</v>
      </c>
      <c r="SA22" s="39">
        <v>681568</v>
      </c>
      <c r="SB22" s="39">
        <v>83384</v>
      </c>
      <c r="SC22" s="39">
        <v>21696</v>
      </c>
      <c r="SD22" s="39">
        <v>70059</v>
      </c>
      <c r="SE22" s="118">
        <v>988198</v>
      </c>
      <c r="SF22" s="39">
        <v>763437</v>
      </c>
      <c r="SG22" s="39">
        <v>102853</v>
      </c>
      <c r="SH22" s="39">
        <v>34563</v>
      </c>
      <c r="SI22" s="39">
        <v>101701</v>
      </c>
      <c r="SJ22" s="118">
        <v>1051740</v>
      </c>
      <c r="SK22" s="39">
        <v>815907</v>
      </c>
      <c r="SL22" s="39">
        <v>115091</v>
      </c>
      <c r="SM22" s="39">
        <v>47801</v>
      </c>
      <c r="SN22" s="39">
        <v>120742</v>
      </c>
      <c r="SO22" s="118">
        <v>1081563.9539999999</v>
      </c>
      <c r="SP22" s="39">
        <v>832826.58</v>
      </c>
      <c r="SQ22" s="39">
        <v>120219.95400000001</v>
      </c>
      <c r="SR22" s="39">
        <v>48581.26</v>
      </c>
      <c r="SS22" s="39">
        <v>128517.41999999994</v>
      </c>
      <c r="ST22" s="118">
        <v>1106898</v>
      </c>
      <c r="SU22" s="39">
        <v>815371</v>
      </c>
      <c r="SV22" s="39">
        <v>126415</v>
      </c>
      <c r="SW22" s="39">
        <v>51930</v>
      </c>
      <c r="SX22" s="39">
        <v>131379</v>
      </c>
      <c r="SY22" s="39">
        <v>1137430</v>
      </c>
      <c r="SZ22" s="39">
        <v>832455</v>
      </c>
      <c r="TA22" s="39">
        <v>128938</v>
      </c>
      <c r="TB22" s="39">
        <v>54020</v>
      </c>
      <c r="TC22" s="39">
        <v>138609</v>
      </c>
      <c r="TD22" s="39">
        <v>1173872</v>
      </c>
      <c r="TE22" s="39">
        <v>860488</v>
      </c>
      <c r="TF22" s="39">
        <v>134313</v>
      </c>
      <c r="TG22" s="39">
        <v>53157</v>
      </c>
      <c r="TH22" s="39">
        <v>141865</v>
      </c>
      <c r="TI22" s="39">
        <v>1209217</v>
      </c>
      <c r="TJ22" s="39">
        <v>864477</v>
      </c>
      <c r="TK22" s="39">
        <v>143228</v>
      </c>
      <c r="TL22" s="39">
        <v>57442</v>
      </c>
      <c r="TM22" s="39">
        <v>159895</v>
      </c>
      <c r="TN22" s="39">
        <v>1241751</v>
      </c>
      <c r="TO22" s="39">
        <v>890176</v>
      </c>
      <c r="TP22" s="39">
        <v>144944</v>
      </c>
      <c r="TQ22" s="39">
        <v>60013</v>
      </c>
      <c r="TR22" s="39">
        <v>164378</v>
      </c>
      <c r="TS22" s="118">
        <v>1270190</v>
      </c>
      <c r="TT22" s="39">
        <v>897644</v>
      </c>
      <c r="TU22" s="39">
        <v>161368</v>
      </c>
      <c r="TV22" s="39">
        <v>70761</v>
      </c>
      <c r="TW22" s="39">
        <v>164370</v>
      </c>
      <c r="TX22" s="118">
        <v>1296041</v>
      </c>
      <c r="TY22" s="39"/>
      <c r="TZ22" s="39"/>
      <c r="UA22" s="39"/>
      <c r="UB22" s="39"/>
      <c r="UC22" s="118">
        <v>1312800</v>
      </c>
      <c r="UD22" s="39">
        <v>915817</v>
      </c>
      <c r="UE22" s="39">
        <v>159835</v>
      </c>
      <c r="UF22" s="39">
        <v>74638</v>
      </c>
      <c r="UG22" s="39">
        <v>187692</v>
      </c>
      <c r="UH22" s="118">
        <v>1394875</v>
      </c>
      <c r="UI22" s="39">
        <v>941865</v>
      </c>
      <c r="UJ22" s="39">
        <v>171088</v>
      </c>
      <c r="UK22" s="39">
        <v>87897</v>
      </c>
      <c r="UL22" s="39">
        <v>265439</v>
      </c>
      <c r="UM22" s="1">
        <v>136452</v>
      </c>
      <c r="UN22" s="1">
        <v>0</v>
      </c>
      <c r="UO22" s="1">
        <v>2685</v>
      </c>
      <c r="UP22" s="1">
        <v>96846</v>
      </c>
      <c r="UQ22" s="1">
        <v>47216</v>
      </c>
      <c r="UR22" s="588">
        <f t="shared" si="431"/>
        <v>162225</v>
      </c>
      <c r="US22" s="40">
        <v>99896</v>
      </c>
      <c r="UT22" s="40">
        <v>62329</v>
      </c>
      <c r="UU22" s="588">
        <f t="shared" si="432"/>
        <v>12679</v>
      </c>
      <c r="UV22" s="40">
        <v>4971</v>
      </c>
      <c r="UW22" s="40">
        <v>7708</v>
      </c>
      <c r="UX22" s="42">
        <v>303287</v>
      </c>
      <c r="UY22" s="588">
        <f t="shared" si="433"/>
        <v>184167</v>
      </c>
      <c r="UZ22" s="588">
        <f t="shared" si="434"/>
        <v>119120</v>
      </c>
      <c r="VA22" s="588">
        <f t="shared" si="435"/>
        <v>281197</v>
      </c>
      <c r="VB22" s="40">
        <v>174390</v>
      </c>
      <c r="VC22" s="40">
        <v>106807</v>
      </c>
      <c r="VD22" s="588">
        <f t="shared" si="436"/>
        <v>17062</v>
      </c>
      <c r="VE22" s="40">
        <v>6428</v>
      </c>
      <c r="VF22" s="40">
        <v>10634</v>
      </c>
      <c r="VG22" s="588">
        <f t="shared" si="437"/>
        <v>5028</v>
      </c>
      <c r="VH22" s="40">
        <v>3349</v>
      </c>
      <c r="VI22" s="40">
        <v>1679</v>
      </c>
      <c r="VJ22" s="42">
        <v>598069</v>
      </c>
      <c r="VK22" s="588">
        <f t="shared" si="438"/>
        <v>346388</v>
      </c>
      <c r="VL22" s="588">
        <f t="shared" si="439"/>
        <v>251681</v>
      </c>
      <c r="VM22" s="39">
        <f>315374+217567</f>
        <v>532941</v>
      </c>
      <c r="VN22" s="40">
        <v>315374</v>
      </c>
      <c r="VO22" s="40">
        <v>217567</v>
      </c>
      <c r="VP22" s="40">
        <v>31014</v>
      </c>
      <c r="VQ22" s="40">
        <v>34114</v>
      </c>
      <c r="VR22" s="39">
        <f>17425+23700</f>
        <v>41125</v>
      </c>
      <c r="VS22" s="40">
        <v>17425</v>
      </c>
      <c r="VT22" s="40">
        <v>23700</v>
      </c>
      <c r="VU22" s="39">
        <f>4965+3624</f>
        <v>8589</v>
      </c>
      <c r="VV22" s="40">
        <v>4965</v>
      </c>
      <c r="VW22" s="40">
        <v>3624</v>
      </c>
      <c r="VX22" s="233">
        <f t="shared" si="440"/>
        <v>15414</v>
      </c>
      <c r="VY22" s="233">
        <f t="shared" si="441"/>
        <v>8624</v>
      </c>
      <c r="VZ22" s="233">
        <f t="shared" si="442"/>
        <v>6790</v>
      </c>
      <c r="WA22" s="234">
        <f t="shared" si="443"/>
        <v>1138</v>
      </c>
      <c r="WB22" s="234">
        <f t="shared" si="444"/>
        <v>836</v>
      </c>
      <c r="WC22" s="234">
        <f t="shared" si="445"/>
        <v>302</v>
      </c>
      <c r="WD22" s="40">
        <v>14276</v>
      </c>
      <c r="WE22" s="40">
        <v>7788</v>
      </c>
      <c r="WF22" s="40">
        <v>6488</v>
      </c>
      <c r="WG22" s="12">
        <f t="shared" si="446"/>
        <v>885144</v>
      </c>
      <c r="WH22" s="588">
        <f t="shared" si="447"/>
        <v>528170</v>
      </c>
      <c r="WI22" s="588">
        <f t="shared" si="448"/>
        <v>444724</v>
      </c>
      <c r="WJ22" s="11">
        <f t="shared" si="449"/>
        <v>535216</v>
      </c>
      <c r="WK22" s="90">
        <f t="shared" si="450"/>
        <v>839728</v>
      </c>
      <c r="WL22" s="40">
        <v>465213</v>
      </c>
      <c r="WM22" s="40">
        <v>374515</v>
      </c>
      <c r="WN22" s="40">
        <v>62957</v>
      </c>
      <c r="WO22" s="40">
        <v>70209</v>
      </c>
      <c r="WP22" s="11">
        <f t="shared" si="451"/>
        <v>55616</v>
      </c>
      <c r="WQ22" s="90">
        <f t="shared" si="452"/>
        <v>75001</v>
      </c>
      <c r="WR22" s="40">
        <v>31355</v>
      </c>
      <c r="WS22" s="40">
        <v>43646</v>
      </c>
      <c r="WT22" s="11">
        <f t="shared" si="453"/>
        <v>18900</v>
      </c>
      <c r="WU22" s="40">
        <v>10513</v>
      </c>
      <c r="WV22" s="40">
        <v>8387</v>
      </c>
      <c r="WW22" s="9">
        <f t="shared" si="454"/>
        <v>73838</v>
      </c>
      <c r="WX22" s="235">
        <f t="shared" si="455"/>
        <v>21089</v>
      </c>
      <c r="WY22" s="235">
        <f t="shared" si="456"/>
        <v>18176</v>
      </c>
      <c r="WZ22" s="236">
        <f t="shared" si="457"/>
        <v>373</v>
      </c>
      <c r="XA22" s="236">
        <f t="shared" si="458"/>
        <v>221</v>
      </c>
      <c r="XB22" s="236">
        <f t="shared" si="459"/>
        <v>152</v>
      </c>
      <c r="XC22" s="589">
        <f t="shared" si="460"/>
        <v>38892</v>
      </c>
      <c r="XD22" s="589">
        <f t="shared" si="461"/>
        <v>20868</v>
      </c>
      <c r="XE22" s="589">
        <f t="shared" si="462"/>
        <v>18024</v>
      </c>
      <c r="XF22" s="40">
        <v>865</v>
      </c>
      <c r="XG22" s="40">
        <v>571</v>
      </c>
      <c r="XH22" s="40">
        <v>20003</v>
      </c>
      <c r="XI22" s="40">
        <v>17453</v>
      </c>
      <c r="XJ22" s="590">
        <v>1374988</v>
      </c>
      <c r="XK22" s="40">
        <v>703626</v>
      </c>
      <c r="XL22" s="40">
        <v>671362</v>
      </c>
      <c r="XM22" s="5">
        <f t="shared" si="463"/>
        <v>1131349</v>
      </c>
      <c r="XN22" s="5">
        <v>590978</v>
      </c>
      <c r="XO22" s="5">
        <v>540371</v>
      </c>
      <c r="XP22" s="84">
        <f t="shared" si="464"/>
        <v>1107601</v>
      </c>
      <c r="XQ22" s="40">
        <v>579122</v>
      </c>
      <c r="XR22" s="40">
        <v>528479</v>
      </c>
      <c r="XS22" s="5">
        <f t="shared" si="465"/>
        <v>125998</v>
      </c>
      <c r="XT22" s="40">
        <v>52071</v>
      </c>
      <c r="XU22" s="40">
        <v>73927</v>
      </c>
      <c r="XV22" s="5">
        <f t="shared" si="466"/>
        <v>36199</v>
      </c>
      <c r="XW22" s="40">
        <v>18074</v>
      </c>
      <c r="XX22" s="40">
        <v>18125</v>
      </c>
      <c r="XY22" s="84">
        <f t="shared" si="467"/>
        <v>117641</v>
      </c>
      <c r="XZ22" s="84">
        <f t="shared" si="468"/>
        <v>60577</v>
      </c>
      <c r="YA22" s="84">
        <f t="shared" si="469"/>
        <v>57064</v>
      </c>
      <c r="YB22" s="587">
        <v>1661709</v>
      </c>
      <c r="YC22" s="40">
        <v>1290192</v>
      </c>
      <c r="YD22" s="40">
        <v>161035</v>
      </c>
      <c r="YE22" s="40">
        <v>56597</v>
      </c>
      <c r="YF22" s="5">
        <v>175687</v>
      </c>
      <c r="YG22" s="118">
        <v>1697369</v>
      </c>
      <c r="YH22" s="39">
        <v>1350523</v>
      </c>
      <c r="YI22" s="39">
        <v>164765</v>
      </c>
      <c r="YJ22" s="39">
        <v>182081</v>
      </c>
      <c r="YK22" s="39">
        <v>63130</v>
      </c>
      <c r="YL22" s="118">
        <v>1737186</v>
      </c>
      <c r="YM22" s="39">
        <v>1379390</v>
      </c>
      <c r="YN22" s="39">
        <v>169047</v>
      </c>
      <c r="YO22" s="39">
        <v>188749</v>
      </c>
      <c r="YP22" s="39">
        <v>65653</v>
      </c>
      <c r="YQ22" s="118">
        <v>1791467</v>
      </c>
      <c r="YR22" s="39">
        <v>1398402</v>
      </c>
      <c r="YS22" s="39">
        <v>182026</v>
      </c>
      <c r="YT22" s="39">
        <v>211039</v>
      </c>
      <c r="YU22" s="39">
        <v>73697</v>
      </c>
      <c r="YV22" s="10">
        <v>1847225.5649999999</v>
      </c>
      <c r="YW22" s="39">
        <v>1429362.828</v>
      </c>
      <c r="YX22" s="39">
        <v>190592.61000000002</v>
      </c>
      <c r="YY22" s="39">
        <v>76688.989000000001</v>
      </c>
      <c r="YZ22" s="39">
        <v>227270.12699999995</v>
      </c>
      <c r="ZA22" s="39">
        <v>1898021</v>
      </c>
      <c r="ZB22" s="39">
        <v>1407447</v>
      </c>
      <c r="ZC22" s="39">
        <v>201121</v>
      </c>
      <c r="ZD22" s="39">
        <v>81269</v>
      </c>
      <c r="ZE22" s="1">
        <v>234280</v>
      </c>
      <c r="ZF22" s="1">
        <v>1952409</v>
      </c>
      <c r="ZG22" s="1">
        <v>1437370</v>
      </c>
      <c r="ZH22" s="1">
        <v>208434</v>
      </c>
      <c r="ZI22" s="1">
        <v>85883</v>
      </c>
      <c r="ZJ22" s="1">
        <v>246064</v>
      </c>
      <c r="ZK22" s="1">
        <v>2066339</v>
      </c>
      <c r="ZL22" s="1">
        <v>1506967</v>
      </c>
      <c r="ZM22" s="1">
        <v>223605</v>
      </c>
      <c r="ZN22" s="1">
        <v>91930</v>
      </c>
      <c r="ZO22" s="1">
        <v>268836</v>
      </c>
      <c r="ZP22" s="1">
        <v>2102044</v>
      </c>
      <c r="ZQ22" s="1">
        <v>1512410</v>
      </c>
      <c r="ZR22" s="1">
        <v>238676</v>
      </c>
      <c r="ZS22" s="1">
        <v>96357</v>
      </c>
      <c r="ZT22" s="1">
        <v>234105</v>
      </c>
      <c r="ZU22" s="1">
        <v>2178685</v>
      </c>
      <c r="ZV22" s="1">
        <v>1563590</v>
      </c>
      <c r="ZW22" s="1">
        <v>244718</v>
      </c>
      <c r="ZX22" s="1">
        <v>100715</v>
      </c>
      <c r="ZY22" s="1">
        <v>247491</v>
      </c>
      <c r="ZZ22" s="394">
        <v>218907</v>
      </c>
      <c r="AAA22" s="1">
        <v>857</v>
      </c>
      <c r="AAB22" s="1">
        <v>4363</v>
      </c>
      <c r="AAC22" s="1">
        <v>0</v>
      </c>
      <c r="AAD22" s="1">
        <v>22632</v>
      </c>
      <c r="AAE22" s="50">
        <v>2237216</v>
      </c>
      <c r="AAF22" s="1">
        <v>1583639</v>
      </c>
      <c r="AAG22" s="1">
        <v>266317</v>
      </c>
      <c r="AAH22" s="1">
        <v>109133</v>
      </c>
      <c r="AAI22" s="1">
        <v>310645</v>
      </c>
      <c r="AAJ22" s="50">
        <v>2290457</v>
      </c>
      <c r="AAK22" s="1"/>
      <c r="AAL22" s="1"/>
      <c r="AAM22" s="1"/>
      <c r="AAN22" s="1"/>
      <c r="AAO22" s="68">
        <v>2325070</v>
      </c>
      <c r="AAP22" s="37">
        <v>1624910</v>
      </c>
      <c r="AAQ22" s="37">
        <v>279870</v>
      </c>
      <c r="AAR22" s="37">
        <v>122518</v>
      </c>
      <c r="AAS22" s="37">
        <v>334591</v>
      </c>
      <c r="AAT22" s="68">
        <v>2484460</v>
      </c>
      <c r="AAU22" s="37">
        <v>1671869</v>
      </c>
      <c r="AAV22" s="37">
        <v>295382</v>
      </c>
      <c r="AAW22" s="37">
        <v>145311</v>
      </c>
      <c r="AAX22" s="37">
        <v>490612</v>
      </c>
      <c r="AAY22" s="1">
        <v>272465</v>
      </c>
      <c r="AAZ22" s="1">
        <v>0</v>
      </c>
      <c r="ABA22" s="1">
        <v>4775</v>
      </c>
      <c r="ABB22" s="1">
        <v>166156</v>
      </c>
      <c r="ABC22" s="1">
        <v>47216</v>
      </c>
      <c r="ABD22" s="10">
        <v>539977</v>
      </c>
      <c r="ABE22" s="39">
        <v>449781</v>
      </c>
      <c r="ABF22" s="39">
        <v>42614</v>
      </c>
      <c r="ABG22" s="39">
        <v>14503</v>
      </c>
      <c r="ABH22" s="39">
        <v>47582</v>
      </c>
      <c r="ABI22" s="118">
        <v>673511</v>
      </c>
      <c r="ABJ22" s="39">
        <v>526755</v>
      </c>
      <c r="ABK22" s="39">
        <v>58182</v>
      </c>
      <c r="ABL22" s="39">
        <v>22034</v>
      </c>
      <c r="ABM22" s="39">
        <v>73986</v>
      </c>
      <c r="ABN22" s="10">
        <v>739727</v>
      </c>
      <c r="ABO22" s="39">
        <v>582495</v>
      </c>
      <c r="ABP22" s="39">
        <v>66935</v>
      </c>
      <c r="ABQ22" s="39">
        <v>25896</v>
      </c>
      <c r="ABR22" s="39">
        <v>90297</v>
      </c>
      <c r="ABS22" s="10">
        <v>765661.61100000003</v>
      </c>
      <c r="ABT22" s="39">
        <v>596536.24800000002</v>
      </c>
      <c r="ABU22" s="39">
        <v>70372.656000000003</v>
      </c>
      <c r="ABV22" s="39">
        <v>28107.728999999999</v>
      </c>
      <c r="ABW22" s="207">
        <v>98752.707000000009</v>
      </c>
      <c r="ABX22" s="1">
        <v>791123</v>
      </c>
      <c r="ABY22" s="1">
        <v>592076</v>
      </c>
      <c r="ABZ22" s="1">
        <v>74706</v>
      </c>
      <c r="ACA22" s="1">
        <v>29339</v>
      </c>
      <c r="ACB22" s="49">
        <v>102901</v>
      </c>
      <c r="ACC22" s="1">
        <v>814979</v>
      </c>
      <c r="ACD22" s="1">
        <v>604915</v>
      </c>
      <c r="ACE22" s="1">
        <v>79496</v>
      </c>
      <c r="ACF22" s="1">
        <v>31863</v>
      </c>
      <c r="ACG22" s="1">
        <v>107455</v>
      </c>
      <c r="ACH22" s="1">
        <v>892467</v>
      </c>
      <c r="ACI22" s="1">
        <v>646479</v>
      </c>
      <c r="ACJ22" s="1">
        <v>89292</v>
      </c>
      <c r="ACK22" s="1">
        <v>38773</v>
      </c>
      <c r="ACL22" s="1">
        <v>126971</v>
      </c>
      <c r="ACM22" s="1">
        <v>892827</v>
      </c>
      <c r="ACN22" s="1">
        <v>647933</v>
      </c>
      <c r="ACO22" s="1">
        <v>95448</v>
      </c>
      <c r="ACP22" s="1">
        <v>38915</v>
      </c>
      <c r="ACQ22" s="1">
        <v>119818</v>
      </c>
      <c r="ACR22" s="1">
        <v>936934</v>
      </c>
      <c r="ACS22" s="1">
        <v>673414</v>
      </c>
      <c r="ACT22" s="1">
        <v>99774</v>
      </c>
      <c r="ACU22" s="1">
        <v>40702</v>
      </c>
      <c r="ACV22" s="1">
        <v>134080</v>
      </c>
      <c r="ADB22" s="50">
        <v>967026</v>
      </c>
      <c r="ADC22" s="1">
        <v>685995</v>
      </c>
      <c r="ADD22" s="1">
        <v>104949</v>
      </c>
      <c r="ADE22" s="1">
        <v>38372</v>
      </c>
      <c r="ADF22" s="1">
        <v>146275</v>
      </c>
      <c r="ADG22" s="50">
        <v>994416</v>
      </c>
      <c r="ADL22" s="50">
        <v>1012270</v>
      </c>
      <c r="ADM22" s="1">
        <v>709093</v>
      </c>
      <c r="ADN22" s="1">
        <v>120035</v>
      </c>
      <c r="ADO22" s="1">
        <v>47880</v>
      </c>
      <c r="ADP22" s="1">
        <v>146899</v>
      </c>
      <c r="ADQ22" s="50">
        <v>1089585</v>
      </c>
      <c r="ADR22" s="1">
        <v>730004</v>
      </c>
      <c r="ADS22" s="1">
        <v>124294</v>
      </c>
      <c r="ADT22" s="1">
        <v>57414</v>
      </c>
      <c r="ADU22" s="1">
        <v>225173</v>
      </c>
      <c r="ADV22" s="1">
        <v>136013</v>
      </c>
      <c r="ADW22" s="1">
        <v>0</v>
      </c>
      <c r="ADX22" s="1">
        <v>2090</v>
      </c>
      <c r="ADY22" s="1">
        <v>69310</v>
      </c>
      <c r="ADZ22" s="1">
        <v>17760</v>
      </c>
    </row>
    <row r="23" spans="1:806" ht="14.1">
      <c r="A23" s="139" t="s">
        <v>23</v>
      </c>
      <c r="B23" s="241">
        <f>28873+59039+68703+23199+60091+81129</f>
        <v>321034</v>
      </c>
      <c r="C23" s="242">
        <f>26925+56503+67080+21594+57208+78565</f>
        <v>307875</v>
      </c>
      <c r="D23" s="242">
        <f>1543+1768+1107+1215+2131+1852</f>
        <v>9616</v>
      </c>
      <c r="E23" s="242">
        <f>339+675+433+210+519+524</f>
        <v>2700</v>
      </c>
      <c r="F23" s="243">
        <f>22+88+70+27+5+13+45+78+66+105+139+107</f>
        <v>765</v>
      </c>
      <c r="G23" s="158">
        <v>196319</v>
      </c>
      <c r="H23" s="242">
        <v>191094</v>
      </c>
      <c r="I23" s="242">
        <v>4485</v>
      </c>
      <c r="J23" s="242">
        <v>547</v>
      </c>
      <c r="K23" s="243">
        <v>740</v>
      </c>
      <c r="L23" s="158">
        <v>123622</v>
      </c>
      <c r="M23" s="242">
        <v>119115</v>
      </c>
      <c r="N23" s="242">
        <v>2533</v>
      </c>
      <c r="O23" s="242">
        <v>734</v>
      </c>
      <c r="P23" s="243">
        <v>1974</v>
      </c>
      <c r="Q23" s="242">
        <v>90315</v>
      </c>
      <c r="R23" s="242">
        <v>86427</v>
      </c>
      <c r="S23" s="242">
        <v>1884</v>
      </c>
      <c r="T23" s="242">
        <v>890</v>
      </c>
      <c r="U23" s="243">
        <v>1440</v>
      </c>
      <c r="V23" s="167">
        <v>84648</v>
      </c>
      <c r="W23" s="396">
        <v>81131</v>
      </c>
      <c r="X23" s="396">
        <v>1318</v>
      </c>
      <c r="Y23" s="396">
        <v>1262</v>
      </c>
      <c r="Z23" s="407">
        <v>2199</v>
      </c>
      <c r="AA23" s="396">
        <v>75592</v>
      </c>
      <c r="AB23" s="2">
        <v>71742</v>
      </c>
      <c r="AC23" s="396">
        <v>1037</v>
      </c>
      <c r="AD23" s="396">
        <v>1190</v>
      </c>
      <c r="AE23" s="396">
        <v>2176</v>
      </c>
      <c r="AF23" s="395">
        <v>72402</v>
      </c>
      <c r="AG23" s="396">
        <v>68483</v>
      </c>
      <c r="AH23" s="396">
        <v>1018</v>
      </c>
      <c r="AI23" s="396">
        <v>1345</v>
      </c>
      <c r="AJ23" s="318">
        <v>2003</v>
      </c>
      <c r="AK23" s="674">
        <v>64223</v>
      </c>
      <c r="AL23" s="674">
        <v>61609</v>
      </c>
      <c r="AM23" s="685">
        <v>1162</v>
      </c>
      <c r="AN23" s="685">
        <v>889</v>
      </c>
      <c r="AO23" s="674">
        <v>353</v>
      </c>
      <c r="AP23" s="396">
        <v>58050</v>
      </c>
      <c r="AQ23" s="396">
        <v>54846</v>
      </c>
      <c r="AR23" s="396">
        <v>1124</v>
      </c>
      <c r="AS23" s="396">
        <v>602</v>
      </c>
      <c r="AT23" s="396">
        <v>1196</v>
      </c>
      <c r="AU23" s="395">
        <v>57435</v>
      </c>
      <c r="AV23" s="396">
        <v>54232</v>
      </c>
      <c r="AW23" s="396">
        <v>1543</v>
      </c>
      <c r="AX23" s="396">
        <v>994</v>
      </c>
      <c r="AY23" s="396">
        <v>545</v>
      </c>
      <c r="AZ23" s="1">
        <v>214</v>
      </c>
      <c r="BA23" s="1">
        <v>0</v>
      </c>
      <c r="BB23" s="1">
        <v>0</v>
      </c>
      <c r="BC23" s="1">
        <v>121</v>
      </c>
      <c r="BD23" s="1">
        <v>210</v>
      </c>
      <c r="BE23" s="395">
        <v>58192</v>
      </c>
      <c r="BF23" s="396">
        <v>55148</v>
      </c>
      <c r="BG23" s="396">
        <v>680</v>
      </c>
      <c r="BH23" s="396">
        <v>1078</v>
      </c>
      <c r="BI23" s="396">
        <v>901</v>
      </c>
      <c r="BJ23" s="395">
        <v>50504</v>
      </c>
      <c r="BK23" s="396"/>
      <c r="BL23" s="396"/>
      <c r="BM23" s="396"/>
      <c r="BN23" s="396"/>
      <c r="BO23" s="395">
        <v>53606</v>
      </c>
      <c r="BP23" s="396">
        <v>49830</v>
      </c>
      <c r="BQ23" s="396">
        <v>1592</v>
      </c>
      <c r="BR23" s="396">
        <v>1047</v>
      </c>
      <c r="BS23" s="396">
        <v>1229</v>
      </c>
      <c r="BT23" s="395">
        <v>41029</v>
      </c>
      <c r="BU23" s="396">
        <v>36604</v>
      </c>
      <c r="BV23" s="396">
        <v>597</v>
      </c>
      <c r="BW23" s="396">
        <v>1243</v>
      </c>
      <c r="BX23" s="394">
        <v>941</v>
      </c>
      <c r="BY23" s="1">
        <v>0</v>
      </c>
      <c r="BZ23" s="1">
        <v>0</v>
      </c>
      <c r="CA23" s="1">
        <v>2077</v>
      </c>
      <c r="CB23" s="1">
        <v>456</v>
      </c>
      <c r="CC23" s="241">
        <v>202208</v>
      </c>
      <c r="CD23" s="242">
        <v>194287</v>
      </c>
      <c r="CE23" s="242">
        <v>7250</v>
      </c>
      <c r="CF23" s="242">
        <v>1243</v>
      </c>
      <c r="CG23" s="243">
        <v>671</v>
      </c>
      <c r="CH23" s="158">
        <v>182192</v>
      </c>
      <c r="CI23" s="242">
        <v>174394</v>
      </c>
      <c r="CJ23" s="242">
        <v>5638</v>
      </c>
      <c r="CK23" s="242">
        <v>914</v>
      </c>
      <c r="CL23" s="243">
        <v>2160</v>
      </c>
      <c r="CM23" s="1">
        <v>148410</v>
      </c>
      <c r="CN23" s="242">
        <v>140642</v>
      </c>
      <c r="CO23" s="242">
        <v>4594</v>
      </c>
      <c r="CP23" s="242">
        <v>1764</v>
      </c>
      <c r="CQ23" s="243">
        <v>1838</v>
      </c>
      <c r="CR23" s="158">
        <v>140116</v>
      </c>
      <c r="CS23" s="242">
        <v>133082</v>
      </c>
      <c r="CT23" s="242">
        <v>4408</v>
      </c>
      <c r="CU23" s="242">
        <v>1507</v>
      </c>
      <c r="CV23" s="243">
        <v>2626</v>
      </c>
      <c r="CW23" s="242">
        <v>131821</v>
      </c>
      <c r="CX23" s="242">
        <v>123471</v>
      </c>
      <c r="CY23" s="242">
        <v>4480</v>
      </c>
      <c r="CZ23" s="242">
        <v>1428</v>
      </c>
      <c r="DA23" s="242">
        <v>2913</v>
      </c>
      <c r="DB23" s="242">
        <v>129476</v>
      </c>
      <c r="DC23" s="242">
        <v>121798</v>
      </c>
      <c r="DD23" s="242">
        <v>3989</v>
      </c>
      <c r="DE23" s="242">
        <v>1488</v>
      </c>
      <c r="DF23" s="39">
        <v>2619</v>
      </c>
      <c r="DG23" s="39">
        <v>127823</v>
      </c>
      <c r="DH23" s="39">
        <v>120757</v>
      </c>
      <c r="DI23" s="39">
        <v>4229</v>
      </c>
      <c r="DJ23" s="39">
        <v>1144</v>
      </c>
      <c r="DK23" s="39">
        <v>1509</v>
      </c>
      <c r="DL23" s="39">
        <v>124065</v>
      </c>
      <c r="DM23" s="39">
        <v>117872</v>
      </c>
      <c r="DN23" s="39">
        <v>3806</v>
      </c>
      <c r="DO23" s="39">
        <v>963</v>
      </c>
      <c r="DP23" s="39">
        <v>864</v>
      </c>
      <c r="DQ23" s="39">
        <v>123866</v>
      </c>
      <c r="DR23" s="39">
        <v>114892</v>
      </c>
      <c r="DS23" s="39">
        <v>3872</v>
      </c>
      <c r="DT23" s="39">
        <v>2476</v>
      </c>
      <c r="DU23" s="39">
        <v>2566</v>
      </c>
      <c r="DV23" s="118">
        <v>107069</v>
      </c>
      <c r="DW23" s="39">
        <v>100109</v>
      </c>
      <c r="DX23" s="39">
        <v>3902</v>
      </c>
      <c r="DY23" s="39">
        <v>1139</v>
      </c>
      <c r="DZ23" s="39">
        <v>1564</v>
      </c>
      <c r="EA23" s="118">
        <v>106081</v>
      </c>
      <c r="EB23" s="39"/>
      <c r="EC23" s="39"/>
      <c r="ED23" s="39"/>
      <c r="EE23" s="39"/>
      <c r="EF23" s="118">
        <v>111199</v>
      </c>
      <c r="EG23" s="39">
        <v>106578</v>
      </c>
      <c r="EH23" s="39">
        <v>2078</v>
      </c>
      <c r="EI23" s="39">
        <v>864</v>
      </c>
      <c r="EJ23" s="39">
        <v>1600</v>
      </c>
      <c r="EK23" s="118">
        <v>111199</v>
      </c>
      <c r="EL23" s="39">
        <v>106578</v>
      </c>
      <c r="EM23" s="39">
        <v>2078</v>
      </c>
      <c r="EN23" s="39">
        <v>864</v>
      </c>
      <c r="EO23" s="39">
        <v>1600</v>
      </c>
      <c r="EP23" s="118">
        <v>100439</v>
      </c>
      <c r="EQ23" s="39">
        <v>92923</v>
      </c>
      <c r="ER23" s="39">
        <v>3143</v>
      </c>
      <c r="ES23" s="39">
        <v>1263</v>
      </c>
      <c r="ET23" s="1">
        <v>163</v>
      </c>
      <c r="EU23" s="1">
        <v>0</v>
      </c>
      <c r="EV23" s="1">
        <v>0</v>
      </c>
      <c r="EW23" s="1">
        <v>2689</v>
      </c>
      <c r="EX23" s="1">
        <v>882</v>
      </c>
      <c r="EY23" s="157">
        <v>214978</v>
      </c>
      <c r="EZ23" s="242">
        <v>204212</v>
      </c>
      <c r="FA23" s="242">
        <v>5569</v>
      </c>
      <c r="FB23" s="242">
        <v>2678</v>
      </c>
      <c r="FC23" s="383">
        <f t="shared" si="470"/>
        <v>5197</v>
      </c>
      <c r="FD23" s="379">
        <v>162954</v>
      </c>
      <c r="FE23" s="244">
        <v>254055</v>
      </c>
      <c r="FF23" s="244">
        <v>305540</v>
      </c>
      <c r="FG23" s="244">
        <v>403410</v>
      </c>
      <c r="FH23" s="157">
        <v>642188</v>
      </c>
      <c r="FI23" s="242">
        <v>617080.36500000011</v>
      </c>
      <c r="FJ23" s="242">
        <v>18319.59</v>
      </c>
      <c r="FK23" s="242">
        <v>3242.835</v>
      </c>
      <c r="FL23" s="243">
        <v>3210.915</v>
      </c>
      <c r="FM23" s="158">
        <v>773239</v>
      </c>
      <c r="FN23" s="242">
        <v>746629</v>
      </c>
      <c r="FO23" s="242">
        <v>21519</v>
      </c>
      <c r="FP23" s="242">
        <v>2996</v>
      </c>
      <c r="FQ23" s="243">
        <v>5091</v>
      </c>
      <c r="FR23" s="158">
        <v>927767</v>
      </c>
      <c r="FS23" s="242">
        <v>886385</v>
      </c>
      <c r="FT23" s="242">
        <v>26773</v>
      </c>
      <c r="FU23" s="242">
        <v>4747</v>
      </c>
      <c r="FV23" s="242">
        <v>14609</v>
      </c>
      <c r="FW23" s="245">
        <v>1018506</v>
      </c>
      <c r="FX23" s="242">
        <v>964948</v>
      </c>
      <c r="FY23" s="242">
        <v>34515</v>
      </c>
      <c r="FZ23" s="242">
        <v>8236</v>
      </c>
      <c r="GA23" s="242">
        <v>6472</v>
      </c>
      <c r="GB23" s="241">
        <v>1027797</v>
      </c>
      <c r="GC23" s="242">
        <v>978908</v>
      </c>
      <c r="GD23" s="242">
        <v>31779</v>
      </c>
      <c r="GE23" s="242">
        <v>17110</v>
      </c>
      <c r="GF23" s="242">
        <v>6610</v>
      </c>
      <c r="GG23" s="161">
        <v>1032067</v>
      </c>
      <c r="GH23" s="162">
        <v>981698</v>
      </c>
      <c r="GI23" s="162">
        <v>30712</v>
      </c>
      <c r="GJ23" s="162">
        <v>19657</v>
      </c>
      <c r="GK23" s="162">
        <v>8124</v>
      </c>
      <c r="GL23" s="157">
        <v>1065387</v>
      </c>
      <c r="GM23" s="242">
        <v>1012016</v>
      </c>
      <c r="GN23" s="242">
        <v>32367</v>
      </c>
      <c r="GO23" s="242">
        <v>8181</v>
      </c>
      <c r="GP23" s="242">
        <v>10029</v>
      </c>
      <c r="GQ23" s="157">
        <v>1080072.534</v>
      </c>
      <c r="GR23" s="242">
        <v>1024752.4349999999</v>
      </c>
      <c r="GS23" s="242">
        <v>31559.65</v>
      </c>
      <c r="GT23" s="242">
        <v>9029.3119999999999</v>
      </c>
      <c r="GU23" s="411">
        <f t="shared" si="471"/>
        <v>23760.449000000044</v>
      </c>
      <c r="GV23" s="242">
        <v>1089980</v>
      </c>
      <c r="GW23" s="242">
        <v>1028319</v>
      </c>
      <c r="GX23" s="242">
        <v>31660</v>
      </c>
      <c r="GY23" s="242">
        <v>8925</v>
      </c>
      <c r="GZ23" s="242">
        <v>23074</v>
      </c>
      <c r="HA23" s="242">
        <v>1096625</v>
      </c>
      <c r="HB23" s="242">
        <v>1032155</v>
      </c>
      <c r="HC23" s="242">
        <v>32566</v>
      </c>
      <c r="HD23" s="39">
        <v>9529</v>
      </c>
      <c r="HE23" s="39">
        <v>24116</v>
      </c>
      <c r="HF23" s="39">
        <v>1104304</v>
      </c>
      <c r="HG23" s="39">
        <v>1038114</v>
      </c>
      <c r="HH23" s="39">
        <v>37782</v>
      </c>
      <c r="HI23" s="39">
        <v>10085</v>
      </c>
      <c r="HJ23" s="39">
        <v>16915</v>
      </c>
      <c r="HK23" s="39">
        <v>1118232</v>
      </c>
      <c r="HL23" s="39">
        <v>1043193</v>
      </c>
      <c r="HM23" s="39">
        <v>40706</v>
      </c>
      <c r="HN23" s="39">
        <v>13933</v>
      </c>
      <c r="HO23" s="39">
        <v>19173</v>
      </c>
      <c r="HP23" s="118">
        <v>1110456</v>
      </c>
      <c r="HQ23" s="39">
        <v>1038888</v>
      </c>
      <c r="HR23" s="39">
        <v>40059</v>
      </c>
      <c r="HS23" s="39">
        <v>10482</v>
      </c>
      <c r="HT23" s="39">
        <v>22660</v>
      </c>
      <c r="HU23" s="394">
        <v>9226</v>
      </c>
      <c r="HV23" s="1">
        <v>0</v>
      </c>
      <c r="HW23" s="1">
        <v>0</v>
      </c>
      <c r="HX23" s="1">
        <v>9788</v>
      </c>
      <c r="HY23" s="1">
        <v>3646</v>
      </c>
      <c r="HZ23" s="118">
        <v>1114089</v>
      </c>
      <c r="IA23" s="39">
        <v>1045115</v>
      </c>
      <c r="IB23" s="39">
        <v>41338</v>
      </c>
      <c r="IC23" s="39">
        <v>10111</v>
      </c>
      <c r="ID23" s="39">
        <v>15556</v>
      </c>
      <c r="IE23" s="393">
        <v>1124196</v>
      </c>
      <c r="IF23" s="394"/>
      <c r="IG23" s="394"/>
      <c r="IH23" s="394"/>
      <c r="II23" s="394"/>
      <c r="IJ23" s="393">
        <v>1116281</v>
      </c>
      <c r="IK23" s="394">
        <v>1038266</v>
      </c>
      <c r="IL23" s="394">
        <v>43046</v>
      </c>
      <c r="IM23" s="394">
        <v>12195</v>
      </c>
      <c r="IN23" s="394">
        <v>21236</v>
      </c>
      <c r="IO23" s="393">
        <v>1123971</v>
      </c>
      <c r="IP23" s="394">
        <v>1032717</v>
      </c>
      <c r="IQ23" s="394">
        <v>33830</v>
      </c>
      <c r="IR23" s="394">
        <v>12360</v>
      </c>
      <c r="IS23" s="394">
        <v>48826</v>
      </c>
      <c r="IT23" s="1">
        <v>9242</v>
      </c>
      <c r="IU23" s="1">
        <v>0</v>
      </c>
      <c r="IV23" s="1">
        <v>0</v>
      </c>
      <c r="IW23" s="1">
        <v>39584</v>
      </c>
      <c r="IX23" s="1">
        <v>0</v>
      </c>
      <c r="IY23" s="400">
        <f>55360+59022</f>
        <v>114382</v>
      </c>
      <c r="IZ23" s="396">
        <f>56243+52926</f>
        <v>109169</v>
      </c>
      <c r="JA23" s="396">
        <f>1892+2071</f>
        <v>3963</v>
      </c>
      <c r="JB23" s="396">
        <f>382+305</f>
        <v>687</v>
      </c>
      <c r="JC23" s="407">
        <f>64+124+54+219</f>
        <v>461</v>
      </c>
      <c r="JD23" s="167">
        <v>199598</v>
      </c>
      <c r="JE23" s="396">
        <v>191753</v>
      </c>
      <c r="JF23" s="396">
        <v>6804</v>
      </c>
      <c r="JG23" s="396">
        <v>986</v>
      </c>
      <c r="JH23" s="407">
        <v>1041</v>
      </c>
      <c r="JI23" s="167">
        <v>258473</v>
      </c>
      <c r="JJ23" s="396">
        <v>245563</v>
      </c>
      <c r="JK23" s="396">
        <v>9050</v>
      </c>
      <c r="JL23" s="396">
        <v>1381</v>
      </c>
      <c r="JM23" s="407">
        <v>3860</v>
      </c>
      <c r="JN23" s="396">
        <v>280069</v>
      </c>
      <c r="JO23" s="396">
        <v>262914</v>
      </c>
      <c r="JP23" s="396">
        <v>11004</v>
      </c>
      <c r="JQ23" s="396">
        <v>2220</v>
      </c>
      <c r="JR23" s="396">
        <v>4647</v>
      </c>
      <c r="JS23" s="167">
        <v>313726</v>
      </c>
      <c r="JT23" s="396">
        <v>295218</v>
      </c>
      <c r="JU23" s="396">
        <v>11695</v>
      </c>
      <c r="JV23" s="396">
        <v>3161</v>
      </c>
      <c r="JW23" s="407">
        <v>6813</v>
      </c>
      <c r="JX23" s="167">
        <v>314697.39299999998</v>
      </c>
      <c r="JY23" s="396">
        <v>296476.995</v>
      </c>
      <c r="JZ23" s="396">
        <v>11175.829</v>
      </c>
      <c r="KA23" s="396">
        <v>3368.4480000000003</v>
      </c>
      <c r="KB23" s="407">
        <v>7044.5689999999868</v>
      </c>
      <c r="KC23" s="396">
        <v>319146</v>
      </c>
      <c r="KD23" s="396">
        <v>297213</v>
      </c>
      <c r="KE23" s="396">
        <v>12205</v>
      </c>
      <c r="KF23" s="396">
        <v>3227</v>
      </c>
      <c r="KG23" s="631">
        <v>7337</v>
      </c>
      <c r="KH23" s="486">
        <v>324874</v>
      </c>
      <c r="KI23" s="486">
        <v>302438</v>
      </c>
      <c r="KJ23" s="486">
        <v>11866</v>
      </c>
      <c r="KK23" s="486">
        <v>3218</v>
      </c>
      <c r="KL23" s="486">
        <v>7881</v>
      </c>
      <c r="KM23" s="486">
        <v>323129</v>
      </c>
      <c r="KN23" s="486">
        <v>300049</v>
      </c>
      <c r="KO23" s="486">
        <v>14215</v>
      </c>
      <c r="KP23" s="486">
        <v>3071</v>
      </c>
      <c r="KQ23" s="486">
        <v>4995</v>
      </c>
      <c r="KR23" s="486">
        <v>334528</v>
      </c>
      <c r="KS23" s="486">
        <v>307510</v>
      </c>
      <c r="KT23" s="486">
        <v>16520</v>
      </c>
      <c r="KU23" s="486">
        <v>5301</v>
      </c>
      <c r="KV23" s="486">
        <v>4958</v>
      </c>
      <c r="KW23" s="632">
        <v>329471</v>
      </c>
      <c r="KX23" s="486">
        <v>306486</v>
      </c>
      <c r="KY23" s="486">
        <v>13641</v>
      </c>
      <c r="KZ23" s="486">
        <v>3945</v>
      </c>
      <c r="LA23" s="486">
        <v>5795</v>
      </c>
      <c r="LB23" s="654">
        <v>328981</v>
      </c>
      <c r="LC23" s="655">
        <v>306236</v>
      </c>
      <c r="LD23" s="655">
        <v>14694</v>
      </c>
      <c r="LE23" s="655">
        <v>3817</v>
      </c>
      <c r="LF23" s="655">
        <v>3569</v>
      </c>
      <c r="LG23" s="654">
        <v>342754</v>
      </c>
      <c r="LH23" s="655"/>
      <c r="LI23" s="486"/>
      <c r="LJ23" s="486"/>
      <c r="LK23" s="486"/>
      <c r="LL23" s="654">
        <v>331144</v>
      </c>
      <c r="LM23" s="655">
        <v>303007</v>
      </c>
      <c r="LN23" s="655">
        <v>16805</v>
      </c>
      <c r="LO23" s="655">
        <v>4782</v>
      </c>
      <c r="LP23" s="655">
        <v>5918</v>
      </c>
      <c r="LQ23" s="654">
        <v>323472</v>
      </c>
      <c r="LR23" s="655">
        <v>293268</v>
      </c>
      <c r="LS23" s="655">
        <v>14304</v>
      </c>
      <c r="LT23" s="655">
        <v>4171</v>
      </c>
      <c r="LU23" s="655">
        <v>13947</v>
      </c>
      <c r="LV23" s="1">
        <v>1004</v>
      </c>
      <c r="LW23" s="1">
        <v>0</v>
      </c>
      <c r="LX23" s="1">
        <v>0</v>
      </c>
      <c r="LY23" s="1">
        <v>11629</v>
      </c>
      <c r="LZ23" s="1">
        <v>1314</v>
      </c>
      <c r="MA23" s="157">
        <v>44509</v>
      </c>
      <c r="MB23" s="242">
        <v>42964</v>
      </c>
      <c r="MC23" s="242">
        <v>1242</v>
      </c>
      <c r="MD23" s="242">
        <v>231</v>
      </c>
      <c r="ME23" s="243">
        <v>303</v>
      </c>
      <c r="MF23" s="158">
        <v>53448</v>
      </c>
      <c r="MG23" s="242">
        <v>51023</v>
      </c>
      <c r="MH23" s="242">
        <v>1541</v>
      </c>
      <c r="MI23" s="242">
        <v>245</v>
      </c>
      <c r="MJ23" s="243">
        <v>884</v>
      </c>
      <c r="MK23" s="242">
        <v>72063</v>
      </c>
      <c r="ML23" s="242">
        <v>68192</v>
      </c>
      <c r="MM23" s="242">
        <v>2377</v>
      </c>
      <c r="MN23" s="242">
        <v>458</v>
      </c>
      <c r="MO23" s="242">
        <v>1246</v>
      </c>
      <c r="MP23" s="241">
        <v>75683</v>
      </c>
      <c r="MQ23" s="242">
        <v>71583</v>
      </c>
      <c r="MR23" s="242">
        <v>2443</v>
      </c>
      <c r="MS23" s="242">
        <v>742</v>
      </c>
      <c r="MT23" s="242">
        <v>1657</v>
      </c>
      <c r="MU23" s="241"/>
      <c r="MV23" s="242"/>
      <c r="MW23" s="242"/>
      <c r="MX23" s="242"/>
      <c r="MY23" s="243"/>
      <c r="MZ23" s="241">
        <v>80373</v>
      </c>
      <c r="NA23" s="242">
        <v>76015</v>
      </c>
      <c r="NB23" s="242">
        <v>2067</v>
      </c>
      <c r="NC23" s="242">
        <v>756</v>
      </c>
      <c r="ND23" s="243">
        <v>1762</v>
      </c>
      <c r="NE23" s="39">
        <v>84486</v>
      </c>
      <c r="NF23" s="39">
        <v>80123</v>
      </c>
      <c r="NG23" s="39">
        <v>1848</v>
      </c>
      <c r="NH23" s="39">
        <v>724</v>
      </c>
      <c r="NI23" s="39">
        <v>1913</v>
      </c>
      <c r="NJ23" s="39">
        <v>84402</v>
      </c>
      <c r="NK23" s="39">
        <v>79826</v>
      </c>
      <c r="NL23" s="39">
        <v>2422</v>
      </c>
      <c r="NM23" s="39">
        <v>1197</v>
      </c>
      <c r="NN23" s="39">
        <v>7995</v>
      </c>
      <c r="NO23" s="39">
        <v>90019</v>
      </c>
      <c r="NP23" s="39">
        <v>84264</v>
      </c>
      <c r="NQ23" s="39">
        <v>3576</v>
      </c>
      <c r="NR23" s="39">
        <v>749</v>
      </c>
      <c r="NS23" s="39">
        <v>1220</v>
      </c>
      <c r="NT23" s="39">
        <v>95794</v>
      </c>
      <c r="NU23" s="39">
        <v>90972</v>
      </c>
      <c r="NV23" s="39">
        <v>2807</v>
      </c>
      <c r="NW23" s="39">
        <v>797</v>
      </c>
      <c r="NX23" s="39">
        <v>1265</v>
      </c>
      <c r="NY23" s="118">
        <v>90494</v>
      </c>
      <c r="NZ23" s="39">
        <v>84532</v>
      </c>
      <c r="OA23" s="39">
        <v>4009</v>
      </c>
      <c r="OB23" s="39">
        <v>780</v>
      </c>
      <c r="OC23" s="39">
        <v>1020</v>
      </c>
      <c r="OD23" s="118">
        <v>96253</v>
      </c>
      <c r="OE23" s="39"/>
      <c r="OF23" s="39"/>
      <c r="OG23" s="39"/>
      <c r="OH23" s="39"/>
      <c r="OI23" s="118">
        <v>101267</v>
      </c>
      <c r="OJ23" s="39">
        <v>94435</v>
      </c>
      <c r="OK23" s="39">
        <v>3756</v>
      </c>
      <c r="OL23" s="39">
        <v>1240</v>
      </c>
      <c r="OM23" s="39">
        <v>1637</v>
      </c>
      <c r="ON23" s="118">
        <v>100721</v>
      </c>
      <c r="OO23" s="39">
        <v>92453</v>
      </c>
      <c r="OP23" s="39">
        <v>3684</v>
      </c>
      <c r="OQ23" s="39">
        <v>1511</v>
      </c>
      <c r="OR23" s="39">
        <v>402</v>
      </c>
      <c r="OS23" s="1">
        <v>390</v>
      </c>
      <c r="OT23" s="1">
        <v>0</v>
      </c>
      <c r="OU23" s="1">
        <v>0</v>
      </c>
      <c r="OV23" s="1">
        <v>3322</v>
      </c>
      <c r="OW23" s="1">
        <v>402</v>
      </c>
      <c r="OX23" s="402">
        <f t="shared" si="421"/>
        <v>138999</v>
      </c>
      <c r="OY23" s="382">
        <f t="shared" si="422"/>
        <v>127760</v>
      </c>
      <c r="OZ23" s="382">
        <f t="shared" si="423"/>
        <v>3594</v>
      </c>
      <c r="PA23" s="382">
        <f t="shared" si="424"/>
        <v>9996</v>
      </c>
      <c r="PB23" s="382">
        <f t="shared" si="425"/>
        <v>1291</v>
      </c>
      <c r="PC23" s="402">
        <f t="shared" si="426"/>
        <v>236408</v>
      </c>
      <c r="PD23" s="382">
        <f t="shared" si="427"/>
        <v>224029</v>
      </c>
      <c r="PE23" s="382">
        <f t="shared" si="428"/>
        <v>5565</v>
      </c>
      <c r="PF23" s="382">
        <f t="shared" si="429"/>
        <v>1502</v>
      </c>
      <c r="PG23" s="382">
        <f t="shared" si="430"/>
        <v>6814</v>
      </c>
      <c r="PH23" s="241">
        <v>252882</v>
      </c>
      <c r="PI23" s="242">
        <v>239225</v>
      </c>
      <c r="PJ23" s="242">
        <v>6568</v>
      </c>
      <c r="PK23" s="242">
        <v>2485</v>
      </c>
      <c r="PL23" s="242">
        <v>7089</v>
      </c>
      <c r="PM23" s="242">
        <v>284028</v>
      </c>
      <c r="PN23" s="242">
        <v>266729</v>
      </c>
      <c r="PO23" s="242">
        <v>7567</v>
      </c>
      <c r="PP23" s="242">
        <v>2267</v>
      </c>
      <c r="PQ23" s="242">
        <v>8127</v>
      </c>
      <c r="PR23" s="395"/>
      <c r="PS23" s="396"/>
      <c r="PT23" s="396"/>
      <c r="PU23" s="396"/>
      <c r="PV23" s="396"/>
      <c r="PW23" s="396">
        <v>317964</v>
      </c>
      <c r="PX23" s="396">
        <v>298070</v>
      </c>
      <c r="PY23" s="396">
        <v>7585</v>
      </c>
      <c r="PZ23" s="396">
        <v>3415</v>
      </c>
      <c r="QA23" s="407">
        <v>9782</v>
      </c>
      <c r="QB23" s="396">
        <v>329158</v>
      </c>
      <c r="QC23" s="396">
        <v>308319</v>
      </c>
      <c r="QD23" s="396">
        <v>7630</v>
      </c>
      <c r="QE23" s="396">
        <v>3531</v>
      </c>
      <c r="QF23" s="396">
        <v>10414</v>
      </c>
      <c r="QG23" s="396">
        <v>332659</v>
      </c>
      <c r="QH23" s="396">
        <v>310121</v>
      </c>
      <c r="QI23" s="396">
        <v>10296</v>
      </c>
      <c r="QJ23" s="396">
        <v>3911</v>
      </c>
      <c r="QK23" s="396">
        <v>7995</v>
      </c>
      <c r="QL23" s="395">
        <v>344433</v>
      </c>
      <c r="QM23" s="396">
        <v>317883</v>
      </c>
      <c r="QN23" s="396">
        <v>9228</v>
      </c>
      <c r="QO23" s="396">
        <v>4909</v>
      </c>
      <c r="QP23" s="396">
        <v>11347</v>
      </c>
      <c r="QQ23" s="395">
        <v>364551</v>
      </c>
      <c r="QR23" s="396">
        <v>338642</v>
      </c>
      <c r="QS23" s="396">
        <v>11521</v>
      </c>
      <c r="QT23" s="396">
        <v>3179</v>
      </c>
      <c r="QU23" s="396">
        <v>11664</v>
      </c>
      <c r="QV23" s="395">
        <v>348950</v>
      </c>
      <c r="QW23" s="396">
        <v>324664</v>
      </c>
      <c r="QX23" s="396">
        <v>11101</v>
      </c>
      <c r="QY23" s="396">
        <v>3789</v>
      </c>
      <c r="QZ23" s="396">
        <v>8527</v>
      </c>
      <c r="RA23" s="395">
        <v>369356</v>
      </c>
      <c r="RB23" s="396"/>
      <c r="RC23" s="396"/>
      <c r="RD23" s="396"/>
      <c r="RE23" s="396"/>
      <c r="RF23" s="396">
        <v>370973</v>
      </c>
      <c r="RG23" s="396">
        <v>343948</v>
      </c>
      <c r="RH23" s="396">
        <v>10178</v>
      </c>
      <c r="RI23" s="396">
        <v>4420</v>
      </c>
      <c r="RJ23" s="396">
        <v>12047</v>
      </c>
      <c r="RK23" s="396">
        <v>405909</v>
      </c>
      <c r="RL23" s="396">
        <v>374309</v>
      </c>
      <c r="RM23" s="396">
        <v>9480</v>
      </c>
      <c r="RN23" s="396">
        <v>5075</v>
      </c>
      <c r="RO23" s="396">
        <v>19442</v>
      </c>
      <c r="RP23" s="1">
        <v>6744</v>
      </c>
      <c r="RQ23" s="1">
        <v>0</v>
      </c>
      <c r="RR23" s="1">
        <v>0</v>
      </c>
      <c r="RS23" s="1">
        <v>12698</v>
      </c>
      <c r="RT23" s="1">
        <v>0</v>
      </c>
      <c r="RU23" s="157">
        <v>88136</v>
      </c>
      <c r="RV23" s="158">
        <v>84796</v>
      </c>
      <c r="RW23" s="158">
        <v>2352</v>
      </c>
      <c r="RX23" s="158">
        <v>389</v>
      </c>
      <c r="RY23" s="158">
        <v>988</v>
      </c>
      <c r="RZ23" s="157">
        <v>109651</v>
      </c>
      <c r="SA23" s="242">
        <v>104428</v>
      </c>
      <c r="SB23" s="242">
        <v>2585</v>
      </c>
      <c r="SC23" s="242">
        <v>780</v>
      </c>
      <c r="SD23" s="242">
        <v>2638</v>
      </c>
      <c r="SE23" s="241">
        <v>128628</v>
      </c>
      <c r="SF23" s="242">
        <v>121776</v>
      </c>
      <c r="SG23" s="242">
        <v>3628</v>
      </c>
      <c r="SH23" s="242">
        <v>902</v>
      </c>
      <c r="SI23" s="242">
        <v>2564</v>
      </c>
      <c r="SJ23" s="241">
        <v>136100</v>
      </c>
      <c r="SK23" s="242">
        <v>129653</v>
      </c>
      <c r="SL23" s="242">
        <v>3178</v>
      </c>
      <c r="SM23" s="242">
        <v>1137</v>
      </c>
      <c r="SN23" s="242">
        <v>3269</v>
      </c>
      <c r="SO23" s="241">
        <v>143750.66099999999</v>
      </c>
      <c r="SP23" s="242">
        <v>136551.64499999999</v>
      </c>
      <c r="SQ23" s="242">
        <v>3527.2550000000001</v>
      </c>
      <c r="SR23" s="242">
        <v>1321.6480000000001</v>
      </c>
      <c r="SS23" s="242">
        <v>3671.7610000000032</v>
      </c>
      <c r="ST23" s="241">
        <v>147385</v>
      </c>
      <c r="SU23" s="242">
        <v>138800</v>
      </c>
      <c r="SV23" s="242">
        <v>3594</v>
      </c>
      <c r="SW23" s="242">
        <v>1660</v>
      </c>
      <c r="SX23" s="242">
        <v>3688</v>
      </c>
      <c r="SY23" s="242">
        <v>150542</v>
      </c>
      <c r="SZ23" s="242">
        <v>141638</v>
      </c>
      <c r="TA23" s="242">
        <v>3654</v>
      </c>
      <c r="TB23" s="242">
        <v>1583</v>
      </c>
      <c r="TC23" s="242">
        <v>3857</v>
      </c>
      <c r="TD23" s="242">
        <v>152434</v>
      </c>
      <c r="TE23" s="242">
        <v>141728</v>
      </c>
      <c r="TF23" s="242">
        <v>5368</v>
      </c>
      <c r="TG23" s="242">
        <v>1661</v>
      </c>
      <c r="TH23" s="242">
        <v>3564</v>
      </c>
      <c r="TI23" s="242">
        <v>152256</v>
      </c>
      <c r="TJ23" s="242">
        <v>142491</v>
      </c>
      <c r="TK23" s="242">
        <v>3248</v>
      </c>
      <c r="TL23" s="242">
        <v>2109</v>
      </c>
      <c r="TM23" s="242">
        <v>4238</v>
      </c>
      <c r="TN23" s="242">
        <v>162243</v>
      </c>
      <c r="TO23" s="242">
        <v>150650</v>
      </c>
      <c r="TP23" s="242">
        <v>5303</v>
      </c>
      <c r="TQ23" s="242">
        <v>1205</v>
      </c>
      <c r="TR23" s="242">
        <v>5286</v>
      </c>
      <c r="TS23" s="241">
        <v>156378</v>
      </c>
      <c r="TT23" s="242">
        <v>145702</v>
      </c>
      <c r="TU23" s="242">
        <v>4478</v>
      </c>
      <c r="TV23" s="242">
        <v>2057</v>
      </c>
      <c r="TW23" s="242">
        <v>3925</v>
      </c>
      <c r="TX23" s="241">
        <v>163614</v>
      </c>
      <c r="TY23" s="242"/>
      <c r="TZ23" s="242"/>
      <c r="UA23" s="242"/>
      <c r="UB23" s="242"/>
      <c r="UC23" s="241">
        <v>161686</v>
      </c>
      <c r="UD23" s="242">
        <v>151178</v>
      </c>
      <c r="UE23" s="242">
        <v>3780</v>
      </c>
      <c r="UF23" s="242">
        <v>1749</v>
      </c>
      <c r="UG23" s="242">
        <v>5082</v>
      </c>
      <c r="UH23" s="241">
        <v>179376</v>
      </c>
      <c r="UI23" s="242">
        <v>166946</v>
      </c>
      <c r="UJ23" s="242">
        <v>2729</v>
      </c>
      <c r="UK23" s="242">
        <v>2721</v>
      </c>
      <c r="UL23" s="242">
        <v>9368</v>
      </c>
      <c r="UM23" s="1">
        <v>2607</v>
      </c>
      <c r="UN23" s="1">
        <v>0</v>
      </c>
      <c r="UO23" s="1">
        <v>0</v>
      </c>
      <c r="UP23" s="1">
        <v>5795</v>
      </c>
      <c r="UQ23" s="1">
        <v>0</v>
      </c>
      <c r="UR23" s="591">
        <f t="shared" si="431"/>
        <v>50264</v>
      </c>
      <c r="US23" s="162">
        <v>28570</v>
      </c>
      <c r="UT23" s="162">
        <v>21694</v>
      </c>
      <c r="UU23" s="591">
        <f t="shared" si="432"/>
        <v>2059</v>
      </c>
      <c r="UV23" s="162">
        <v>875</v>
      </c>
      <c r="UW23" s="162">
        <v>1184</v>
      </c>
      <c r="UX23" s="161">
        <v>65575</v>
      </c>
      <c r="UY23" s="591">
        <f t="shared" si="433"/>
        <v>36364</v>
      </c>
      <c r="UZ23" s="591">
        <f t="shared" si="434"/>
        <v>29211</v>
      </c>
      <c r="VA23" s="591">
        <f t="shared" si="435"/>
        <v>63407</v>
      </c>
      <c r="VB23" s="162">
        <v>35395</v>
      </c>
      <c r="VC23" s="162">
        <v>28012</v>
      </c>
      <c r="VD23" s="591">
        <f t="shared" si="436"/>
        <v>1765</v>
      </c>
      <c r="VE23" s="162">
        <v>713</v>
      </c>
      <c r="VF23" s="162">
        <v>1052</v>
      </c>
      <c r="VG23" s="591">
        <f t="shared" si="437"/>
        <v>403</v>
      </c>
      <c r="VH23" s="162">
        <v>256</v>
      </c>
      <c r="VI23" s="162">
        <v>147</v>
      </c>
      <c r="VJ23" s="161">
        <v>119488</v>
      </c>
      <c r="VK23" s="591">
        <f t="shared" si="438"/>
        <v>66078</v>
      </c>
      <c r="VL23" s="591">
        <f t="shared" si="439"/>
        <v>53410</v>
      </c>
      <c r="VM23" s="242">
        <f>62794+50630</f>
        <v>113424</v>
      </c>
      <c r="VN23" s="162">
        <v>62794</v>
      </c>
      <c r="VO23" s="162">
        <v>50630</v>
      </c>
      <c r="VP23" s="162">
        <v>3284</v>
      </c>
      <c r="VQ23" s="162">
        <v>2780</v>
      </c>
      <c r="VR23" s="242">
        <f>1443+1799</f>
        <v>3242</v>
      </c>
      <c r="VS23" s="162">
        <v>1443</v>
      </c>
      <c r="VT23" s="162">
        <v>1799</v>
      </c>
      <c r="VU23" s="242">
        <f>543+275</f>
        <v>818</v>
      </c>
      <c r="VV23" s="162">
        <v>543</v>
      </c>
      <c r="VW23" s="162">
        <v>275</v>
      </c>
      <c r="VX23" s="246">
        <f t="shared" si="440"/>
        <v>2004</v>
      </c>
      <c r="VY23" s="246">
        <f t="shared" si="441"/>
        <v>1298</v>
      </c>
      <c r="VZ23" s="246">
        <f t="shared" si="442"/>
        <v>706</v>
      </c>
      <c r="WA23" s="247">
        <f t="shared" si="443"/>
        <v>94</v>
      </c>
      <c r="WB23" s="247">
        <f t="shared" si="444"/>
        <v>72</v>
      </c>
      <c r="WC23" s="247">
        <f t="shared" si="445"/>
        <v>22</v>
      </c>
      <c r="WD23" s="162">
        <v>1910</v>
      </c>
      <c r="WE23" s="162">
        <v>1226</v>
      </c>
      <c r="WF23" s="162">
        <v>684</v>
      </c>
      <c r="WG23" s="163">
        <f t="shared" si="446"/>
        <v>94490</v>
      </c>
      <c r="WH23" s="591">
        <f t="shared" si="447"/>
        <v>75430</v>
      </c>
      <c r="WI23" s="591">
        <f t="shared" si="448"/>
        <v>69088</v>
      </c>
      <c r="WJ23" s="164">
        <f t="shared" si="449"/>
        <v>84796</v>
      </c>
      <c r="WK23" s="165">
        <f t="shared" si="450"/>
        <v>137468</v>
      </c>
      <c r="WL23" s="162">
        <v>71807</v>
      </c>
      <c r="WM23" s="162">
        <v>65661</v>
      </c>
      <c r="WN23" s="162">
        <v>3623</v>
      </c>
      <c r="WO23" s="162">
        <v>3427</v>
      </c>
      <c r="WP23" s="164">
        <f t="shared" si="451"/>
        <v>2352</v>
      </c>
      <c r="WQ23" s="165">
        <f t="shared" si="452"/>
        <v>3600</v>
      </c>
      <c r="WR23" s="162">
        <v>1711</v>
      </c>
      <c r="WS23" s="162">
        <v>1889</v>
      </c>
      <c r="WT23" s="164">
        <f t="shared" si="453"/>
        <v>750</v>
      </c>
      <c r="WU23" s="162">
        <v>380</v>
      </c>
      <c r="WV23" s="162">
        <v>370</v>
      </c>
      <c r="WW23" s="166">
        <f t="shared" si="454"/>
        <v>988</v>
      </c>
      <c r="WX23" s="248">
        <f t="shared" si="455"/>
        <v>1532</v>
      </c>
      <c r="WY23" s="248">
        <f t="shared" si="456"/>
        <v>1168</v>
      </c>
      <c r="WZ23" s="249">
        <f t="shared" si="457"/>
        <v>14</v>
      </c>
      <c r="XA23" s="249">
        <f t="shared" si="458"/>
        <v>0</v>
      </c>
      <c r="XB23" s="249">
        <f t="shared" si="459"/>
        <v>14</v>
      </c>
      <c r="XC23" s="592">
        <f t="shared" si="460"/>
        <v>2686</v>
      </c>
      <c r="XD23" s="592">
        <f t="shared" si="461"/>
        <v>1532</v>
      </c>
      <c r="XE23" s="592">
        <f t="shared" si="462"/>
        <v>1154</v>
      </c>
      <c r="XF23" s="162">
        <v>69</v>
      </c>
      <c r="XG23" s="162">
        <v>51</v>
      </c>
      <c r="XH23" s="162">
        <v>1463</v>
      </c>
      <c r="XI23" s="162">
        <v>1103</v>
      </c>
      <c r="XJ23" s="593">
        <v>182960</v>
      </c>
      <c r="XK23" s="162">
        <v>92209</v>
      </c>
      <c r="XL23" s="162">
        <v>90751</v>
      </c>
      <c r="XM23" s="167">
        <f t="shared" si="463"/>
        <v>173006</v>
      </c>
      <c r="XN23" s="167">
        <v>87147</v>
      </c>
      <c r="XO23" s="167">
        <v>85859</v>
      </c>
      <c r="XP23" s="168">
        <f t="shared" si="464"/>
        <v>172046</v>
      </c>
      <c r="XQ23" s="162">
        <v>86651</v>
      </c>
      <c r="XR23" s="162">
        <v>85395</v>
      </c>
      <c r="XS23" s="167">
        <f t="shared" si="465"/>
        <v>4024</v>
      </c>
      <c r="XT23" s="162">
        <v>1869</v>
      </c>
      <c r="XU23" s="162">
        <v>2155</v>
      </c>
      <c r="XV23" s="167">
        <f t="shared" si="466"/>
        <v>1257</v>
      </c>
      <c r="XW23" s="162">
        <v>705</v>
      </c>
      <c r="XX23" s="162">
        <v>552</v>
      </c>
      <c r="XY23" s="168">
        <f t="shared" si="467"/>
        <v>5930</v>
      </c>
      <c r="XZ23" s="168">
        <f t="shared" si="468"/>
        <v>3193</v>
      </c>
      <c r="YA23" s="168">
        <f t="shared" si="469"/>
        <v>2737</v>
      </c>
      <c r="YB23" s="594">
        <v>211965</v>
      </c>
      <c r="YC23" s="162">
        <v>198537</v>
      </c>
      <c r="YD23" s="162">
        <v>5190</v>
      </c>
      <c r="YE23" s="162">
        <v>1809</v>
      </c>
      <c r="YF23" s="167">
        <v>6881</v>
      </c>
      <c r="YG23" s="241">
        <v>214524</v>
      </c>
      <c r="YH23" s="242">
        <v>202876</v>
      </c>
      <c r="YI23" s="242">
        <v>5283</v>
      </c>
      <c r="YJ23" s="242">
        <v>6365</v>
      </c>
      <c r="YK23" s="242">
        <v>1709</v>
      </c>
      <c r="YL23" s="241">
        <v>217052</v>
      </c>
      <c r="YM23" s="242">
        <v>205157</v>
      </c>
      <c r="YN23" s="242">
        <v>4855</v>
      </c>
      <c r="YO23" s="242">
        <v>7040</v>
      </c>
      <c r="YP23" s="242">
        <v>1874</v>
      </c>
      <c r="YQ23" s="241">
        <v>222752</v>
      </c>
      <c r="YR23" s="242">
        <v>210554</v>
      </c>
      <c r="YS23" s="242">
        <v>5062</v>
      </c>
      <c r="YT23" s="242">
        <v>7136</v>
      </c>
      <c r="YU23" s="242">
        <v>2157</v>
      </c>
      <c r="YV23" s="157">
        <v>231814.12900000002</v>
      </c>
      <c r="YW23" s="242">
        <v>217744.51500000001</v>
      </c>
      <c r="YX23" s="242">
        <v>5420.8339999999998</v>
      </c>
      <c r="YY23" s="242">
        <v>2479.5520000000001</v>
      </c>
      <c r="YZ23" s="242">
        <v>8648.7800000000025</v>
      </c>
      <c r="ZA23" s="242">
        <v>237591</v>
      </c>
      <c r="ZB23" s="242">
        <v>222055</v>
      </c>
      <c r="ZC23" s="242">
        <v>5518</v>
      </c>
      <c r="ZD23" s="242">
        <v>2659</v>
      </c>
      <c r="ZE23" s="1">
        <v>8020</v>
      </c>
      <c r="ZF23" s="1">
        <v>244672</v>
      </c>
      <c r="ZG23" s="1">
        <v>228196</v>
      </c>
      <c r="ZH23" s="1">
        <v>5782</v>
      </c>
      <c r="ZI23" s="1">
        <v>2807</v>
      </c>
      <c r="ZJ23" s="1">
        <v>8501</v>
      </c>
      <c r="ZK23" s="1">
        <v>248257</v>
      </c>
      <c r="ZL23" s="1">
        <v>230295</v>
      </c>
      <c r="ZM23" s="1">
        <v>7874</v>
      </c>
      <c r="ZN23" s="1">
        <v>2714</v>
      </c>
      <c r="ZO23" s="1">
        <v>7011</v>
      </c>
      <c r="ZP23" s="1">
        <v>254414</v>
      </c>
      <c r="ZQ23" s="1">
        <v>233619</v>
      </c>
      <c r="ZR23" s="1">
        <v>5652</v>
      </c>
      <c r="ZS23" s="1">
        <v>4160</v>
      </c>
      <c r="ZT23" s="1">
        <v>10127</v>
      </c>
      <c r="ZU23" s="1">
        <v>268757</v>
      </c>
      <c r="ZV23" s="1">
        <v>247670</v>
      </c>
      <c r="ZW23" s="1">
        <v>8714</v>
      </c>
      <c r="ZX23" s="1">
        <v>2382</v>
      </c>
      <c r="ZY23" s="1">
        <v>10399</v>
      </c>
      <c r="ZZ23" s="394">
        <v>6377</v>
      </c>
      <c r="AAA23" s="1">
        <v>0</v>
      </c>
      <c r="AAB23" s="1">
        <v>0</v>
      </c>
      <c r="AAC23" s="1">
        <v>2869</v>
      </c>
      <c r="AAD23" s="1">
        <v>1153</v>
      </c>
      <c r="AAE23" s="50">
        <v>258456</v>
      </c>
      <c r="AAF23" s="1">
        <v>240132</v>
      </c>
      <c r="AAG23" s="1">
        <v>7092</v>
      </c>
      <c r="AAH23" s="1">
        <v>3009</v>
      </c>
      <c r="AAI23" s="1">
        <v>7507</v>
      </c>
      <c r="AAJ23" s="50">
        <v>273103</v>
      </c>
      <c r="AAK23" s="1"/>
      <c r="AAL23" s="1"/>
      <c r="AAM23" s="1"/>
      <c r="AAN23" s="1"/>
      <c r="AAO23" s="68">
        <v>269706</v>
      </c>
      <c r="AAP23" s="37">
        <v>249513</v>
      </c>
      <c r="AAQ23" s="37">
        <v>6422</v>
      </c>
      <c r="AAR23" s="37">
        <v>3180</v>
      </c>
      <c r="AAS23" s="37">
        <v>10410</v>
      </c>
      <c r="AAT23" s="68">
        <v>305188</v>
      </c>
      <c r="AAU23" s="37">
        <v>281856</v>
      </c>
      <c r="AAV23" s="37">
        <v>5796</v>
      </c>
      <c r="AAW23" s="37">
        <v>3564</v>
      </c>
      <c r="AAX23" s="37">
        <v>15730</v>
      </c>
      <c r="AAY23" s="1">
        <v>6354</v>
      </c>
      <c r="AAZ23" s="1">
        <v>0</v>
      </c>
      <c r="ABA23" s="1">
        <v>0</v>
      </c>
      <c r="ABB23" s="1">
        <v>9376</v>
      </c>
      <c r="ABC23" s="1">
        <v>0</v>
      </c>
      <c r="ABD23" s="157">
        <v>73309</v>
      </c>
      <c r="ABE23" s="242">
        <v>68578</v>
      </c>
      <c r="ABF23" s="242">
        <v>1439</v>
      </c>
      <c r="ABG23" s="242">
        <v>477</v>
      </c>
      <c r="ABH23" s="242">
        <v>3292</v>
      </c>
      <c r="ABI23" s="241">
        <v>83337</v>
      </c>
      <c r="ABJ23" s="242">
        <v>76761</v>
      </c>
      <c r="ABK23" s="242">
        <v>1562</v>
      </c>
      <c r="ABL23" s="242">
        <v>907</v>
      </c>
      <c r="ABM23" s="242">
        <v>4317</v>
      </c>
      <c r="ABN23" s="157">
        <v>86652</v>
      </c>
      <c r="ABO23" s="242">
        <v>80901</v>
      </c>
      <c r="ABP23" s="242">
        <v>1884</v>
      </c>
      <c r="ABQ23" s="242">
        <v>1020</v>
      </c>
      <c r="ABR23" s="242">
        <v>3867</v>
      </c>
      <c r="ABS23" s="157">
        <v>88063.468000000008</v>
      </c>
      <c r="ABT23" s="242">
        <v>81192.87000000001</v>
      </c>
      <c r="ABU23" s="242">
        <v>1893.579</v>
      </c>
      <c r="ABV23" s="242">
        <v>1157.904</v>
      </c>
      <c r="ABW23" s="243">
        <v>4977.0189999999984</v>
      </c>
      <c r="ABX23" s="2">
        <v>90206</v>
      </c>
      <c r="ABY23" s="2">
        <v>83255</v>
      </c>
      <c r="ABZ23" s="2">
        <v>1924</v>
      </c>
      <c r="ACA23" s="2">
        <v>999</v>
      </c>
      <c r="ACB23" s="137">
        <v>4332</v>
      </c>
      <c r="ACC23" s="1">
        <v>94130</v>
      </c>
      <c r="ACD23" s="1">
        <v>86558</v>
      </c>
      <c r="ACE23" s="1">
        <v>2128</v>
      </c>
      <c r="ACF23" s="1">
        <v>1224</v>
      </c>
      <c r="ACG23" s="1">
        <v>4644</v>
      </c>
      <c r="ACH23" s="1">
        <v>95823</v>
      </c>
      <c r="ACI23" s="1">
        <v>88567</v>
      </c>
      <c r="ACJ23" s="1">
        <v>2506</v>
      </c>
      <c r="ACK23" s="1">
        <v>1053</v>
      </c>
      <c r="ACL23" s="1">
        <v>3447</v>
      </c>
      <c r="ACM23" s="1">
        <v>102158</v>
      </c>
      <c r="ACN23" s="1">
        <v>91128</v>
      </c>
      <c r="ACO23" s="1">
        <v>2404</v>
      </c>
      <c r="ACP23" s="1">
        <v>2051</v>
      </c>
      <c r="ACQ23" s="1">
        <v>5889</v>
      </c>
      <c r="ACR23" s="1">
        <v>106514</v>
      </c>
      <c r="ACS23" s="1">
        <v>97020</v>
      </c>
      <c r="ACT23" s="1">
        <v>3411</v>
      </c>
      <c r="ACU23" s="1">
        <v>1177</v>
      </c>
      <c r="ACV23" s="1">
        <v>5113</v>
      </c>
      <c r="ADB23" s="50">
        <v>102078</v>
      </c>
      <c r="ADC23" s="1">
        <v>94430</v>
      </c>
      <c r="ADD23" s="1">
        <v>2614</v>
      </c>
      <c r="ADE23" s="1">
        <v>952</v>
      </c>
      <c r="ADF23" s="1">
        <v>3582</v>
      </c>
      <c r="ADG23" s="50">
        <v>109489</v>
      </c>
      <c r="ADL23" s="50">
        <v>108020</v>
      </c>
      <c r="ADM23" s="1">
        <v>98335</v>
      </c>
      <c r="ADN23" s="1">
        <v>2642</v>
      </c>
      <c r="ADO23" s="1">
        <v>1431</v>
      </c>
      <c r="ADP23" s="1">
        <v>5328</v>
      </c>
      <c r="ADQ23" s="50">
        <v>125812</v>
      </c>
      <c r="ADR23" s="1">
        <v>114910</v>
      </c>
      <c r="ADS23" s="1">
        <v>3067</v>
      </c>
      <c r="ADT23" s="1">
        <v>843</v>
      </c>
      <c r="ADU23" s="1">
        <v>7645</v>
      </c>
      <c r="ADV23" s="1">
        <v>3747</v>
      </c>
      <c r="ADW23" s="1">
        <v>0</v>
      </c>
      <c r="ADX23" s="1">
        <v>0</v>
      </c>
      <c r="ADY23" s="1">
        <v>3581</v>
      </c>
      <c r="ADZ23" s="1">
        <v>317</v>
      </c>
    </row>
    <row r="24" spans="1:806">
      <c r="A24" s="142" t="s">
        <v>24</v>
      </c>
      <c r="B24" s="174" t="s">
        <v>221</v>
      </c>
      <c r="C24" s="175" t="s">
        <v>221</v>
      </c>
      <c r="D24" s="175" t="s">
        <v>221</v>
      </c>
      <c r="E24" s="175" t="s">
        <v>221</v>
      </c>
      <c r="F24" s="176" t="s">
        <v>221</v>
      </c>
      <c r="G24" s="181">
        <f>SUM(G26:G38)</f>
        <v>3070922</v>
      </c>
      <c r="H24" s="181">
        <f t="shared" ref="H24:U24" si="472">SUM(H26:H38)</f>
        <v>1677005</v>
      </c>
      <c r="I24" s="181">
        <f t="shared" si="472"/>
        <v>112575</v>
      </c>
      <c r="J24" s="181">
        <f t="shared" si="472"/>
        <v>1579686</v>
      </c>
      <c r="K24" s="182">
        <f t="shared" si="472"/>
        <v>1281342</v>
      </c>
      <c r="L24" s="181">
        <f>SUM(L26:L38)</f>
        <v>3490247</v>
      </c>
      <c r="M24" s="181">
        <f t="shared" si="472"/>
        <v>1509548</v>
      </c>
      <c r="N24" s="181">
        <f t="shared" si="472"/>
        <v>78279</v>
      </c>
      <c r="O24" s="181">
        <f t="shared" si="472"/>
        <v>2267507</v>
      </c>
      <c r="P24" s="182">
        <f t="shared" si="472"/>
        <v>1867744</v>
      </c>
      <c r="Q24" s="181">
        <f>SUM(Q26:Q38)</f>
        <v>3554969</v>
      </c>
      <c r="R24" s="181">
        <f t="shared" si="472"/>
        <v>498548</v>
      </c>
      <c r="S24" s="181">
        <f t="shared" si="472"/>
        <v>69564</v>
      </c>
      <c r="T24" s="181">
        <f t="shared" si="472"/>
        <v>2547166</v>
      </c>
      <c r="U24" s="182">
        <f t="shared" si="472"/>
        <v>1632366</v>
      </c>
      <c r="V24" s="253">
        <f>SUM(V26:V38)</f>
        <v>3598315</v>
      </c>
      <c r="W24" s="253">
        <f t="shared" ref="W24:Z24" si="473">SUM(W26:W38)</f>
        <v>2012096</v>
      </c>
      <c r="X24" s="253">
        <f t="shared" si="473"/>
        <v>73524</v>
      </c>
      <c r="Y24" s="253">
        <f t="shared" si="473"/>
        <v>2610800</v>
      </c>
      <c r="Z24" s="397">
        <f t="shared" si="473"/>
        <v>1512695</v>
      </c>
      <c r="AA24" s="253">
        <f>SUM(AA26:AA38)</f>
        <v>3600341</v>
      </c>
      <c r="AB24" s="253">
        <f t="shared" ref="AB24:AC24" si="474">SUM(AB26:AB38)</f>
        <v>422889</v>
      </c>
      <c r="AC24" s="253">
        <f t="shared" si="474"/>
        <v>72950</v>
      </c>
      <c r="AD24" s="253">
        <f t="shared" ref="AD24" si="475">SUM(AD26:AD38)</f>
        <v>2628979</v>
      </c>
      <c r="AE24" s="253">
        <f t="shared" ref="AE24:AJ24" si="476">SUM(AE26:AE38)</f>
        <v>1501207</v>
      </c>
      <c r="AF24" s="532">
        <f t="shared" si="476"/>
        <v>3597820</v>
      </c>
      <c r="AG24" s="397">
        <f t="shared" si="476"/>
        <v>415154</v>
      </c>
      <c r="AH24" s="397">
        <f t="shared" si="476"/>
        <v>71834</v>
      </c>
      <c r="AI24" s="397">
        <f t="shared" si="476"/>
        <v>2628070</v>
      </c>
      <c r="AJ24" s="397">
        <f t="shared" si="476"/>
        <v>1506648</v>
      </c>
      <c r="AK24" s="253">
        <f>SUM(AK26:AK38)</f>
        <v>3673563</v>
      </c>
      <c r="AL24" s="253">
        <f t="shared" ref="AL24:AO24" si="477">SUM(AL26:AL38)</f>
        <v>409691</v>
      </c>
      <c r="AM24" s="253">
        <f t="shared" si="477"/>
        <v>67649</v>
      </c>
      <c r="AN24" s="253">
        <f t="shared" si="477"/>
        <v>2702414</v>
      </c>
      <c r="AO24" s="253">
        <f t="shared" si="477"/>
        <v>1532947</v>
      </c>
      <c r="AP24" s="253">
        <f>SUM(AP26:AP38)</f>
        <v>3667233</v>
      </c>
      <c r="AQ24" s="253">
        <f t="shared" ref="AQ24:AT24" si="478">SUM(AQ26:AQ38)</f>
        <v>398088</v>
      </c>
      <c r="AR24" s="253">
        <f t="shared" si="478"/>
        <v>66151</v>
      </c>
      <c r="AS24" s="253">
        <f t="shared" si="478"/>
        <v>2699352</v>
      </c>
      <c r="AT24" s="253">
        <f t="shared" si="478"/>
        <v>1586402</v>
      </c>
      <c r="AU24" s="535">
        <f>SUM(AU26:AU38)</f>
        <v>3607288</v>
      </c>
      <c r="AV24" s="253">
        <f t="shared" ref="AV24:BN24" si="479">SUM(AV26:AV38)</f>
        <v>384617</v>
      </c>
      <c r="AW24" s="253">
        <f t="shared" si="479"/>
        <v>69054</v>
      </c>
      <c r="AX24" s="253">
        <f t="shared" si="479"/>
        <v>2654474</v>
      </c>
      <c r="AY24" s="253">
        <f t="shared" si="479"/>
        <v>1666527</v>
      </c>
      <c r="AZ24" s="253">
        <f t="shared" si="479"/>
        <v>435732</v>
      </c>
      <c r="BA24" s="253">
        <f t="shared" si="479"/>
        <v>11878</v>
      </c>
      <c r="BB24" s="253">
        <f t="shared" si="479"/>
        <v>54722</v>
      </c>
      <c r="BC24" s="253">
        <f t="shared" si="479"/>
        <v>65495</v>
      </c>
      <c r="BD24" s="253">
        <f t="shared" si="479"/>
        <v>1098700</v>
      </c>
      <c r="BE24" s="535">
        <f>SUM(BE26:BE38)</f>
        <v>3483393</v>
      </c>
      <c r="BF24" s="253">
        <f t="shared" si="479"/>
        <v>363701</v>
      </c>
      <c r="BG24" s="253">
        <f t="shared" si="479"/>
        <v>68460</v>
      </c>
      <c r="BH24" s="253">
        <f t="shared" si="479"/>
        <v>2556767</v>
      </c>
      <c r="BI24" s="253">
        <f t="shared" si="479"/>
        <v>1641294</v>
      </c>
      <c r="BJ24" s="535">
        <f>SUM(BJ26:BJ38)</f>
        <v>3420362</v>
      </c>
      <c r="BK24" s="253">
        <f t="shared" si="479"/>
        <v>0</v>
      </c>
      <c r="BL24" s="253">
        <f t="shared" si="479"/>
        <v>0</v>
      </c>
      <c r="BM24" s="253">
        <f t="shared" si="479"/>
        <v>0</v>
      </c>
      <c r="BN24" s="253">
        <f t="shared" si="479"/>
        <v>0</v>
      </c>
      <c r="BO24" s="535">
        <f>SUM(BO26:BO38)</f>
        <v>3351581</v>
      </c>
      <c r="BP24" s="535">
        <f t="shared" ref="BP24:CB24" si="480">SUM(BP26:BP38)</f>
        <v>342667</v>
      </c>
      <c r="BQ24" s="535">
        <f t="shared" si="480"/>
        <v>69132</v>
      </c>
      <c r="BR24" s="535">
        <f t="shared" si="480"/>
        <v>2466940</v>
      </c>
      <c r="BS24" s="535">
        <f t="shared" si="480"/>
        <v>1503604</v>
      </c>
      <c r="BT24" s="535">
        <f t="shared" si="480"/>
        <v>3402313</v>
      </c>
      <c r="BU24" s="535">
        <f t="shared" si="480"/>
        <v>344376</v>
      </c>
      <c r="BV24" s="535">
        <f t="shared" si="480"/>
        <v>61146</v>
      </c>
      <c r="BW24" s="535">
        <f t="shared" si="480"/>
        <v>2483334</v>
      </c>
      <c r="BX24" s="535">
        <f t="shared" si="480"/>
        <v>432930</v>
      </c>
      <c r="BY24" s="535">
        <f t="shared" si="480"/>
        <v>16935</v>
      </c>
      <c r="BZ24" s="535">
        <f t="shared" si="480"/>
        <v>101197</v>
      </c>
      <c r="CA24" s="535">
        <f t="shared" si="480"/>
        <v>873921</v>
      </c>
      <c r="CB24" s="535">
        <f t="shared" si="480"/>
        <v>1354649</v>
      </c>
      <c r="CC24" s="181">
        <f>SUM(CC26:CC38)</f>
        <v>4029170</v>
      </c>
      <c r="CD24" s="181">
        <f t="shared" ref="CD24:DK24" si="481">SUM(CD26:CD38)</f>
        <v>2946804</v>
      </c>
      <c r="CE24" s="181">
        <f t="shared" si="481"/>
        <v>268300</v>
      </c>
      <c r="CF24" s="181"/>
      <c r="CG24" s="181">
        <f t="shared" si="481"/>
        <v>814066</v>
      </c>
      <c r="CH24" s="181">
        <f t="shared" si="481"/>
        <v>4306724</v>
      </c>
      <c r="CI24" s="181">
        <f t="shared" si="481"/>
        <v>2665485</v>
      </c>
      <c r="CJ24" s="181">
        <f t="shared" si="481"/>
        <v>260573</v>
      </c>
      <c r="CK24" s="181">
        <f t="shared" si="481"/>
        <v>1510816</v>
      </c>
      <c r="CL24" s="181">
        <f t="shared" si="481"/>
        <v>1345359</v>
      </c>
      <c r="CM24" s="181">
        <f t="shared" si="481"/>
        <v>3865886</v>
      </c>
      <c r="CN24" s="181">
        <f t="shared" si="481"/>
        <v>1578953</v>
      </c>
      <c r="CO24" s="181">
        <f t="shared" si="481"/>
        <v>203362</v>
      </c>
      <c r="CP24" s="181">
        <f t="shared" si="481"/>
        <v>1673563</v>
      </c>
      <c r="CQ24" s="181">
        <f t="shared" si="481"/>
        <v>1239578</v>
      </c>
      <c r="CR24" s="181">
        <f t="shared" si="481"/>
        <v>3692468</v>
      </c>
      <c r="CS24" s="181">
        <f t="shared" si="481"/>
        <v>2396910</v>
      </c>
      <c r="CT24" s="181">
        <f t="shared" si="481"/>
        <v>189627</v>
      </c>
      <c r="CU24" s="181">
        <f t="shared" si="481"/>
        <v>1741129</v>
      </c>
      <c r="CV24" s="181">
        <f t="shared" si="481"/>
        <v>1105931</v>
      </c>
      <c r="CW24" s="181">
        <f t="shared" si="481"/>
        <v>3668913</v>
      </c>
      <c r="CX24" s="181">
        <f t="shared" si="481"/>
        <v>1285453</v>
      </c>
      <c r="CY24" s="181">
        <f t="shared" si="481"/>
        <v>183674</v>
      </c>
      <c r="CZ24" s="181">
        <f t="shared" si="481"/>
        <v>1784574</v>
      </c>
      <c r="DA24" s="181">
        <f t="shared" si="481"/>
        <v>1106819</v>
      </c>
      <c r="DB24" s="181">
        <f t="shared" si="481"/>
        <v>3638039</v>
      </c>
      <c r="DC24" s="181">
        <f t="shared" si="481"/>
        <v>1241086</v>
      </c>
      <c r="DD24" s="181">
        <f t="shared" si="481"/>
        <v>187885</v>
      </c>
      <c r="DE24" s="181">
        <f t="shared" si="481"/>
        <v>1793873</v>
      </c>
      <c r="DF24" s="181">
        <f t="shared" si="481"/>
        <v>1111356</v>
      </c>
      <c r="DG24" s="181">
        <f t="shared" si="481"/>
        <v>3566406</v>
      </c>
      <c r="DH24" s="181">
        <f t="shared" si="481"/>
        <v>1179543</v>
      </c>
      <c r="DI24" s="181">
        <f t="shared" si="481"/>
        <v>179454</v>
      </c>
      <c r="DJ24" s="181">
        <f t="shared" si="481"/>
        <v>1799290</v>
      </c>
      <c r="DK24" s="181">
        <f t="shared" si="481"/>
        <v>1111256</v>
      </c>
      <c r="DL24" s="182">
        <f t="shared" ref="DL24:FC24" si="482">SUM(DL26:DL38)</f>
        <v>3608797</v>
      </c>
      <c r="DM24" s="182">
        <f t="shared" si="482"/>
        <v>1165100</v>
      </c>
      <c r="DN24" s="182">
        <f t="shared" si="482"/>
        <v>183285</v>
      </c>
      <c r="DO24" s="182">
        <f t="shared" si="482"/>
        <v>1848628</v>
      </c>
      <c r="DP24" s="182">
        <f t="shared" si="482"/>
        <v>1132390</v>
      </c>
      <c r="DQ24" s="181">
        <f t="shared" si="482"/>
        <v>3608294</v>
      </c>
      <c r="DR24" s="181">
        <f t="shared" si="482"/>
        <v>1161455</v>
      </c>
      <c r="DS24" s="181">
        <f t="shared" si="482"/>
        <v>183180</v>
      </c>
      <c r="DT24" s="181">
        <f t="shared" si="482"/>
        <v>1835439</v>
      </c>
      <c r="DU24" s="181">
        <f t="shared" si="482"/>
        <v>1208015</v>
      </c>
      <c r="DV24" s="377">
        <f t="shared" si="482"/>
        <v>3503892</v>
      </c>
      <c r="DW24" s="365">
        <f t="shared" si="482"/>
        <v>1091364</v>
      </c>
      <c r="DX24" s="365">
        <f t="shared" si="482"/>
        <v>173965</v>
      </c>
      <c r="DY24" s="365">
        <f t="shared" si="482"/>
        <v>1808540</v>
      </c>
      <c r="DZ24" s="365">
        <f t="shared" si="482"/>
        <v>1192299</v>
      </c>
      <c r="EA24" s="377">
        <f t="shared" si="482"/>
        <v>3485718</v>
      </c>
      <c r="EB24" s="365">
        <f t="shared" si="482"/>
        <v>0</v>
      </c>
      <c r="EC24" s="365">
        <f t="shared" si="482"/>
        <v>0</v>
      </c>
      <c r="ED24" s="365">
        <f t="shared" si="482"/>
        <v>0</v>
      </c>
      <c r="EE24" s="365">
        <f t="shared" si="482"/>
        <v>0</v>
      </c>
      <c r="EF24" s="377">
        <f t="shared" si="482"/>
        <v>3449832</v>
      </c>
      <c r="EG24" s="365">
        <f t="shared" si="482"/>
        <v>1032356</v>
      </c>
      <c r="EH24" s="365">
        <f t="shared" si="482"/>
        <v>164014</v>
      </c>
      <c r="EI24" s="365">
        <f t="shared" si="482"/>
        <v>1830468</v>
      </c>
      <c r="EJ24" s="365">
        <f t="shared" si="482"/>
        <v>1160279</v>
      </c>
      <c r="EK24" s="377">
        <f t="shared" ref="EK24:EX24" si="483">SUM(EK26:EK38)</f>
        <v>3449832</v>
      </c>
      <c r="EL24" s="365">
        <f t="shared" si="483"/>
        <v>1032356</v>
      </c>
      <c r="EM24" s="365">
        <f t="shared" si="483"/>
        <v>164014</v>
      </c>
      <c r="EN24" s="365">
        <f t="shared" si="483"/>
        <v>1830468</v>
      </c>
      <c r="EO24" s="365">
        <f t="shared" si="483"/>
        <v>1160279</v>
      </c>
      <c r="EP24" s="377">
        <f t="shared" si="483"/>
        <v>3181243</v>
      </c>
      <c r="EQ24" s="365">
        <f t="shared" si="483"/>
        <v>904434</v>
      </c>
      <c r="ER24" s="365">
        <f t="shared" si="483"/>
        <v>152346</v>
      </c>
      <c r="ES24" s="365">
        <f t="shared" si="483"/>
        <v>1705396</v>
      </c>
      <c r="ET24" s="365">
        <f t="shared" si="483"/>
        <v>256177</v>
      </c>
      <c r="EU24" s="365">
        <f t="shared" si="483"/>
        <v>15840</v>
      </c>
      <c r="EV24" s="365">
        <f t="shared" si="483"/>
        <v>112151</v>
      </c>
      <c r="EW24" s="365">
        <f t="shared" si="483"/>
        <v>720605</v>
      </c>
      <c r="EX24" s="365">
        <f t="shared" si="483"/>
        <v>833013</v>
      </c>
      <c r="EY24" s="377">
        <f t="shared" si="482"/>
        <v>7305869</v>
      </c>
      <c r="EZ24" s="181">
        <f t="shared" si="482"/>
        <v>4418263</v>
      </c>
      <c r="FA24" s="181">
        <f t="shared" si="482"/>
        <v>256515</v>
      </c>
      <c r="FB24" s="181">
        <f t="shared" si="482"/>
        <v>4405657</v>
      </c>
      <c r="FC24" s="181">
        <f t="shared" si="482"/>
        <v>2631091</v>
      </c>
      <c r="FD24" s="174" t="s">
        <v>221</v>
      </c>
      <c r="FE24" s="175" t="s">
        <v>221</v>
      </c>
      <c r="FF24" s="175" t="s">
        <v>221</v>
      </c>
      <c r="FG24" s="175" t="s">
        <v>221</v>
      </c>
      <c r="FH24" s="174" t="s">
        <v>221</v>
      </c>
      <c r="FI24" s="175" t="s">
        <v>221</v>
      </c>
      <c r="FJ24" s="175" t="s">
        <v>221</v>
      </c>
      <c r="FK24" s="175" t="s">
        <v>221</v>
      </c>
      <c r="FL24" s="176" t="s">
        <v>221</v>
      </c>
      <c r="FM24" s="181">
        <f>SUM(FM26:FM38)</f>
        <v>26015125</v>
      </c>
      <c r="FN24" s="181">
        <f t="shared" ref="FN24:FQ24" si="484">SUM(FN26:FN38)</f>
        <v>21618084</v>
      </c>
      <c r="FO24" s="181">
        <f t="shared" si="484"/>
        <v>1218498</v>
      </c>
      <c r="FP24" s="181">
        <f t="shared" si="484"/>
        <v>2339863</v>
      </c>
      <c r="FQ24" s="182">
        <f t="shared" si="484"/>
        <v>3178543</v>
      </c>
      <c r="FR24" s="181">
        <f>SUM(FR26:FR38)</f>
        <v>32127941</v>
      </c>
      <c r="FS24" s="181">
        <f t="shared" ref="FS24:SK24" si="485">SUM(FS26:FS38)</f>
        <v>24790915</v>
      </c>
      <c r="FT24" s="181">
        <f t="shared" si="485"/>
        <v>1451830</v>
      </c>
      <c r="FU24" s="181">
        <f t="shared" si="485"/>
        <v>3685446</v>
      </c>
      <c r="FV24" s="181">
        <f t="shared" si="485"/>
        <v>5757766</v>
      </c>
      <c r="FW24" s="181">
        <f>SUM(FW26:FW38)</f>
        <v>36983068</v>
      </c>
      <c r="FX24" s="181">
        <f t="shared" si="485"/>
        <v>24842122</v>
      </c>
      <c r="FY24" s="181">
        <f t="shared" si="485"/>
        <v>1779958</v>
      </c>
      <c r="FZ24" s="181">
        <f t="shared" si="485"/>
        <v>7337509</v>
      </c>
      <c r="GA24" s="182">
        <f t="shared" si="485"/>
        <v>5663946</v>
      </c>
      <c r="GB24" s="181">
        <f>SUM(GB26:GB38)</f>
        <v>37657117</v>
      </c>
      <c r="GC24" s="181">
        <f t="shared" si="485"/>
        <v>28374576</v>
      </c>
      <c r="GD24" s="181">
        <f t="shared" si="485"/>
        <v>1708981</v>
      </c>
      <c r="GE24" s="181">
        <f t="shared" si="485"/>
        <v>7573560</v>
      </c>
      <c r="GF24" s="182">
        <f t="shared" si="485"/>
        <v>5886982</v>
      </c>
      <c r="GG24" s="181">
        <f>SUM(GG26:GG38)</f>
        <v>38235571</v>
      </c>
      <c r="GH24" s="181">
        <f t="shared" si="485"/>
        <v>28934045</v>
      </c>
      <c r="GI24" s="181">
        <f t="shared" si="485"/>
        <v>1759952</v>
      </c>
      <c r="GJ24" s="181">
        <f t="shared" si="485"/>
        <v>7541574</v>
      </c>
      <c r="GK24" s="181">
        <f t="shared" si="485"/>
        <v>6024676</v>
      </c>
      <c r="GL24" s="181">
        <f t="shared" ref="GL24:IX24" si="486">SUM(GL26:GL38)</f>
        <v>38857247</v>
      </c>
      <c r="GM24" s="181">
        <f t="shared" si="486"/>
        <v>29347597</v>
      </c>
      <c r="GN24" s="181">
        <f t="shared" si="486"/>
        <v>1807161</v>
      </c>
      <c r="GO24" s="181">
        <f t="shared" si="486"/>
        <v>6253362</v>
      </c>
      <c r="GP24" s="181">
        <f t="shared" si="486"/>
        <v>6678300</v>
      </c>
      <c r="GQ24" s="181">
        <f t="shared" si="486"/>
        <v>39525024.861000001</v>
      </c>
      <c r="GR24" s="181">
        <f t="shared" si="486"/>
        <v>29815207.877000004</v>
      </c>
      <c r="GS24" s="181">
        <f t="shared" si="486"/>
        <v>1836201.4809999999</v>
      </c>
      <c r="GT24" s="181">
        <f t="shared" si="486"/>
        <v>6522260.2780000009</v>
      </c>
      <c r="GU24" s="182">
        <f t="shared" si="486"/>
        <v>7873615.5029999996</v>
      </c>
      <c r="GV24" s="182">
        <f t="shared" si="486"/>
        <v>40226083</v>
      </c>
      <c r="GW24" s="181">
        <f t="shared" si="486"/>
        <v>25902900</v>
      </c>
      <c r="GX24" s="181">
        <f t="shared" si="486"/>
        <v>1878366</v>
      </c>
      <c r="GY24" s="181">
        <f t="shared" si="486"/>
        <v>6792740</v>
      </c>
      <c r="GZ24" s="181">
        <f t="shared" si="486"/>
        <v>8099540</v>
      </c>
      <c r="HA24" s="181">
        <f t="shared" si="486"/>
        <v>40924889</v>
      </c>
      <c r="HB24" s="181">
        <f t="shared" si="486"/>
        <v>26127616</v>
      </c>
      <c r="HC24" s="181">
        <f t="shared" si="486"/>
        <v>1913184</v>
      </c>
      <c r="HD24" s="365">
        <f t="shared" si="486"/>
        <v>7060332</v>
      </c>
      <c r="HE24" s="365">
        <f t="shared" si="486"/>
        <v>8337597</v>
      </c>
      <c r="HF24" s="365">
        <f t="shared" si="486"/>
        <v>42534347</v>
      </c>
      <c r="HG24" s="365">
        <f t="shared" si="486"/>
        <v>26574259</v>
      </c>
      <c r="HH24" s="365">
        <f t="shared" si="486"/>
        <v>1984753</v>
      </c>
      <c r="HI24" s="365">
        <f t="shared" si="486"/>
        <v>7655447</v>
      </c>
      <c r="HJ24" s="365">
        <f t="shared" si="486"/>
        <v>9075536</v>
      </c>
      <c r="HK24" s="365">
        <f t="shared" si="486"/>
        <v>43415974</v>
      </c>
      <c r="HL24" s="365">
        <f t="shared" si="486"/>
        <v>26856356</v>
      </c>
      <c r="HM24" s="365">
        <f t="shared" si="486"/>
        <v>2049424</v>
      </c>
      <c r="HN24" s="365">
        <f t="shared" si="486"/>
        <v>7954172</v>
      </c>
      <c r="HO24" s="365">
        <f t="shared" si="486"/>
        <v>9399604</v>
      </c>
      <c r="HP24" s="377">
        <f t="shared" si="486"/>
        <v>44160879</v>
      </c>
      <c r="HQ24" s="365">
        <f t="shared" si="486"/>
        <v>27114191</v>
      </c>
      <c r="HR24" s="365">
        <f t="shared" si="486"/>
        <v>2059403</v>
      </c>
      <c r="HS24" s="365">
        <f t="shared" si="486"/>
        <v>8240615</v>
      </c>
      <c r="HT24" s="364">
        <f t="shared" si="486"/>
        <v>9845503</v>
      </c>
      <c r="HU24" s="365">
        <f t="shared" si="486"/>
        <v>4916614</v>
      </c>
      <c r="HV24" s="365">
        <f t="shared" si="486"/>
        <v>236921</v>
      </c>
      <c r="HW24" s="365">
        <f t="shared" si="486"/>
        <v>609814</v>
      </c>
      <c r="HX24" s="365">
        <f t="shared" si="486"/>
        <v>1458000</v>
      </c>
      <c r="HY24" s="365">
        <f t="shared" si="486"/>
        <v>2624154</v>
      </c>
      <c r="HZ24" s="377">
        <f t="shared" si="486"/>
        <v>45212730</v>
      </c>
      <c r="IA24" s="365">
        <f t="shared" si="486"/>
        <v>27310212</v>
      </c>
      <c r="IB24" s="365">
        <f t="shared" si="486"/>
        <v>2129405</v>
      </c>
      <c r="IC24" s="365">
        <f t="shared" si="486"/>
        <v>8743313</v>
      </c>
      <c r="ID24" s="364">
        <f t="shared" si="486"/>
        <v>10379472</v>
      </c>
      <c r="IE24" s="633">
        <f t="shared" si="486"/>
        <v>45956141</v>
      </c>
      <c r="IF24" s="634">
        <f t="shared" si="486"/>
        <v>0</v>
      </c>
      <c r="IG24" s="634">
        <f t="shared" si="486"/>
        <v>0</v>
      </c>
      <c r="IH24" s="634">
        <f t="shared" si="486"/>
        <v>0</v>
      </c>
      <c r="II24" s="634">
        <f t="shared" si="486"/>
        <v>0</v>
      </c>
      <c r="IJ24" s="377">
        <f t="shared" si="486"/>
        <v>46591950</v>
      </c>
      <c r="IK24" s="365">
        <f t="shared" si="486"/>
        <v>27634706</v>
      </c>
      <c r="IL24" s="365">
        <f t="shared" si="486"/>
        <v>2235298</v>
      </c>
      <c r="IM24" s="365">
        <f t="shared" si="486"/>
        <v>9320226</v>
      </c>
      <c r="IN24" s="365">
        <f t="shared" si="486"/>
        <v>10773989</v>
      </c>
      <c r="IO24" s="377">
        <f t="shared" si="486"/>
        <v>47363816</v>
      </c>
      <c r="IP24" s="365">
        <f t="shared" si="486"/>
        <v>26903545</v>
      </c>
      <c r="IQ24" s="365">
        <f t="shared" si="486"/>
        <v>2174105</v>
      </c>
      <c r="IR24" s="365">
        <f t="shared" si="486"/>
        <v>9944730</v>
      </c>
      <c r="IS24" s="365">
        <f t="shared" si="486"/>
        <v>16662256</v>
      </c>
      <c r="IT24" s="365">
        <f t="shared" si="486"/>
        <v>5500830</v>
      </c>
      <c r="IU24" s="365">
        <f t="shared" si="486"/>
        <v>248546</v>
      </c>
      <c r="IV24" s="365">
        <f t="shared" si="486"/>
        <v>742967</v>
      </c>
      <c r="IW24" s="365">
        <f t="shared" si="486"/>
        <v>6003821</v>
      </c>
      <c r="IX24" s="365">
        <f t="shared" si="486"/>
        <v>4166092</v>
      </c>
      <c r="IY24" s="397">
        <f t="shared" si="485"/>
        <v>0</v>
      </c>
      <c r="IZ24" s="397">
        <f t="shared" si="485"/>
        <v>0</v>
      </c>
      <c r="JA24" s="397">
        <f t="shared" si="485"/>
        <v>0</v>
      </c>
      <c r="JB24" s="397">
        <f t="shared" si="485"/>
        <v>0</v>
      </c>
      <c r="JC24" s="253">
        <f t="shared" si="485"/>
        <v>0</v>
      </c>
      <c r="JD24" s="253">
        <f>SUM(JD26:JD38)</f>
        <v>10272291</v>
      </c>
      <c r="JE24" s="253">
        <f t="shared" si="485"/>
        <v>8502412</v>
      </c>
      <c r="JF24" s="253">
        <f t="shared" si="485"/>
        <v>589085</v>
      </c>
      <c r="JG24" s="253">
        <f t="shared" si="485"/>
        <v>966767</v>
      </c>
      <c r="JH24" s="397">
        <f t="shared" si="485"/>
        <v>1180794</v>
      </c>
      <c r="JI24" s="253">
        <f>SUM(JI26:JI38)</f>
        <v>12564353</v>
      </c>
      <c r="JJ24" s="253">
        <f t="shared" si="485"/>
        <v>9718193</v>
      </c>
      <c r="JK24" s="253">
        <f t="shared" si="485"/>
        <v>700020</v>
      </c>
      <c r="JL24" s="253">
        <f t="shared" si="485"/>
        <v>1506758</v>
      </c>
      <c r="JM24" s="397">
        <f t="shared" si="485"/>
        <v>2097599</v>
      </c>
      <c r="JN24" s="253">
        <f t="shared" si="485"/>
        <v>13260063</v>
      </c>
      <c r="JO24" s="253">
        <f t="shared" si="485"/>
        <v>9060203</v>
      </c>
      <c r="JP24" s="253">
        <f t="shared" si="485"/>
        <v>730929</v>
      </c>
      <c r="JQ24" s="253">
        <f t="shared" si="485"/>
        <v>2014609</v>
      </c>
      <c r="JR24" s="253">
        <f t="shared" si="485"/>
        <v>2445275</v>
      </c>
      <c r="JS24" s="253">
        <f t="shared" si="485"/>
        <v>14692377</v>
      </c>
      <c r="JT24" s="253">
        <f t="shared" si="485"/>
        <v>11204549</v>
      </c>
      <c r="JU24" s="253">
        <f t="shared" si="485"/>
        <v>847631</v>
      </c>
      <c r="JV24" s="253">
        <f t="shared" si="485"/>
        <v>2480189</v>
      </c>
      <c r="JW24" s="397">
        <f t="shared" si="485"/>
        <v>2640197</v>
      </c>
      <c r="JX24" s="253">
        <f t="shared" si="485"/>
        <v>14898089.930999998</v>
      </c>
      <c r="JY24" s="253">
        <f t="shared" si="485"/>
        <v>11357261.867999999</v>
      </c>
      <c r="JZ24" s="253">
        <f t="shared" si="485"/>
        <v>861683.95299999998</v>
      </c>
      <c r="KA24" s="253">
        <f t="shared" si="485"/>
        <v>2587519.29</v>
      </c>
      <c r="KB24" s="397">
        <f t="shared" si="485"/>
        <v>2679144.1099999994</v>
      </c>
      <c r="KC24" s="397">
        <f t="shared" si="485"/>
        <v>15120564</v>
      </c>
      <c r="KD24" s="397">
        <f t="shared" si="485"/>
        <v>9765319</v>
      </c>
      <c r="KE24" s="397">
        <f t="shared" si="485"/>
        <v>880002</v>
      </c>
      <c r="KF24" s="397">
        <f t="shared" si="485"/>
        <v>2707878</v>
      </c>
      <c r="KG24" s="397">
        <f t="shared" si="485"/>
        <v>2745605</v>
      </c>
      <c r="KH24" s="397">
        <f t="shared" si="485"/>
        <v>15335730</v>
      </c>
      <c r="KI24" s="397">
        <f t="shared" si="485"/>
        <v>9811541</v>
      </c>
      <c r="KJ24" s="397">
        <f t="shared" si="485"/>
        <v>899373</v>
      </c>
      <c r="KK24" s="397">
        <f t="shared" si="485"/>
        <v>2811790</v>
      </c>
      <c r="KL24" s="397">
        <f t="shared" si="485"/>
        <v>2822383</v>
      </c>
      <c r="KM24" s="397">
        <f t="shared" si="485"/>
        <v>15730871</v>
      </c>
      <c r="KN24" s="397">
        <f t="shared" si="485"/>
        <v>9835182</v>
      </c>
      <c r="KO24" s="397">
        <f t="shared" si="485"/>
        <v>932565</v>
      </c>
      <c r="KP24" s="397">
        <f t="shared" si="485"/>
        <v>3039866</v>
      </c>
      <c r="KQ24" s="253">
        <f t="shared" si="485"/>
        <v>3024222</v>
      </c>
      <c r="KR24" s="397">
        <f t="shared" si="485"/>
        <v>15819103</v>
      </c>
      <c r="KS24" s="397">
        <f t="shared" si="485"/>
        <v>9814078</v>
      </c>
      <c r="KT24" s="397">
        <f t="shared" si="485"/>
        <v>934381</v>
      </c>
      <c r="KU24" s="397">
        <f t="shared" si="485"/>
        <v>3098650</v>
      </c>
      <c r="KV24" s="253">
        <f t="shared" si="485"/>
        <v>3081429</v>
      </c>
      <c r="KW24" s="535">
        <f t="shared" si="485"/>
        <v>15983347</v>
      </c>
      <c r="KX24" s="253">
        <f t="shared" si="485"/>
        <v>9851673</v>
      </c>
      <c r="KY24" s="253">
        <f t="shared" si="485"/>
        <v>939212</v>
      </c>
      <c r="KZ24" s="253">
        <f t="shared" si="485"/>
        <v>3198286</v>
      </c>
      <c r="LA24" s="253">
        <f t="shared" si="485"/>
        <v>3206462</v>
      </c>
      <c r="LB24" s="656">
        <f t="shared" si="485"/>
        <v>16149578</v>
      </c>
      <c r="LC24" s="665">
        <f t="shared" si="485"/>
        <v>9767929</v>
      </c>
      <c r="LD24" s="665">
        <f t="shared" si="485"/>
        <v>933169</v>
      </c>
      <c r="LE24" s="665">
        <f t="shared" si="485"/>
        <v>3414329</v>
      </c>
      <c r="LF24" s="665">
        <f t="shared" si="485"/>
        <v>3319471</v>
      </c>
      <c r="LG24" s="666">
        <f t="shared" si="485"/>
        <v>16367049</v>
      </c>
      <c r="LH24" s="665">
        <f t="shared" si="485"/>
        <v>0</v>
      </c>
      <c r="LI24" s="181">
        <f t="shared" si="485"/>
        <v>0</v>
      </c>
      <c r="LJ24" s="181">
        <f t="shared" si="485"/>
        <v>0</v>
      </c>
      <c r="LK24" s="181">
        <f t="shared" si="485"/>
        <v>0</v>
      </c>
      <c r="LL24" s="666">
        <f t="shared" si="485"/>
        <v>16331834</v>
      </c>
      <c r="LM24" s="665">
        <f>SUM(LM26:LM38)</f>
        <v>9704515</v>
      </c>
      <c r="LN24" s="181">
        <f t="shared" si="485"/>
        <v>962063</v>
      </c>
      <c r="LO24" s="181">
        <f t="shared" si="485"/>
        <v>3585726</v>
      </c>
      <c r="LP24" s="181">
        <f t="shared" si="485"/>
        <v>3370771</v>
      </c>
      <c r="LQ24" s="181">
        <f t="shared" si="485"/>
        <v>16073852</v>
      </c>
      <c r="LR24" s="181">
        <f t="shared" si="485"/>
        <v>9114714</v>
      </c>
      <c r="LS24" s="181">
        <f t="shared" si="485"/>
        <v>934498</v>
      </c>
      <c r="LT24" s="181">
        <f t="shared" si="485"/>
        <v>3664452</v>
      </c>
      <c r="LU24" s="181">
        <f t="shared" si="485"/>
        <v>5396744</v>
      </c>
      <c r="LV24" s="181">
        <f t="shared" si="485"/>
        <v>1285524</v>
      </c>
      <c r="LW24" s="181">
        <f t="shared" si="485"/>
        <v>96151</v>
      </c>
      <c r="LX24" s="181">
        <f t="shared" si="485"/>
        <v>310242</v>
      </c>
      <c r="LY24" s="181">
        <f t="shared" si="485"/>
        <v>2234297</v>
      </c>
      <c r="LZ24" s="181">
        <f t="shared" si="485"/>
        <v>1470530</v>
      </c>
      <c r="MA24" s="251">
        <f>SUM(MA26:MA38)</f>
        <v>2505787</v>
      </c>
      <c r="MB24" s="181">
        <f t="shared" si="485"/>
        <v>2008539</v>
      </c>
      <c r="MC24" s="181">
        <f t="shared" si="485"/>
        <v>142935</v>
      </c>
      <c r="MD24" s="181">
        <f t="shared" si="485"/>
        <v>248269</v>
      </c>
      <c r="ME24" s="182">
        <f t="shared" si="485"/>
        <v>354313</v>
      </c>
      <c r="MF24" s="181">
        <f>SUM(MF26:MF38)</f>
        <v>2839898</v>
      </c>
      <c r="MG24" s="181">
        <f t="shared" si="485"/>
        <v>2135794</v>
      </c>
      <c r="MH24" s="181">
        <f t="shared" si="485"/>
        <v>153622</v>
      </c>
      <c r="MI24" s="181">
        <f t="shared" si="485"/>
        <v>316516</v>
      </c>
      <c r="MJ24" s="182">
        <f t="shared" si="485"/>
        <v>540569</v>
      </c>
      <c r="MK24" s="181">
        <f>SUM(MK26:MK38)</f>
        <v>3498834</v>
      </c>
      <c r="ML24" s="181">
        <f t="shared" si="485"/>
        <v>2328204</v>
      </c>
      <c r="MM24" s="181">
        <f t="shared" si="485"/>
        <v>194815</v>
      </c>
      <c r="MN24" s="181">
        <f t="shared" si="485"/>
        <v>495817</v>
      </c>
      <c r="MO24" s="181">
        <f t="shared" si="485"/>
        <v>721816</v>
      </c>
      <c r="MP24" s="181">
        <f>SUM(MP26:MP38)</f>
        <v>3677385</v>
      </c>
      <c r="MQ24" s="181">
        <f t="shared" si="485"/>
        <v>2760254</v>
      </c>
      <c r="MR24" s="181">
        <f t="shared" si="485"/>
        <v>201722</v>
      </c>
      <c r="MS24" s="181">
        <f t="shared" si="485"/>
        <v>559242</v>
      </c>
      <c r="MT24" s="181">
        <f t="shared" si="485"/>
        <v>715409</v>
      </c>
      <c r="MU24" s="181">
        <f>SUM(MU26:MU38)</f>
        <v>0</v>
      </c>
      <c r="MV24" s="181">
        <f t="shared" si="485"/>
        <v>0</v>
      </c>
      <c r="MW24" s="181">
        <f t="shared" si="485"/>
        <v>0</v>
      </c>
      <c r="MX24" s="181">
        <f t="shared" si="485"/>
        <v>0</v>
      </c>
      <c r="MY24" s="182">
        <f t="shared" si="485"/>
        <v>0</v>
      </c>
      <c r="MZ24" s="182">
        <f t="shared" si="485"/>
        <v>3856754</v>
      </c>
      <c r="NA24" s="182">
        <f t="shared" si="485"/>
        <v>2499543</v>
      </c>
      <c r="NB24" s="182">
        <f t="shared" si="485"/>
        <v>208272</v>
      </c>
      <c r="NC24" s="182">
        <f t="shared" si="485"/>
        <v>615578</v>
      </c>
      <c r="ND24" s="182">
        <f t="shared" si="485"/>
        <v>746409</v>
      </c>
      <c r="NE24" s="182">
        <f t="shared" si="485"/>
        <v>3978896</v>
      </c>
      <c r="NF24" s="182">
        <f t="shared" si="485"/>
        <v>2563794</v>
      </c>
      <c r="NG24" s="182">
        <f t="shared" si="485"/>
        <v>211690</v>
      </c>
      <c r="NH24" s="182">
        <f t="shared" si="485"/>
        <v>646304</v>
      </c>
      <c r="NI24" s="182">
        <f t="shared" si="485"/>
        <v>777685</v>
      </c>
      <c r="NJ24" s="182"/>
      <c r="NK24" s="182"/>
      <c r="NL24" s="182"/>
      <c r="NM24" s="182"/>
      <c r="NN24" s="182"/>
      <c r="NO24" s="182">
        <f t="shared" si="485"/>
        <v>4167733</v>
      </c>
      <c r="NP24" s="182">
        <f t="shared" si="485"/>
        <v>2602286</v>
      </c>
      <c r="NQ24" s="182">
        <f t="shared" si="485"/>
        <v>231917</v>
      </c>
      <c r="NR24" s="364">
        <f t="shared" si="485"/>
        <v>720299</v>
      </c>
      <c r="NS24" s="364">
        <f t="shared" si="485"/>
        <v>863263</v>
      </c>
      <c r="NT24" s="365">
        <f t="shared" si="485"/>
        <v>4293511</v>
      </c>
      <c r="NU24" s="365">
        <f t="shared" si="485"/>
        <v>2657573</v>
      </c>
      <c r="NV24" s="365">
        <f t="shared" si="485"/>
        <v>237462</v>
      </c>
      <c r="NW24" s="365">
        <f t="shared" si="485"/>
        <v>774196</v>
      </c>
      <c r="NX24" s="365">
        <f t="shared" si="485"/>
        <v>906122</v>
      </c>
      <c r="NY24" s="377">
        <f t="shared" ref="NY24:OW24" si="487">SUM(NY26:NY38)</f>
        <v>4382176</v>
      </c>
      <c r="NZ24" s="365">
        <f t="shared" si="487"/>
        <v>2686402</v>
      </c>
      <c r="OA24" s="365">
        <f t="shared" si="487"/>
        <v>235232</v>
      </c>
      <c r="OB24" s="365">
        <f t="shared" si="487"/>
        <v>822873</v>
      </c>
      <c r="OC24" s="364">
        <f t="shared" si="487"/>
        <v>937263</v>
      </c>
      <c r="OD24" s="377">
        <f t="shared" si="487"/>
        <v>4562389</v>
      </c>
      <c r="OE24" s="365">
        <f t="shared" si="487"/>
        <v>0</v>
      </c>
      <c r="OF24" s="365">
        <f t="shared" si="487"/>
        <v>0</v>
      </c>
      <c r="OG24" s="365">
        <f t="shared" si="487"/>
        <v>0</v>
      </c>
      <c r="OH24" s="365">
        <f t="shared" si="487"/>
        <v>0</v>
      </c>
      <c r="OI24" s="377">
        <f t="shared" si="487"/>
        <v>4571518</v>
      </c>
      <c r="OJ24" s="365">
        <f t="shared" si="487"/>
        <v>2756082</v>
      </c>
      <c r="OK24" s="365">
        <f t="shared" si="487"/>
        <v>243441</v>
      </c>
      <c r="OL24" s="365">
        <f t="shared" si="487"/>
        <v>893333</v>
      </c>
      <c r="OM24" s="365">
        <f t="shared" si="487"/>
        <v>986539</v>
      </c>
      <c r="ON24" s="377">
        <f t="shared" si="487"/>
        <v>4655798</v>
      </c>
      <c r="OO24" s="365">
        <f t="shared" si="487"/>
        <v>2680773</v>
      </c>
      <c r="OP24" s="365">
        <f t="shared" si="487"/>
        <v>245545</v>
      </c>
      <c r="OQ24" s="365">
        <f t="shared" si="487"/>
        <v>954313</v>
      </c>
      <c r="OR24" s="365">
        <f t="shared" si="487"/>
        <v>372445</v>
      </c>
      <c r="OS24" s="365">
        <f t="shared" si="487"/>
        <v>470146</v>
      </c>
      <c r="OT24" s="365">
        <f t="shared" si="487"/>
        <v>25969</v>
      </c>
      <c r="OU24" s="365">
        <f t="shared" si="487"/>
        <v>75461</v>
      </c>
      <c r="OV24" s="365">
        <f t="shared" si="487"/>
        <v>613709</v>
      </c>
      <c r="OW24" s="365">
        <f t="shared" si="487"/>
        <v>373664</v>
      </c>
      <c r="OX24" s="377">
        <f t="shared" si="485"/>
        <v>10783305</v>
      </c>
      <c r="OY24" s="365">
        <f t="shared" si="485"/>
        <v>6218650</v>
      </c>
      <c r="OZ24" s="365">
        <f t="shared" si="485"/>
        <v>440253</v>
      </c>
      <c r="PA24" s="365">
        <f t="shared" si="485"/>
        <v>2403436</v>
      </c>
      <c r="PB24" s="365">
        <f t="shared" si="485"/>
        <v>1837596</v>
      </c>
      <c r="PC24" s="377">
        <f t="shared" si="485"/>
        <v>13313395</v>
      </c>
      <c r="PD24" s="365">
        <f t="shared" si="485"/>
        <v>10426562</v>
      </c>
      <c r="PE24" s="365">
        <f t="shared" si="485"/>
        <v>465153</v>
      </c>
      <c r="PF24" s="365">
        <f t="shared" si="485"/>
        <v>934240</v>
      </c>
      <c r="PG24" s="365">
        <f t="shared" si="485"/>
        <v>2383206</v>
      </c>
      <c r="PH24" s="181">
        <f>SUM(PH26:PH38)</f>
        <v>14956858</v>
      </c>
      <c r="PI24" s="181">
        <f t="shared" si="485"/>
        <v>11307865</v>
      </c>
      <c r="PJ24" s="181">
        <f t="shared" si="485"/>
        <v>558755</v>
      </c>
      <c r="PK24" s="181">
        <f t="shared" si="485"/>
        <v>1503479</v>
      </c>
      <c r="PL24" s="182">
        <f t="shared" si="485"/>
        <v>3090238</v>
      </c>
      <c r="PM24" s="181">
        <f>SUM(PM26:PM38)</f>
        <v>16138189</v>
      </c>
      <c r="PN24" s="181">
        <f t="shared" si="485"/>
        <v>11460161</v>
      </c>
      <c r="PO24" s="181">
        <f t="shared" si="485"/>
        <v>595209</v>
      </c>
      <c r="PP24" s="181">
        <f t="shared" si="485"/>
        <v>1465703</v>
      </c>
      <c r="PQ24" s="181">
        <f t="shared" si="485"/>
        <v>3283831</v>
      </c>
      <c r="PR24" s="253">
        <f>SUM(PR26:PR38)</f>
        <v>0</v>
      </c>
      <c r="PS24" s="253">
        <f t="shared" si="485"/>
        <v>0</v>
      </c>
      <c r="PT24" s="253">
        <f t="shared" si="485"/>
        <v>0</v>
      </c>
      <c r="PU24" s="253">
        <f t="shared" si="485"/>
        <v>0</v>
      </c>
      <c r="PV24" s="397">
        <f t="shared" si="485"/>
        <v>0</v>
      </c>
      <c r="PW24" s="397">
        <f t="shared" si="485"/>
        <v>18070084</v>
      </c>
      <c r="PX24" s="397">
        <f t="shared" si="485"/>
        <v>12402663</v>
      </c>
      <c r="PY24" s="397">
        <f t="shared" si="485"/>
        <v>668866</v>
      </c>
      <c r="PZ24" s="397">
        <f t="shared" si="485"/>
        <v>1846140</v>
      </c>
      <c r="QA24" s="397">
        <f t="shared" si="485"/>
        <v>3749448</v>
      </c>
      <c r="QB24" s="397">
        <f t="shared" si="485"/>
        <v>18592647</v>
      </c>
      <c r="QC24" s="397">
        <f t="shared" si="485"/>
        <v>12690033</v>
      </c>
      <c r="QD24" s="397">
        <f t="shared" si="485"/>
        <v>683761</v>
      </c>
      <c r="QE24" s="397">
        <f t="shared" si="485"/>
        <v>1939339</v>
      </c>
      <c r="QF24" s="253">
        <f t="shared" si="485"/>
        <v>3899757</v>
      </c>
      <c r="QG24" s="532">
        <f t="shared" si="485"/>
        <v>19657462</v>
      </c>
      <c r="QH24" s="397">
        <f t="shared" si="485"/>
        <v>13184534</v>
      </c>
      <c r="QI24" s="397">
        <f t="shared" si="485"/>
        <v>723581</v>
      </c>
      <c r="QJ24" s="397">
        <f t="shared" si="485"/>
        <v>2150770</v>
      </c>
      <c r="QK24" s="253">
        <f t="shared" si="485"/>
        <v>4307845</v>
      </c>
      <c r="QL24" s="532">
        <f t="shared" si="485"/>
        <v>20280793</v>
      </c>
      <c r="QM24" s="397">
        <f t="shared" si="485"/>
        <v>13472327</v>
      </c>
      <c r="QN24" s="397">
        <f t="shared" si="485"/>
        <v>779175</v>
      </c>
      <c r="QO24" s="397">
        <f t="shared" si="485"/>
        <v>2236168</v>
      </c>
      <c r="QP24" s="253">
        <f t="shared" si="485"/>
        <v>4512671</v>
      </c>
      <c r="QQ24" s="535">
        <f t="shared" si="485"/>
        <v>20989042</v>
      </c>
      <c r="QR24" s="253">
        <f t="shared" si="485"/>
        <v>13852936</v>
      </c>
      <c r="QS24" s="253">
        <f t="shared" si="485"/>
        <v>788298</v>
      </c>
      <c r="QT24" s="253">
        <f t="shared" si="485"/>
        <v>2381210</v>
      </c>
      <c r="QU24" s="253">
        <f t="shared" si="485"/>
        <v>4761492</v>
      </c>
      <c r="QV24" s="535">
        <f t="shared" si="485"/>
        <v>21733906</v>
      </c>
      <c r="QW24" s="253">
        <f t="shared" si="485"/>
        <v>14144851</v>
      </c>
      <c r="QX24" s="253">
        <f t="shared" si="485"/>
        <v>833206</v>
      </c>
      <c r="QY24" s="253">
        <f t="shared" si="485"/>
        <v>2585286</v>
      </c>
      <c r="QZ24" s="253">
        <f t="shared" si="485"/>
        <v>5056682</v>
      </c>
      <c r="RA24" s="535">
        <f t="shared" si="485"/>
        <v>22414396</v>
      </c>
      <c r="RB24" s="253">
        <f t="shared" si="485"/>
        <v>0</v>
      </c>
      <c r="RC24" s="253">
        <f t="shared" si="485"/>
        <v>0</v>
      </c>
      <c r="RD24" s="253">
        <f t="shared" si="485"/>
        <v>0</v>
      </c>
      <c r="RE24" s="253">
        <f t="shared" si="485"/>
        <v>0</v>
      </c>
      <c r="RF24" s="535">
        <f t="shared" si="485"/>
        <v>22964614</v>
      </c>
      <c r="RG24" s="253">
        <f t="shared" si="485"/>
        <v>14641269</v>
      </c>
      <c r="RH24" s="253">
        <f t="shared" si="485"/>
        <v>892719</v>
      </c>
      <c r="RI24" s="253">
        <f t="shared" si="485"/>
        <v>2901960</v>
      </c>
      <c r="RJ24" s="253">
        <f t="shared" si="485"/>
        <v>5488117</v>
      </c>
      <c r="RK24" s="535">
        <f t="shared" si="485"/>
        <v>24079985</v>
      </c>
      <c r="RL24" s="253">
        <f t="shared" si="485"/>
        <v>14737965</v>
      </c>
      <c r="RM24" s="253">
        <f t="shared" si="485"/>
        <v>915320</v>
      </c>
      <c r="RN24" s="253">
        <f t="shared" si="485"/>
        <v>3317052</v>
      </c>
      <c r="RO24" s="253">
        <f t="shared" si="485"/>
        <v>7806255</v>
      </c>
      <c r="RP24" s="253">
        <f t="shared" si="485"/>
        <v>3781316</v>
      </c>
      <c r="RQ24" s="253">
        <f t="shared" si="485"/>
        <v>70571</v>
      </c>
      <c r="RR24" s="253">
        <f t="shared" si="485"/>
        <v>212176</v>
      </c>
      <c r="RS24" s="253">
        <f t="shared" si="485"/>
        <v>2527665</v>
      </c>
      <c r="RT24" s="253">
        <f t="shared" si="485"/>
        <v>1214527</v>
      </c>
      <c r="RU24" s="181">
        <f>SUM(RU26:RU38)</f>
        <v>4966348</v>
      </c>
      <c r="RV24" s="181">
        <f t="shared" si="485"/>
        <v>4164544</v>
      </c>
      <c r="RW24" s="181">
        <f t="shared" si="485"/>
        <v>160603</v>
      </c>
      <c r="RX24" s="181">
        <f t="shared" si="485"/>
        <v>241211</v>
      </c>
      <c r="RY24" s="182">
        <f t="shared" si="485"/>
        <v>641201</v>
      </c>
      <c r="RZ24" s="181">
        <f>SUM(RZ26:RZ38)</f>
        <v>6801505</v>
      </c>
      <c r="SA24" s="181">
        <f t="shared" si="485"/>
        <v>5322432</v>
      </c>
      <c r="SB24" s="181">
        <f t="shared" si="485"/>
        <v>207160</v>
      </c>
      <c r="SC24" s="181">
        <f t="shared" si="485"/>
        <v>410810</v>
      </c>
      <c r="SD24" s="181">
        <f t="shared" si="485"/>
        <v>1251283</v>
      </c>
      <c r="SE24" s="251"/>
      <c r="SF24" s="181"/>
      <c r="SG24" s="181"/>
      <c r="SH24" s="181"/>
      <c r="SI24" s="181"/>
      <c r="SJ24" s="181">
        <f>SUM(SJ26:SJ38)</f>
        <v>8713663</v>
      </c>
      <c r="SK24" s="181">
        <f t="shared" si="485"/>
        <v>6535219</v>
      </c>
      <c r="SL24" s="181">
        <f t="shared" ref="SL24:SN24" si="488">SUM(SL26:SL38)</f>
        <v>286269</v>
      </c>
      <c r="SM24" s="181">
        <f t="shared" si="488"/>
        <v>787210</v>
      </c>
      <c r="SN24" s="181">
        <f t="shared" si="488"/>
        <v>1892175</v>
      </c>
      <c r="SO24" s="181">
        <f>SUM(SO26:SO38)</f>
        <v>8878691.3919999991</v>
      </c>
      <c r="SP24" s="181">
        <f t="shared" ref="SP24:UQ24" si="489">SUM(SP26:SP38)</f>
        <v>6651047.9590000017</v>
      </c>
      <c r="SQ24" s="181">
        <f t="shared" si="489"/>
        <v>292043.65999999992</v>
      </c>
      <c r="SR24" s="181">
        <f t="shared" si="489"/>
        <v>822454.25300000014</v>
      </c>
      <c r="SS24" s="181">
        <f t="shared" si="489"/>
        <v>1935599.7730000003</v>
      </c>
      <c r="ST24" s="181">
        <f>SUM(ST26:ST38)</f>
        <v>9072787</v>
      </c>
      <c r="SU24" s="181">
        <f t="shared" si="489"/>
        <v>6208011</v>
      </c>
      <c r="SV24" s="181">
        <f t="shared" si="489"/>
        <v>299848</v>
      </c>
      <c r="SW24" s="181">
        <f t="shared" si="489"/>
        <v>860273</v>
      </c>
      <c r="SX24" s="181">
        <f t="shared" si="489"/>
        <v>1980299</v>
      </c>
      <c r="SY24" s="181">
        <f t="shared" si="489"/>
        <v>9290473</v>
      </c>
      <c r="SZ24" s="181">
        <f t="shared" si="489"/>
        <v>6321749</v>
      </c>
      <c r="TA24" s="181">
        <f t="shared" si="489"/>
        <v>306044</v>
      </c>
      <c r="TB24" s="181">
        <f t="shared" si="489"/>
        <v>907671</v>
      </c>
      <c r="TC24" s="181">
        <f t="shared" si="489"/>
        <v>2045881</v>
      </c>
      <c r="TD24" s="181">
        <f>SUM(TD27:TD38)</f>
        <v>9714486</v>
      </c>
      <c r="TE24" s="181">
        <f t="shared" si="489"/>
        <v>6554071</v>
      </c>
      <c r="TF24" s="181">
        <f t="shared" si="489"/>
        <v>312283</v>
      </c>
      <c r="TG24" s="181">
        <f t="shared" si="489"/>
        <v>1003986</v>
      </c>
      <c r="TH24" s="181">
        <f t="shared" si="489"/>
        <v>2265972</v>
      </c>
      <c r="TI24" s="181">
        <f t="shared" si="489"/>
        <v>10174747</v>
      </c>
      <c r="TJ24" s="181">
        <f t="shared" si="489"/>
        <v>6734116</v>
      </c>
      <c r="TK24" s="181">
        <f t="shared" si="489"/>
        <v>342776</v>
      </c>
      <c r="TL24" s="181">
        <f t="shared" si="489"/>
        <v>1073189</v>
      </c>
      <c r="TM24" s="181">
        <f t="shared" si="489"/>
        <v>2382475</v>
      </c>
      <c r="TN24" s="181">
        <f t="shared" si="489"/>
        <v>10495464</v>
      </c>
      <c r="TO24" s="181">
        <f t="shared" si="489"/>
        <v>6906112</v>
      </c>
      <c r="TP24" s="181">
        <f t="shared" si="489"/>
        <v>350490</v>
      </c>
      <c r="TQ24" s="181">
        <f t="shared" si="489"/>
        <v>1128262</v>
      </c>
      <c r="TR24" s="181">
        <f t="shared" si="489"/>
        <v>2491474</v>
      </c>
      <c r="TS24" s="251">
        <f t="shared" si="489"/>
        <v>10913741</v>
      </c>
      <c r="TT24" s="181">
        <f t="shared" si="489"/>
        <v>7063405</v>
      </c>
      <c r="TU24" s="181">
        <f t="shared" si="489"/>
        <v>388396</v>
      </c>
      <c r="TV24" s="181">
        <f t="shared" si="489"/>
        <v>1240277</v>
      </c>
      <c r="TW24" s="181">
        <f t="shared" si="489"/>
        <v>2652354</v>
      </c>
      <c r="TX24" s="251">
        <f t="shared" si="489"/>
        <v>11155364</v>
      </c>
      <c r="TY24" s="181">
        <f t="shared" si="489"/>
        <v>0</v>
      </c>
      <c r="TZ24" s="181">
        <f t="shared" si="489"/>
        <v>0</v>
      </c>
      <c r="UA24" s="181">
        <f t="shared" si="489"/>
        <v>0</v>
      </c>
      <c r="UB24" s="181">
        <f t="shared" si="489"/>
        <v>0</v>
      </c>
      <c r="UC24" s="251">
        <f t="shared" si="489"/>
        <v>11510696</v>
      </c>
      <c r="UD24" s="181">
        <f t="shared" si="489"/>
        <v>7298618</v>
      </c>
      <c r="UE24" s="181">
        <f t="shared" si="489"/>
        <v>412760</v>
      </c>
      <c r="UF24" s="181">
        <f t="shared" si="489"/>
        <v>1419100</v>
      </c>
      <c r="UG24" s="181">
        <f t="shared" si="489"/>
        <v>2863743</v>
      </c>
      <c r="UH24" s="251">
        <f t="shared" si="489"/>
        <v>11955283</v>
      </c>
      <c r="UI24" s="181">
        <f t="shared" si="489"/>
        <v>7303824</v>
      </c>
      <c r="UJ24" s="181">
        <f t="shared" si="489"/>
        <v>414472</v>
      </c>
      <c r="UK24" s="181">
        <f t="shared" si="489"/>
        <v>1618957</v>
      </c>
      <c r="UL24" s="181">
        <f t="shared" si="489"/>
        <v>3939074</v>
      </c>
      <c r="UM24" s="181">
        <f t="shared" si="489"/>
        <v>1967745</v>
      </c>
      <c r="UN24" s="181">
        <f t="shared" si="489"/>
        <v>32795</v>
      </c>
      <c r="UO24" s="181">
        <f t="shared" si="489"/>
        <v>91077</v>
      </c>
      <c r="UP24" s="181">
        <f t="shared" si="489"/>
        <v>1245994</v>
      </c>
      <c r="UQ24" s="181">
        <f t="shared" si="489"/>
        <v>842082</v>
      </c>
      <c r="UR24" s="173">
        <f t="shared" ref="UR24:WZ24" si="490">SUM(UR26:UR38)</f>
        <v>1409215</v>
      </c>
      <c r="US24" s="173">
        <f t="shared" si="490"/>
        <v>858738</v>
      </c>
      <c r="UT24" s="173">
        <f t="shared" si="490"/>
        <v>550477</v>
      </c>
      <c r="UU24" s="173">
        <f t="shared" si="490"/>
        <v>59045</v>
      </c>
      <c r="UV24" s="173">
        <f t="shared" si="490"/>
        <v>34549</v>
      </c>
      <c r="UW24" s="173">
        <f t="shared" si="490"/>
        <v>24496</v>
      </c>
      <c r="UX24" s="250">
        <f t="shared" si="490"/>
        <v>2451817</v>
      </c>
      <c r="UY24" s="173">
        <f t="shared" si="490"/>
        <v>1485523</v>
      </c>
      <c r="UZ24" s="173">
        <f t="shared" si="490"/>
        <v>966294</v>
      </c>
      <c r="VA24" s="173">
        <f t="shared" si="490"/>
        <v>2301528</v>
      </c>
      <c r="VB24" s="173">
        <f t="shared" si="490"/>
        <v>1396650</v>
      </c>
      <c r="VC24" s="173">
        <f t="shared" si="490"/>
        <v>904878</v>
      </c>
      <c r="VD24" s="173">
        <f t="shared" si="490"/>
        <v>45928</v>
      </c>
      <c r="VE24" s="173">
        <f t="shared" si="490"/>
        <v>22731</v>
      </c>
      <c r="VF24" s="173">
        <f t="shared" si="490"/>
        <v>23197</v>
      </c>
      <c r="VG24" s="173">
        <f t="shared" si="490"/>
        <v>104361</v>
      </c>
      <c r="VH24" s="173">
        <f t="shared" si="490"/>
        <v>66142</v>
      </c>
      <c r="VI24" s="173">
        <f t="shared" si="490"/>
        <v>38219</v>
      </c>
      <c r="VJ24" s="195">
        <f t="shared" si="490"/>
        <v>4844282</v>
      </c>
      <c r="VK24" s="173">
        <f t="shared" si="490"/>
        <v>2875900</v>
      </c>
      <c r="VL24" s="173">
        <f t="shared" si="490"/>
        <v>1968382</v>
      </c>
      <c r="VM24" s="181">
        <f t="shared" si="490"/>
        <v>4176071</v>
      </c>
      <c r="VN24" s="173">
        <f t="shared" si="490"/>
        <v>2495442</v>
      </c>
      <c r="VO24" s="173">
        <f t="shared" si="490"/>
        <v>1680629</v>
      </c>
      <c r="VP24" s="173">
        <f t="shared" si="490"/>
        <v>380458</v>
      </c>
      <c r="VQ24" s="173">
        <f t="shared" si="490"/>
        <v>287753</v>
      </c>
      <c r="VR24" s="181">
        <f t="shared" si="490"/>
        <v>128075</v>
      </c>
      <c r="VS24" s="173">
        <f t="shared" si="490"/>
        <v>68057</v>
      </c>
      <c r="VT24" s="173">
        <f t="shared" si="490"/>
        <v>60018</v>
      </c>
      <c r="VU24" s="181">
        <f t="shared" si="490"/>
        <v>184813</v>
      </c>
      <c r="VV24" s="173">
        <f t="shared" si="490"/>
        <v>114596</v>
      </c>
      <c r="VW24" s="173">
        <f t="shared" si="490"/>
        <v>70217</v>
      </c>
      <c r="VX24" s="173">
        <f t="shared" si="490"/>
        <v>355323</v>
      </c>
      <c r="VY24" s="173">
        <f t="shared" si="490"/>
        <v>197805</v>
      </c>
      <c r="VZ24" s="173">
        <f t="shared" si="490"/>
        <v>157518</v>
      </c>
      <c r="WA24" s="173">
        <f t="shared" si="490"/>
        <v>7834</v>
      </c>
      <c r="WB24" s="173">
        <f t="shared" si="490"/>
        <v>4981</v>
      </c>
      <c r="WC24" s="173">
        <f t="shared" si="490"/>
        <v>2853</v>
      </c>
      <c r="WD24" s="173">
        <f t="shared" si="490"/>
        <v>347489</v>
      </c>
      <c r="WE24" s="173">
        <f t="shared" si="490"/>
        <v>192824</v>
      </c>
      <c r="WF24" s="173">
        <f t="shared" si="490"/>
        <v>154665</v>
      </c>
      <c r="WG24" s="251">
        <f t="shared" si="490"/>
        <v>8277518</v>
      </c>
      <c r="WH24" s="173">
        <f t="shared" si="490"/>
        <v>4191087</v>
      </c>
      <c r="WI24" s="173">
        <f t="shared" si="490"/>
        <v>3314357</v>
      </c>
      <c r="WJ24" s="181">
        <f t="shared" si="490"/>
        <v>4210111</v>
      </c>
      <c r="WK24" s="181">
        <f t="shared" si="490"/>
        <v>6122945</v>
      </c>
      <c r="WL24" s="173">
        <f t="shared" si="490"/>
        <v>3453771</v>
      </c>
      <c r="WM24" s="173">
        <f t="shared" si="490"/>
        <v>2669174</v>
      </c>
      <c r="WN24" s="173">
        <f t="shared" si="490"/>
        <v>737316</v>
      </c>
      <c r="WO24" s="173">
        <f t="shared" si="490"/>
        <v>645183</v>
      </c>
      <c r="WP24" s="181">
        <f t="shared" si="490"/>
        <v>297318</v>
      </c>
      <c r="WQ24" s="181">
        <f t="shared" si="490"/>
        <v>230401</v>
      </c>
      <c r="WR24" s="173">
        <f t="shared" si="490"/>
        <v>116790</v>
      </c>
      <c r="WS24" s="173">
        <f t="shared" si="490"/>
        <v>113611</v>
      </c>
      <c r="WT24" s="181">
        <f t="shared" si="490"/>
        <v>363541</v>
      </c>
      <c r="WU24" s="173">
        <f t="shared" si="490"/>
        <v>206482</v>
      </c>
      <c r="WV24" s="173">
        <f t="shared" si="490"/>
        <v>157059</v>
      </c>
      <c r="WW24" s="182">
        <f t="shared" si="490"/>
        <v>1483283</v>
      </c>
      <c r="WX24" s="252">
        <f t="shared" si="490"/>
        <v>414044</v>
      </c>
      <c r="WY24" s="252">
        <f t="shared" si="490"/>
        <v>374513</v>
      </c>
      <c r="WZ24" s="252">
        <f t="shared" si="490"/>
        <v>5067</v>
      </c>
      <c r="XA24" s="252">
        <f t="shared" ref="XA24:YU24" si="491">SUM(XA26:XA38)</f>
        <v>2825</v>
      </c>
      <c r="XB24" s="252">
        <f t="shared" si="491"/>
        <v>2242</v>
      </c>
      <c r="XC24" s="252">
        <f t="shared" si="491"/>
        <v>783490</v>
      </c>
      <c r="XD24" s="252">
        <f t="shared" si="491"/>
        <v>411219</v>
      </c>
      <c r="XE24" s="252">
        <f t="shared" si="491"/>
        <v>372271</v>
      </c>
      <c r="XF24" s="173">
        <f t="shared" si="491"/>
        <v>18245</v>
      </c>
      <c r="XG24" s="173">
        <f t="shared" si="491"/>
        <v>17588</v>
      </c>
      <c r="XH24" s="173">
        <f t="shared" si="491"/>
        <v>392974</v>
      </c>
      <c r="XI24" s="173">
        <f t="shared" si="491"/>
        <v>354683</v>
      </c>
      <c r="XJ24" s="218">
        <f t="shared" si="491"/>
        <v>10473497</v>
      </c>
      <c r="XK24" s="173">
        <f t="shared" si="491"/>
        <v>5495354</v>
      </c>
      <c r="XL24" s="173">
        <f t="shared" si="491"/>
        <v>4978143</v>
      </c>
      <c r="XM24" s="253">
        <f t="shared" si="491"/>
        <v>8290768</v>
      </c>
      <c r="XN24" s="253">
        <f t="shared" si="491"/>
        <v>4412891</v>
      </c>
      <c r="XO24" s="253">
        <f t="shared" si="491"/>
        <v>3877877</v>
      </c>
      <c r="XP24" s="253">
        <f t="shared" si="491"/>
        <v>7933349</v>
      </c>
      <c r="XQ24" s="173">
        <f t="shared" si="491"/>
        <v>4232780</v>
      </c>
      <c r="XR24" s="173">
        <f t="shared" si="491"/>
        <v>3700569</v>
      </c>
      <c r="XS24" s="253">
        <f t="shared" si="491"/>
        <v>311531</v>
      </c>
      <c r="XT24" s="173">
        <f t="shared" si="491"/>
        <v>149301</v>
      </c>
      <c r="XU24" s="173">
        <f t="shared" si="491"/>
        <v>162230</v>
      </c>
      <c r="XV24" s="253">
        <f t="shared" si="491"/>
        <v>630210</v>
      </c>
      <c r="XW24" s="173">
        <f t="shared" si="491"/>
        <v>314815</v>
      </c>
      <c r="XX24" s="173">
        <f t="shared" si="491"/>
        <v>315395</v>
      </c>
      <c r="XY24" s="253">
        <f t="shared" si="491"/>
        <v>1871198</v>
      </c>
      <c r="XZ24" s="173">
        <f t="shared" si="491"/>
        <v>933162</v>
      </c>
      <c r="YA24" s="173">
        <f t="shared" si="491"/>
        <v>938036</v>
      </c>
      <c r="YB24" s="251">
        <f t="shared" si="491"/>
        <v>12639355</v>
      </c>
      <c r="YC24" s="181">
        <f t="shared" si="491"/>
        <v>9131957</v>
      </c>
      <c r="YD24" s="181">
        <f t="shared" si="491"/>
        <v>400394</v>
      </c>
      <c r="YE24" s="181">
        <f t="shared" si="491"/>
        <v>969886</v>
      </c>
      <c r="YF24" s="181">
        <f t="shared" si="491"/>
        <v>2562015</v>
      </c>
      <c r="YG24" s="251">
        <f t="shared" si="491"/>
        <v>12966029</v>
      </c>
      <c r="YH24" s="181">
        <f t="shared" si="491"/>
        <v>9932724</v>
      </c>
      <c r="YI24" s="181">
        <f t="shared" si="491"/>
        <v>412158</v>
      </c>
      <c r="YJ24" s="181">
        <f t="shared" si="491"/>
        <v>2621147</v>
      </c>
      <c r="YK24" s="181">
        <f t="shared" si="491"/>
        <v>1030655</v>
      </c>
      <c r="YL24" s="251">
        <f t="shared" si="491"/>
        <v>13295956</v>
      </c>
      <c r="YM24" s="181">
        <f t="shared" si="491"/>
        <v>10181940</v>
      </c>
      <c r="YN24" s="181">
        <f t="shared" si="491"/>
        <v>427268</v>
      </c>
      <c r="YO24" s="181">
        <f t="shared" si="491"/>
        <v>2686748</v>
      </c>
      <c r="YP24" s="181">
        <f t="shared" si="491"/>
        <v>1070600</v>
      </c>
      <c r="YQ24" s="251">
        <f t="shared" si="491"/>
        <v>13583340</v>
      </c>
      <c r="YR24" s="181">
        <f t="shared" si="491"/>
        <v>10317072</v>
      </c>
      <c r="YS24" s="181">
        <f t="shared" si="491"/>
        <v>439816</v>
      </c>
      <c r="YT24" s="181">
        <f>SUM(YT26:YT38)</f>
        <v>2826452</v>
      </c>
      <c r="YU24" s="181">
        <f t="shared" si="491"/>
        <v>1124598</v>
      </c>
      <c r="YV24" s="181">
        <f>SUM(YV26:YV38)</f>
        <v>13851814.833000001</v>
      </c>
      <c r="YW24" s="181">
        <f>SUM(YW26:YW38)</f>
        <v>10519374.331000002</v>
      </c>
      <c r="YX24" s="181">
        <f>SUM(YX26:YX38)</f>
        <v>448051.55099999998</v>
      </c>
      <c r="YY24" s="181">
        <f>SUM(YY26:YY38)</f>
        <v>1170105.5430000001</v>
      </c>
      <c r="YZ24" s="181">
        <f>SUM(YZ26:YZ38)</f>
        <v>2884388.9509999999</v>
      </c>
      <c r="ZA24" s="181">
        <f t="shared" ref="ZA24:ZD24" si="492">SUM(ZA26:ZA38)</f>
        <v>14213330</v>
      </c>
      <c r="ZB24" s="181">
        <f t="shared" si="492"/>
        <v>9903120</v>
      </c>
      <c r="ZC24" s="181">
        <f t="shared" si="492"/>
        <v>460594</v>
      </c>
      <c r="ZD24" s="181">
        <f t="shared" si="492"/>
        <v>1230562</v>
      </c>
      <c r="ZE24" s="181">
        <f t="shared" ref="ZE24:AAQ24" si="493">SUM(ZE26:ZE38)</f>
        <v>3003039</v>
      </c>
      <c r="ZF24" s="181">
        <f t="shared" si="493"/>
        <v>14613751</v>
      </c>
      <c r="ZG24" s="181">
        <f t="shared" si="493"/>
        <v>10126239</v>
      </c>
      <c r="ZH24" s="181">
        <f t="shared" si="493"/>
        <v>472071</v>
      </c>
      <c r="ZI24" s="181">
        <f t="shared" si="493"/>
        <v>1293035</v>
      </c>
      <c r="ZJ24" s="181">
        <f t="shared" si="493"/>
        <v>3122072</v>
      </c>
      <c r="ZK24" s="365">
        <f t="shared" si="493"/>
        <v>15502093</v>
      </c>
      <c r="ZL24" s="365">
        <f t="shared" si="493"/>
        <v>10566550</v>
      </c>
      <c r="ZM24" s="365">
        <f t="shared" si="493"/>
        <v>497985</v>
      </c>
      <c r="ZN24" s="365">
        <f t="shared" si="493"/>
        <v>1429282</v>
      </c>
      <c r="ZO24" s="365">
        <f t="shared" si="493"/>
        <v>3461860</v>
      </c>
      <c r="ZP24" s="365">
        <f t="shared" si="493"/>
        <v>16113060</v>
      </c>
      <c r="ZQ24" s="365">
        <f t="shared" si="493"/>
        <v>10870041</v>
      </c>
      <c r="ZR24" s="365">
        <f t="shared" si="493"/>
        <v>547258</v>
      </c>
      <c r="ZS24" s="365">
        <f t="shared" si="493"/>
        <v>1515869</v>
      </c>
      <c r="ZT24" s="365">
        <f t="shared" si="493"/>
        <v>3652312</v>
      </c>
      <c r="ZU24" s="365">
        <f t="shared" si="493"/>
        <v>16695531</v>
      </c>
      <c r="ZV24" s="365">
        <f t="shared" si="493"/>
        <v>11195363</v>
      </c>
      <c r="ZW24" s="365">
        <f t="shared" si="493"/>
        <v>550836</v>
      </c>
      <c r="ZX24" s="365">
        <f t="shared" si="493"/>
        <v>1607014</v>
      </c>
      <c r="ZY24" s="365">
        <f t="shared" si="493"/>
        <v>3858562</v>
      </c>
      <c r="ZZ24" s="365">
        <f t="shared" si="493"/>
        <v>2808767</v>
      </c>
      <c r="AAA24" s="365">
        <f t="shared" si="493"/>
        <v>31424</v>
      </c>
      <c r="AAB24" s="365">
        <f t="shared" si="493"/>
        <v>93183</v>
      </c>
      <c r="AAC24" s="365">
        <f t="shared" si="493"/>
        <v>497841</v>
      </c>
      <c r="AAD24" s="365">
        <f t="shared" si="493"/>
        <v>415984</v>
      </c>
      <c r="AAE24" s="365">
        <f t="shared" si="493"/>
        <v>17351730</v>
      </c>
      <c r="AAF24" s="365">
        <f t="shared" si="493"/>
        <v>11458449</v>
      </c>
      <c r="AAG24" s="365">
        <f t="shared" si="493"/>
        <v>597974</v>
      </c>
      <c r="AAH24" s="365">
        <f t="shared" si="493"/>
        <v>1762413</v>
      </c>
      <c r="AAI24" s="365">
        <f t="shared" si="493"/>
        <v>4119419</v>
      </c>
      <c r="AAJ24" s="377">
        <f t="shared" si="493"/>
        <v>17852007</v>
      </c>
      <c r="AAK24" s="365">
        <f t="shared" si="493"/>
        <v>0</v>
      </c>
      <c r="AAL24" s="365">
        <f t="shared" si="493"/>
        <v>0</v>
      </c>
      <c r="AAM24" s="365">
        <f t="shared" si="493"/>
        <v>0</v>
      </c>
      <c r="AAN24" s="365">
        <f t="shared" si="493"/>
        <v>0</v>
      </c>
      <c r="AAO24" s="377">
        <f t="shared" si="493"/>
        <v>18393096</v>
      </c>
      <c r="AAP24" s="377">
        <f t="shared" si="493"/>
        <v>11885187</v>
      </c>
      <c r="AAQ24" s="377">
        <f t="shared" si="493"/>
        <v>649278</v>
      </c>
      <c r="AAR24" s="377">
        <f t="shared" ref="AAR24:ABC24" si="494">SUM(AAR26:AAR38)</f>
        <v>2008627</v>
      </c>
      <c r="AAS24" s="377">
        <f t="shared" si="494"/>
        <v>4501578</v>
      </c>
      <c r="AAT24" s="377">
        <f t="shared" si="494"/>
        <v>19424187</v>
      </c>
      <c r="AAU24" s="377">
        <f t="shared" si="494"/>
        <v>12057192</v>
      </c>
      <c r="AAV24" s="377">
        <f t="shared" si="494"/>
        <v>669775</v>
      </c>
      <c r="AAW24" s="377">
        <f t="shared" si="494"/>
        <v>2362739</v>
      </c>
      <c r="AAX24" s="377">
        <f t="shared" si="494"/>
        <v>6249490</v>
      </c>
      <c r="AAY24" s="377">
        <f t="shared" si="494"/>
        <v>3311170</v>
      </c>
      <c r="AAZ24" s="377">
        <f t="shared" si="494"/>
        <v>45567</v>
      </c>
      <c r="ABA24" s="377">
        <f t="shared" si="494"/>
        <v>136715</v>
      </c>
      <c r="ABB24" s="377">
        <f t="shared" si="494"/>
        <v>1913956</v>
      </c>
      <c r="ABC24" s="377">
        <f t="shared" si="494"/>
        <v>842082</v>
      </c>
      <c r="ABD24" s="181">
        <f t="shared" ref="ABD24:ACV24" si="495">SUM(ABD26:ABD38)</f>
        <v>3671992</v>
      </c>
      <c r="ABE24" s="181">
        <f t="shared" si="495"/>
        <v>2968336</v>
      </c>
      <c r="ABF24" s="181">
        <f t="shared" si="495"/>
        <v>104371</v>
      </c>
      <c r="ABG24" s="181">
        <f t="shared" si="495"/>
        <v>206914</v>
      </c>
      <c r="ABH24" s="181">
        <f t="shared" si="495"/>
        <v>591354</v>
      </c>
      <c r="ABI24" s="181">
        <f t="shared" si="495"/>
        <v>4485933</v>
      </c>
      <c r="ABJ24" s="181">
        <f t="shared" si="495"/>
        <v>3349202</v>
      </c>
      <c r="ABK24" s="181">
        <f t="shared" si="495"/>
        <v>135117</v>
      </c>
      <c r="ABL24" s="181">
        <f t="shared" si="495"/>
        <v>291112</v>
      </c>
      <c r="ABM24" s="181">
        <f t="shared" si="495"/>
        <v>825850</v>
      </c>
      <c r="ABN24" s="251">
        <f t="shared" si="495"/>
        <v>4869677</v>
      </c>
      <c r="ABO24" s="181">
        <f t="shared" si="495"/>
        <v>3781853</v>
      </c>
      <c r="ABP24" s="181">
        <f t="shared" si="495"/>
        <v>153547</v>
      </c>
      <c r="ABQ24" s="181">
        <f t="shared" si="495"/>
        <v>337388</v>
      </c>
      <c r="ABR24" s="181">
        <f t="shared" si="495"/>
        <v>934277</v>
      </c>
      <c r="ABS24" s="251">
        <f t="shared" si="495"/>
        <v>4973123.4409999996</v>
      </c>
      <c r="ABT24" s="181">
        <f t="shared" si="495"/>
        <v>3868326.372</v>
      </c>
      <c r="ABU24" s="181">
        <f t="shared" si="495"/>
        <v>156007.89099999997</v>
      </c>
      <c r="ABV24" s="181">
        <f t="shared" si="495"/>
        <v>347651.29000000004</v>
      </c>
      <c r="ABW24" s="182">
        <f t="shared" si="495"/>
        <v>948789.17800000007</v>
      </c>
      <c r="ABX24" s="181">
        <f t="shared" si="495"/>
        <v>5140543</v>
      </c>
      <c r="ABY24" s="181">
        <f t="shared" si="495"/>
        <v>3695109</v>
      </c>
      <c r="ABZ24" s="181">
        <f t="shared" si="495"/>
        <v>160746</v>
      </c>
      <c r="ACA24" s="181">
        <f t="shared" si="495"/>
        <v>370289</v>
      </c>
      <c r="ACB24" s="364">
        <f t="shared" si="495"/>
        <v>1022740</v>
      </c>
      <c r="ACC24" s="364">
        <f t="shared" si="495"/>
        <v>5323278</v>
      </c>
      <c r="ACD24" s="364">
        <f t="shared" si="495"/>
        <v>3804490</v>
      </c>
      <c r="ACE24" s="364">
        <f t="shared" si="495"/>
        <v>166027</v>
      </c>
      <c r="ACF24" s="364">
        <f t="shared" si="495"/>
        <v>385364</v>
      </c>
      <c r="ACG24" s="364">
        <f t="shared" si="495"/>
        <v>1076191</v>
      </c>
      <c r="ACH24" s="364">
        <f t="shared" si="495"/>
        <v>5701973</v>
      </c>
      <c r="ACI24" s="364">
        <f t="shared" si="495"/>
        <v>4012479</v>
      </c>
      <c r="ACJ24" s="364">
        <f t="shared" si="495"/>
        <v>185702</v>
      </c>
      <c r="ACK24" s="364">
        <f t="shared" si="495"/>
        <v>425296</v>
      </c>
      <c r="ACL24" s="364">
        <f t="shared" si="495"/>
        <v>1195888</v>
      </c>
      <c r="ACM24" s="364">
        <f t="shared" si="495"/>
        <v>5938313</v>
      </c>
      <c r="ACN24" s="364">
        <f t="shared" si="495"/>
        <v>4135925</v>
      </c>
      <c r="ACO24" s="364">
        <f t="shared" si="495"/>
        <v>204482</v>
      </c>
      <c r="ACP24" s="364">
        <f t="shared" si="495"/>
        <v>442680</v>
      </c>
      <c r="ACQ24" s="364">
        <f t="shared" si="495"/>
        <v>1278686</v>
      </c>
      <c r="ACR24" s="364">
        <f t="shared" si="495"/>
        <v>6200067</v>
      </c>
      <c r="ACS24" s="364">
        <f t="shared" si="495"/>
        <v>4289251</v>
      </c>
      <c r="ACT24" s="364">
        <f t="shared" si="495"/>
        <v>200346</v>
      </c>
      <c r="ACU24" s="364">
        <f t="shared" si="495"/>
        <v>478752</v>
      </c>
      <c r="ACV24" s="365">
        <f t="shared" si="495"/>
        <v>1377556</v>
      </c>
      <c r="ACW24" s="365"/>
      <c r="ACX24" s="365"/>
      <c r="ACY24" s="365"/>
      <c r="ACZ24" s="365"/>
      <c r="ADA24" s="365"/>
      <c r="ADB24" s="364">
        <f t="shared" ref="ADB24:ADZ24" si="496">SUM(ADB26:ADB38)</f>
        <v>6437989</v>
      </c>
      <c r="ADC24" s="364">
        <f t="shared" si="496"/>
        <v>4395044</v>
      </c>
      <c r="ADD24" s="364">
        <f t="shared" si="496"/>
        <v>209578</v>
      </c>
      <c r="ADE24" s="364">
        <f t="shared" si="496"/>
        <v>522136</v>
      </c>
      <c r="ADF24" s="365">
        <f t="shared" si="496"/>
        <v>1467065</v>
      </c>
      <c r="ADG24" s="609">
        <f t="shared" si="496"/>
        <v>6696643</v>
      </c>
      <c r="ADH24" s="364">
        <f t="shared" si="496"/>
        <v>0</v>
      </c>
      <c r="ADI24" s="364">
        <f t="shared" si="496"/>
        <v>0</v>
      </c>
      <c r="ADJ24" s="364">
        <f t="shared" si="496"/>
        <v>0</v>
      </c>
      <c r="ADK24" s="365">
        <f t="shared" si="496"/>
        <v>0</v>
      </c>
      <c r="ADL24" s="364">
        <f t="shared" si="496"/>
        <v>6882400</v>
      </c>
      <c r="ADM24" s="364">
        <f t="shared" si="496"/>
        <v>4586569</v>
      </c>
      <c r="ADN24" s="364">
        <f t="shared" si="496"/>
        <v>236518</v>
      </c>
      <c r="ADO24" s="364">
        <f t="shared" si="496"/>
        <v>589527</v>
      </c>
      <c r="ADP24" s="364">
        <f t="shared" si="496"/>
        <v>1637835</v>
      </c>
      <c r="ADQ24" s="364">
        <f t="shared" si="496"/>
        <v>7468904</v>
      </c>
      <c r="ADR24" s="364">
        <f t="shared" si="496"/>
        <v>4753368</v>
      </c>
      <c r="ADS24" s="364">
        <f t="shared" si="496"/>
        <v>255303</v>
      </c>
      <c r="ADT24" s="364">
        <f t="shared" si="496"/>
        <v>743782</v>
      </c>
      <c r="ADU24" s="364">
        <f t="shared" si="496"/>
        <v>2311282</v>
      </c>
      <c r="ADV24" s="364">
        <f t="shared" si="496"/>
        <v>1343425</v>
      </c>
      <c r="ADW24" s="364">
        <f t="shared" si="496"/>
        <v>13638</v>
      </c>
      <c r="ADX24" s="364">
        <f t="shared" si="496"/>
        <v>45638</v>
      </c>
      <c r="ADY24" s="364">
        <f t="shared" si="496"/>
        <v>667962</v>
      </c>
      <c r="ADZ24" s="364">
        <f t="shared" si="496"/>
        <v>240619</v>
      </c>
    </row>
    <row r="25" spans="1:806" ht="14.1">
      <c r="A25" s="142" t="s">
        <v>150</v>
      </c>
      <c r="B25" s="174" t="s">
        <v>221</v>
      </c>
      <c r="C25" s="175" t="s">
        <v>221</v>
      </c>
      <c r="D25" s="175" t="s">
        <v>221</v>
      </c>
      <c r="E25" s="175" t="s">
        <v>221</v>
      </c>
      <c r="F25" s="176" t="s">
        <v>221</v>
      </c>
      <c r="G25" s="145"/>
      <c r="H25" s="145"/>
      <c r="I25" s="145"/>
      <c r="J25" s="145"/>
      <c r="K25" s="221"/>
      <c r="L25" s="145"/>
      <c r="M25" s="145"/>
      <c r="N25" s="145"/>
      <c r="O25" s="145"/>
      <c r="P25" s="221"/>
      <c r="Q25" s="145"/>
      <c r="R25" s="145"/>
      <c r="S25" s="145"/>
      <c r="T25" s="145"/>
      <c r="U25" s="221"/>
      <c r="V25" s="229"/>
      <c r="W25" s="229"/>
      <c r="X25" s="229"/>
      <c r="Y25" s="229"/>
      <c r="Z25" s="405"/>
      <c r="AA25" s="229"/>
      <c r="AB25" s="229"/>
      <c r="AC25" s="229"/>
      <c r="AD25" s="229"/>
      <c r="AE25" s="229"/>
      <c r="AF25" s="398">
        <v>0</v>
      </c>
      <c r="AG25" s="229">
        <v>0</v>
      </c>
      <c r="AH25" s="229"/>
      <c r="AI25" s="229"/>
      <c r="AJ25" s="394">
        <v>0</v>
      </c>
      <c r="AK25" s="394"/>
      <c r="AL25" s="394"/>
      <c r="AM25" s="685"/>
      <c r="AN25" s="685"/>
      <c r="AO25" s="394"/>
      <c r="AP25" s="394">
        <v>0</v>
      </c>
      <c r="AQ25" s="394">
        <v>0</v>
      </c>
      <c r="AR25" s="394">
        <v>0</v>
      </c>
      <c r="AS25" s="394">
        <v>0</v>
      </c>
      <c r="AT25" s="394">
        <v>0</v>
      </c>
      <c r="AU25" s="393">
        <v>0</v>
      </c>
      <c r="AV25" s="394">
        <v>0</v>
      </c>
      <c r="AW25" s="394">
        <v>0</v>
      </c>
      <c r="AX25" s="394">
        <v>0</v>
      </c>
      <c r="AY25" s="394">
        <v>0</v>
      </c>
      <c r="BE25" s="393"/>
      <c r="BF25" s="394"/>
      <c r="BG25" s="394"/>
      <c r="BH25" s="394"/>
      <c r="BI25" s="394"/>
      <c r="BJ25" s="393"/>
      <c r="BK25" s="394"/>
      <c r="BL25" s="394"/>
      <c r="BM25" s="394"/>
      <c r="BN25" s="394"/>
      <c r="BO25" s="393"/>
      <c r="BP25" s="394"/>
      <c r="BQ25" s="394"/>
      <c r="BR25" s="394"/>
      <c r="BS25" s="394"/>
      <c r="BT25" s="393"/>
      <c r="BU25" s="394"/>
      <c r="BV25" s="394"/>
      <c r="BW25" s="394"/>
      <c r="BX25" s="394"/>
      <c r="CC25" s="143"/>
      <c r="CD25" s="145"/>
      <c r="CE25" s="145"/>
      <c r="CF25" s="145"/>
      <c r="CG25" s="221"/>
      <c r="CH25" s="145"/>
      <c r="CI25" s="145"/>
      <c r="CJ25" s="145"/>
      <c r="CK25" s="145"/>
      <c r="CL25" s="221"/>
      <c r="CN25" s="145"/>
      <c r="CO25" s="145"/>
      <c r="CP25" s="145"/>
      <c r="CQ25" s="221"/>
      <c r="CR25" s="145"/>
      <c r="CS25" s="145"/>
      <c r="CT25" s="145"/>
      <c r="CU25" s="145"/>
      <c r="CV25" s="221"/>
      <c r="CW25" s="145"/>
      <c r="CX25" s="145"/>
      <c r="CY25" s="145"/>
      <c r="CZ25" s="145"/>
      <c r="DA25" s="145"/>
      <c r="DB25" s="145">
        <v>0</v>
      </c>
      <c r="DC25" s="145">
        <v>0</v>
      </c>
      <c r="DD25" s="145"/>
      <c r="DE25" s="145"/>
      <c r="DF25" s="145">
        <v>0</v>
      </c>
      <c r="DG25" s="145"/>
      <c r="DH25" s="145"/>
      <c r="DI25" s="145"/>
      <c r="DJ25" s="145"/>
      <c r="DK25" s="145"/>
      <c r="DL25" s="145">
        <v>0</v>
      </c>
      <c r="DM25" s="145">
        <v>0</v>
      </c>
      <c r="DN25" s="145">
        <v>0</v>
      </c>
      <c r="DO25" s="145">
        <v>0</v>
      </c>
      <c r="DP25" s="145">
        <v>0</v>
      </c>
      <c r="DQ25" s="145"/>
      <c r="DR25" s="145"/>
      <c r="DS25" s="145"/>
      <c r="DT25" s="145"/>
      <c r="DU25" s="145"/>
      <c r="DV25" s="143"/>
      <c r="DW25" s="145"/>
      <c r="DX25" s="145"/>
      <c r="DY25" s="145"/>
      <c r="DZ25" s="145"/>
      <c r="EA25" s="143"/>
      <c r="EB25" s="145"/>
      <c r="EC25" s="145"/>
      <c r="ED25" s="145"/>
      <c r="EE25" s="145"/>
      <c r="EF25" s="143"/>
      <c r="EG25" s="145"/>
      <c r="EH25" s="145"/>
      <c r="EI25" s="145"/>
      <c r="EJ25" s="145"/>
      <c r="EK25" s="143"/>
      <c r="EL25" s="145"/>
      <c r="EM25" s="145"/>
      <c r="EN25" s="145"/>
      <c r="EO25" s="145"/>
      <c r="EP25" s="143"/>
      <c r="EQ25" s="145"/>
      <c r="ER25" s="145"/>
      <c r="ES25" s="145"/>
      <c r="EY25" s="143"/>
      <c r="EZ25" s="145"/>
      <c r="FA25" s="145"/>
      <c r="FB25" s="145"/>
      <c r="FC25" s="181"/>
      <c r="FD25" s="174" t="s">
        <v>221</v>
      </c>
      <c r="FE25" s="175" t="s">
        <v>221</v>
      </c>
      <c r="FF25" s="175" t="s">
        <v>221</v>
      </c>
      <c r="FG25" s="175" t="s">
        <v>221</v>
      </c>
      <c r="FH25" s="174" t="s">
        <v>221</v>
      </c>
      <c r="FI25" s="175" t="s">
        <v>221</v>
      </c>
      <c r="FJ25" s="175" t="s">
        <v>221</v>
      </c>
      <c r="FK25" s="175" t="s">
        <v>221</v>
      </c>
      <c r="FL25" s="176" t="s">
        <v>221</v>
      </c>
      <c r="FM25" s="145"/>
      <c r="FN25" s="145"/>
      <c r="FO25" s="145"/>
      <c r="FP25" s="145"/>
      <c r="FQ25" s="221"/>
      <c r="FR25" s="145"/>
      <c r="FS25" s="145"/>
      <c r="FT25" s="145"/>
      <c r="FU25" s="145"/>
      <c r="FV25" s="145"/>
      <c r="FW25" s="222"/>
      <c r="FX25" s="145"/>
      <c r="FY25" s="145"/>
      <c r="FZ25" s="145"/>
      <c r="GA25" s="145"/>
      <c r="GB25" s="143"/>
      <c r="GC25" s="145"/>
      <c r="GD25" s="145"/>
      <c r="GE25" s="145"/>
      <c r="GF25" s="145"/>
      <c r="GG25" s="143"/>
      <c r="GH25" s="145"/>
      <c r="GI25" s="145"/>
      <c r="GJ25" s="145"/>
      <c r="GK25" s="145"/>
      <c r="GL25" s="143"/>
      <c r="GM25" s="145"/>
      <c r="GN25" s="145"/>
      <c r="GO25" s="145"/>
      <c r="GP25" s="145"/>
      <c r="GQ25" s="143"/>
      <c r="GR25" s="145"/>
      <c r="GS25" s="145"/>
      <c r="GT25" s="145"/>
      <c r="GU25" s="182"/>
      <c r="GV25" s="145"/>
      <c r="GW25" s="145"/>
      <c r="GX25" s="145"/>
      <c r="GY25" s="145"/>
      <c r="GZ25" s="181"/>
      <c r="HA25" s="181"/>
      <c r="HB25" s="181">
        <v>0</v>
      </c>
      <c r="HC25" s="181"/>
      <c r="HD25" s="181"/>
      <c r="HE25" s="181">
        <v>0</v>
      </c>
      <c r="HF25" s="181"/>
      <c r="HG25" s="181"/>
      <c r="HH25" s="181"/>
      <c r="HI25" s="181"/>
      <c r="HJ25" s="181"/>
      <c r="HK25" s="181">
        <v>0</v>
      </c>
      <c r="HL25" s="181">
        <v>0</v>
      </c>
      <c r="HM25" s="181">
        <v>0</v>
      </c>
      <c r="HN25" s="181">
        <v>0</v>
      </c>
      <c r="HO25" s="181">
        <v>0</v>
      </c>
      <c r="HP25" s="251"/>
      <c r="HQ25" s="181"/>
      <c r="HR25" s="181"/>
      <c r="HS25" s="181"/>
      <c r="HT25" s="182"/>
      <c r="HU25" s="394"/>
      <c r="HZ25" s="251"/>
      <c r="IA25" s="181"/>
      <c r="IB25" s="181"/>
      <c r="IC25" s="181"/>
      <c r="ID25" s="182"/>
      <c r="IE25" s="535"/>
      <c r="IF25" s="253"/>
      <c r="IG25" s="253"/>
      <c r="IH25" s="253"/>
      <c r="II25" s="253"/>
      <c r="IJ25" s="535"/>
      <c r="IK25" s="253"/>
      <c r="IL25" s="253"/>
      <c r="IM25" s="253"/>
      <c r="IN25" s="253"/>
      <c r="IO25" s="535"/>
      <c r="IP25" s="253"/>
      <c r="IQ25" s="253"/>
      <c r="IR25" s="253"/>
      <c r="IS25" s="253"/>
      <c r="IY25" s="380" t="s">
        <v>221</v>
      </c>
      <c r="IZ25" s="188" t="s">
        <v>221</v>
      </c>
      <c r="JA25" s="188" t="s">
        <v>221</v>
      </c>
      <c r="JB25" s="188" t="s">
        <v>221</v>
      </c>
      <c r="JC25" s="635" t="s">
        <v>221</v>
      </c>
      <c r="JD25" s="229"/>
      <c r="JE25" s="229"/>
      <c r="JF25" s="229"/>
      <c r="JG25" s="229"/>
      <c r="JH25" s="405"/>
      <c r="JI25" s="229"/>
      <c r="JJ25" s="229"/>
      <c r="JK25" s="229"/>
      <c r="JL25" s="229"/>
      <c r="JM25" s="405"/>
      <c r="JN25" s="229"/>
      <c r="JO25" s="229"/>
      <c r="JP25" s="229"/>
      <c r="JQ25" s="229"/>
      <c r="JR25" s="229"/>
      <c r="JS25" s="229"/>
      <c r="JT25" s="229"/>
      <c r="JU25" s="229"/>
      <c r="JV25" s="229"/>
      <c r="JW25" s="405"/>
      <c r="JX25" s="229"/>
      <c r="JY25" s="229"/>
      <c r="JZ25" s="229"/>
      <c r="KA25" s="229"/>
      <c r="KB25" s="405"/>
      <c r="KC25" s="229"/>
      <c r="KD25" s="229"/>
      <c r="KE25" s="229"/>
      <c r="KF25" s="229"/>
      <c r="KG25" s="439"/>
      <c r="KH25" s="439">
        <v>0</v>
      </c>
      <c r="KI25" s="439"/>
      <c r="KJ25" s="439"/>
      <c r="KK25" s="439"/>
      <c r="KL25" s="439">
        <v>0</v>
      </c>
      <c r="KM25" s="439"/>
      <c r="KN25" s="439"/>
      <c r="KO25" s="439"/>
      <c r="KP25" s="439"/>
      <c r="KQ25" s="439"/>
      <c r="KR25" s="439">
        <v>0</v>
      </c>
      <c r="KS25" s="439"/>
      <c r="KT25" s="439"/>
      <c r="KU25" s="439"/>
      <c r="KV25" s="439">
        <v>0</v>
      </c>
      <c r="KW25" s="630"/>
      <c r="KX25" s="439"/>
      <c r="KY25" s="439"/>
      <c r="KZ25" s="439"/>
      <c r="LA25" s="439"/>
      <c r="LB25" s="652"/>
      <c r="LC25" s="653"/>
      <c r="LD25" s="653"/>
      <c r="LE25" s="653"/>
      <c r="LF25" s="653"/>
      <c r="LG25" s="652"/>
      <c r="LH25" s="653"/>
      <c r="LI25" s="439"/>
      <c r="LJ25" s="439"/>
      <c r="LK25" s="439"/>
      <c r="LL25" s="652"/>
      <c r="LM25" s="653"/>
      <c r="LN25" s="653"/>
      <c r="LO25" s="653"/>
      <c r="LP25" s="653"/>
      <c r="LQ25" s="652"/>
      <c r="LR25" s="653"/>
      <c r="LS25" s="653"/>
      <c r="LT25" s="653"/>
      <c r="LU25" s="653"/>
      <c r="MA25" s="143"/>
      <c r="MB25" s="145"/>
      <c r="MC25" s="145"/>
      <c r="MD25" s="145"/>
      <c r="ME25" s="221"/>
      <c r="MF25" s="145"/>
      <c r="MG25" s="145"/>
      <c r="MH25" s="145"/>
      <c r="MI25" s="145"/>
      <c r="MJ25" s="221"/>
      <c r="MK25" s="145"/>
      <c r="ML25" s="145"/>
      <c r="MM25" s="145"/>
      <c r="MN25" s="145"/>
      <c r="MO25" s="145"/>
      <c r="MP25" s="143"/>
      <c r="MQ25" s="145"/>
      <c r="MR25" s="145"/>
      <c r="MS25" s="145"/>
      <c r="MT25" s="145"/>
      <c r="MU25" s="143"/>
      <c r="MV25" s="145"/>
      <c r="MW25" s="145"/>
      <c r="MX25" s="145"/>
      <c r="MY25" s="221"/>
      <c r="MZ25" s="145"/>
      <c r="NA25" s="145"/>
      <c r="NB25" s="145"/>
      <c r="NC25" s="145"/>
      <c r="ND25" s="145"/>
      <c r="NE25" s="145"/>
      <c r="NF25" s="145">
        <v>0</v>
      </c>
      <c r="NG25" s="145"/>
      <c r="NH25" s="145"/>
      <c r="NI25" s="145">
        <v>0</v>
      </c>
      <c r="NJ25" s="145"/>
      <c r="NK25" s="145"/>
      <c r="NL25" s="145"/>
      <c r="NM25" s="145"/>
      <c r="NN25" s="145"/>
      <c r="NO25" s="145">
        <v>0</v>
      </c>
      <c r="NP25" s="145"/>
      <c r="NQ25" s="145"/>
      <c r="NR25" s="145"/>
      <c r="NS25" s="145">
        <v>0</v>
      </c>
      <c r="NT25" s="145"/>
      <c r="NU25" s="145"/>
      <c r="NV25" s="145"/>
      <c r="NW25" s="145"/>
      <c r="NX25" s="145"/>
      <c r="NY25" s="143"/>
      <c r="NZ25" s="145"/>
      <c r="OA25" s="145"/>
      <c r="OB25" s="145"/>
      <c r="OC25" s="221"/>
      <c r="OD25" s="143"/>
      <c r="OE25" s="145"/>
      <c r="OF25" s="145"/>
      <c r="OG25" s="145"/>
      <c r="OH25" s="145"/>
      <c r="OI25" s="143"/>
      <c r="OJ25" s="145"/>
      <c r="OK25" s="145"/>
      <c r="OL25" s="145"/>
      <c r="OM25" s="145"/>
      <c r="ON25" s="143"/>
      <c r="OO25" s="145"/>
      <c r="OP25" s="145"/>
      <c r="OQ25" s="145"/>
      <c r="OR25" s="145"/>
      <c r="OX25" s="251"/>
      <c r="OY25" s="181"/>
      <c r="OZ25" s="181"/>
      <c r="PA25" s="181"/>
      <c r="PB25" s="181"/>
      <c r="PC25" s="251"/>
      <c r="PD25" s="181"/>
      <c r="PE25" s="181"/>
      <c r="PF25" s="181"/>
      <c r="PG25" s="181"/>
      <c r="PH25" s="143"/>
      <c r="PI25" s="145"/>
      <c r="PJ25" s="145"/>
      <c r="PK25" s="145"/>
      <c r="PL25" s="145"/>
      <c r="PM25" s="145"/>
      <c r="PN25" s="145"/>
      <c r="PO25" s="145"/>
      <c r="PP25" s="145"/>
      <c r="PQ25" s="145"/>
      <c r="PR25" s="398"/>
      <c r="PS25" s="229"/>
      <c r="PT25" s="229"/>
      <c r="PU25" s="229"/>
      <c r="PV25" s="229"/>
      <c r="PW25" s="229"/>
      <c r="PX25" s="229"/>
      <c r="PY25" s="229"/>
      <c r="PZ25" s="229"/>
      <c r="QA25" s="405"/>
      <c r="QB25" s="229"/>
      <c r="QC25" s="229">
        <v>0</v>
      </c>
      <c r="QD25" s="229"/>
      <c r="QE25" s="229"/>
      <c r="QF25" s="229">
        <v>0</v>
      </c>
      <c r="QG25" s="229"/>
      <c r="QH25" s="229"/>
      <c r="QI25" s="229"/>
      <c r="QJ25" s="229"/>
      <c r="QK25" s="229"/>
      <c r="QL25" s="398">
        <v>0</v>
      </c>
      <c r="QM25" s="229"/>
      <c r="QN25" s="229"/>
      <c r="QO25" s="229"/>
      <c r="QP25" s="229">
        <v>0</v>
      </c>
      <c r="QQ25" s="398"/>
      <c r="QR25" s="229"/>
      <c r="QS25" s="229"/>
      <c r="QT25" s="229"/>
      <c r="QU25" s="229"/>
      <c r="QV25" s="398"/>
      <c r="QW25" s="229"/>
      <c r="QX25" s="229"/>
      <c r="QY25" s="229"/>
      <c r="QZ25" s="229"/>
      <c r="RA25" s="398"/>
      <c r="RB25" s="229"/>
      <c r="RC25" s="229"/>
      <c r="RD25" s="229"/>
      <c r="RE25" s="229"/>
      <c r="RF25" s="229"/>
      <c r="RG25" s="229"/>
      <c r="RH25" s="229"/>
      <c r="RI25" s="229"/>
      <c r="RJ25" s="229"/>
      <c r="RK25" s="229"/>
      <c r="RL25" s="229"/>
      <c r="RM25" s="229"/>
      <c r="RN25" s="229"/>
      <c r="RO25" s="229"/>
      <c r="RU25" s="143"/>
      <c r="RV25" s="145"/>
      <c r="RW25" s="145"/>
      <c r="RX25" s="145"/>
      <c r="RY25" s="145"/>
      <c r="RZ25" s="143"/>
      <c r="SA25" s="145"/>
      <c r="SB25" s="145"/>
      <c r="SC25" s="145"/>
      <c r="SD25" s="145"/>
      <c r="SE25" s="143"/>
      <c r="SF25" s="145"/>
      <c r="SG25" s="145"/>
      <c r="SH25" s="145"/>
      <c r="SI25" s="145"/>
      <c r="SJ25" s="143"/>
      <c r="SK25" s="145"/>
      <c r="SL25" s="145"/>
      <c r="SM25" s="145"/>
      <c r="SN25" s="145"/>
      <c r="SO25" s="143"/>
      <c r="SP25" s="145"/>
      <c r="SQ25" s="145"/>
      <c r="SR25" s="145"/>
      <c r="SS25" s="145"/>
      <c r="ST25" s="143"/>
      <c r="SU25" s="145"/>
      <c r="SV25" s="145"/>
      <c r="SW25" s="145"/>
      <c r="SX25" s="145"/>
      <c r="SY25" s="145"/>
      <c r="SZ25" s="145">
        <v>0</v>
      </c>
      <c r="TA25" s="145"/>
      <c r="TB25" s="145"/>
      <c r="TC25" s="145">
        <v>0</v>
      </c>
      <c r="TE25" s="145"/>
      <c r="TF25" s="145"/>
      <c r="TG25" s="145"/>
      <c r="TH25" s="145"/>
      <c r="TI25" s="145">
        <v>0</v>
      </c>
      <c r="TJ25" s="145"/>
      <c r="TK25" s="145"/>
      <c r="TL25" s="145"/>
      <c r="TM25" s="145">
        <v>0</v>
      </c>
      <c r="TN25" s="145"/>
      <c r="TO25" s="145"/>
      <c r="TP25" s="145"/>
      <c r="TQ25" s="145"/>
      <c r="TR25" s="145"/>
      <c r="TS25" s="143"/>
      <c r="TT25" s="145"/>
      <c r="TU25" s="145"/>
      <c r="TV25" s="145"/>
      <c r="TW25" s="145"/>
      <c r="TX25" s="143"/>
      <c r="TY25" s="145"/>
      <c r="TZ25" s="145"/>
      <c r="UA25" s="145"/>
      <c r="UB25" s="145"/>
      <c r="UC25" s="143"/>
      <c r="UD25" s="145"/>
      <c r="UE25" s="145"/>
      <c r="UF25" s="145"/>
      <c r="UG25" s="145"/>
      <c r="UH25" s="143"/>
      <c r="UI25" s="145"/>
      <c r="UJ25" s="145"/>
      <c r="UK25" s="145"/>
      <c r="UL25" s="145"/>
      <c r="UR25" s="40"/>
      <c r="US25" s="40"/>
      <c r="UT25" s="40"/>
      <c r="UU25" s="40"/>
      <c r="UV25" s="40"/>
      <c r="UW25" s="40"/>
      <c r="UX25" s="42"/>
      <c r="UY25" s="40"/>
      <c r="UZ25" s="40"/>
      <c r="VA25" s="40"/>
      <c r="VB25" s="40"/>
      <c r="VC25" s="40"/>
      <c r="VD25" s="40"/>
      <c r="VE25" s="40"/>
      <c r="VF25" s="40"/>
      <c r="VG25" s="40"/>
      <c r="VH25" s="40"/>
      <c r="VI25" s="40"/>
      <c r="VJ25" s="42"/>
      <c r="VK25" s="40"/>
      <c r="VL25" s="40"/>
      <c r="VM25" s="145"/>
      <c r="VN25" s="40"/>
      <c r="VO25" s="40"/>
      <c r="VP25" s="40"/>
      <c r="VQ25" s="40"/>
      <c r="VR25" s="145"/>
      <c r="VS25" s="40"/>
      <c r="VT25" s="40"/>
      <c r="VU25" s="145"/>
      <c r="VV25" s="40"/>
      <c r="VW25" s="40"/>
      <c r="VX25" s="40"/>
      <c r="VY25" s="40"/>
      <c r="VZ25" s="40"/>
      <c r="WA25" s="234"/>
      <c r="WB25" s="234"/>
      <c r="WC25" s="234"/>
      <c r="WD25" s="40"/>
      <c r="WE25" s="40"/>
      <c r="WF25" s="40"/>
      <c r="WG25" s="143"/>
      <c r="WH25" s="40"/>
      <c r="WI25" s="40"/>
      <c r="WJ25" s="145"/>
      <c r="WK25" s="145"/>
      <c r="WL25" s="40"/>
      <c r="WM25" s="40"/>
      <c r="WN25" s="40"/>
      <c r="WO25" s="40"/>
      <c r="WP25" s="145"/>
      <c r="WQ25" s="145"/>
      <c r="WR25" s="40"/>
      <c r="WS25" s="40"/>
      <c r="WT25" s="145"/>
      <c r="WU25" s="40"/>
      <c r="WV25" s="40"/>
      <c r="WW25" s="221"/>
      <c r="WX25" s="595"/>
      <c r="WY25" s="595"/>
      <c r="WZ25" s="236"/>
      <c r="XA25" s="236"/>
      <c r="XB25" s="236"/>
      <c r="XC25" s="595"/>
      <c r="XD25" s="595"/>
      <c r="XE25" s="595"/>
      <c r="XF25" s="40"/>
      <c r="XG25" s="40"/>
      <c r="XH25" s="40"/>
      <c r="XI25" s="40"/>
      <c r="XJ25" s="590"/>
      <c r="XK25" s="40"/>
      <c r="XL25" s="40"/>
      <c r="XM25" s="229"/>
      <c r="XN25" s="229"/>
      <c r="XO25" s="229"/>
      <c r="XP25" s="254"/>
      <c r="XQ25" s="40"/>
      <c r="XR25" s="40"/>
      <c r="XS25" s="229"/>
      <c r="XT25" s="40"/>
      <c r="XU25" s="40"/>
      <c r="XV25" s="229"/>
      <c r="XW25" s="40"/>
      <c r="XX25" s="40"/>
      <c r="XY25" s="229"/>
      <c r="XZ25" s="40"/>
      <c r="YA25" s="40"/>
      <c r="YB25" s="587"/>
      <c r="YC25" s="40"/>
      <c r="YD25" s="40"/>
      <c r="YE25" s="40"/>
      <c r="YF25" s="229"/>
      <c r="YG25" s="143"/>
      <c r="YH25" s="145"/>
      <c r="YI25" s="145"/>
      <c r="YJ25" s="145"/>
      <c r="YK25" s="145"/>
      <c r="YL25" s="143"/>
      <c r="YM25" s="145"/>
      <c r="YN25" s="145"/>
      <c r="YO25" s="145"/>
      <c r="YP25" s="145"/>
      <c r="YQ25" s="143"/>
      <c r="YR25" s="145"/>
      <c r="YS25" s="145"/>
      <c r="YT25" s="145"/>
      <c r="YU25" s="145"/>
      <c r="YV25" s="143"/>
      <c r="YW25" s="145"/>
      <c r="YX25" s="145"/>
      <c r="YY25" s="145"/>
      <c r="YZ25" s="145"/>
      <c r="ZA25" s="145"/>
      <c r="ZB25" s="145"/>
      <c r="ZC25" s="145"/>
      <c r="ZD25" s="145"/>
      <c r="ZE25" s="1"/>
      <c r="ZF25" s="1">
        <v>0</v>
      </c>
      <c r="ZG25" s="1">
        <v>0</v>
      </c>
      <c r="ZH25" s="1"/>
      <c r="ZI25" s="1"/>
      <c r="ZJ25" s="1">
        <v>0</v>
      </c>
      <c r="ZK25" s="1"/>
      <c r="ZL25" s="1"/>
      <c r="ZM25" s="1"/>
      <c r="ZN25" s="1"/>
      <c r="ZO25" s="1"/>
      <c r="ZP25" s="1">
        <v>0</v>
      </c>
      <c r="ZQ25" s="1"/>
      <c r="ZR25" s="1"/>
      <c r="ZS25" s="1"/>
      <c r="ZT25" s="1">
        <v>0</v>
      </c>
      <c r="ZU25" s="1"/>
      <c r="ZV25" s="1"/>
      <c r="ZW25" s="1"/>
      <c r="ZX25" s="1"/>
      <c r="ZY25" s="1"/>
      <c r="ZZ25" s="394"/>
      <c r="AAE25" s="50"/>
      <c r="AAF25" s="1"/>
      <c r="AAG25" s="1"/>
      <c r="AAH25" s="1"/>
      <c r="AAI25" s="1"/>
      <c r="AAJ25" s="50"/>
      <c r="AAK25" s="1"/>
      <c r="AAL25" s="1"/>
      <c r="AAM25" s="1"/>
      <c r="AAN25" s="1"/>
      <c r="AAO25" s="68"/>
      <c r="AAP25" s="37"/>
      <c r="AAQ25" s="37"/>
      <c r="AAR25" s="37"/>
      <c r="AAS25" s="37"/>
      <c r="AAT25" s="68"/>
      <c r="AAU25" s="37"/>
      <c r="AAV25" s="37"/>
      <c r="AAW25" s="37"/>
      <c r="AAX25" s="37"/>
      <c r="ABD25" s="143"/>
      <c r="ABE25" s="145"/>
      <c r="ABF25" s="145"/>
      <c r="ABG25" s="145"/>
      <c r="ABH25" s="145"/>
      <c r="ABI25" s="143"/>
      <c r="ABJ25" s="145"/>
      <c r="ABK25" s="145"/>
      <c r="ABL25" s="145"/>
      <c r="ABM25" s="145"/>
      <c r="ABN25" s="143"/>
      <c r="ABO25" s="145"/>
      <c r="ABP25" s="145"/>
      <c r="ABQ25" s="145"/>
      <c r="ABR25" s="145"/>
      <c r="ABS25" s="143"/>
      <c r="ABT25" s="145"/>
      <c r="ABU25" s="145"/>
      <c r="ABV25" s="145"/>
      <c r="ABW25" s="221"/>
      <c r="ACB25" s="49"/>
      <c r="ACD25" s="1">
        <v>0</v>
      </c>
      <c r="ACG25" s="1">
        <v>0</v>
      </c>
      <c r="ACM25" s="1">
        <v>0</v>
      </c>
      <c r="ACQ25" s="1">
        <v>0</v>
      </c>
      <c r="ADG25" s="50"/>
    </row>
    <row r="26" spans="1:806" ht="14.1">
      <c r="A26" s="138" t="s">
        <v>25</v>
      </c>
      <c r="B26" s="174" t="s">
        <v>221</v>
      </c>
      <c r="C26" s="175" t="s">
        <v>221</v>
      </c>
      <c r="D26" s="175" t="s">
        <v>221</v>
      </c>
      <c r="E26" s="175" t="s">
        <v>221</v>
      </c>
      <c r="F26" s="176" t="s">
        <v>221</v>
      </c>
      <c r="G26" s="3">
        <v>16621</v>
      </c>
      <c r="H26" s="3">
        <v>5239</v>
      </c>
      <c r="I26" s="3">
        <v>403</v>
      </c>
      <c r="J26" s="3">
        <v>689</v>
      </c>
      <c r="K26" s="8">
        <v>10979</v>
      </c>
      <c r="L26" s="3">
        <v>15663</v>
      </c>
      <c r="M26" s="3">
        <v>4388</v>
      </c>
      <c r="N26" s="3">
        <v>301</v>
      </c>
      <c r="O26" s="3">
        <v>1262</v>
      </c>
      <c r="P26" s="8">
        <v>10974</v>
      </c>
      <c r="Q26" s="3">
        <v>15763</v>
      </c>
      <c r="R26" s="3">
        <v>4154</v>
      </c>
      <c r="S26" s="3">
        <v>388</v>
      </c>
      <c r="T26" s="3">
        <v>2190</v>
      </c>
      <c r="U26" s="8">
        <v>10021</v>
      </c>
      <c r="V26" s="5">
        <v>13436</v>
      </c>
      <c r="W26" s="5">
        <v>4315</v>
      </c>
      <c r="X26" s="5">
        <v>380</v>
      </c>
      <c r="Y26" s="5">
        <v>1853</v>
      </c>
      <c r="Z26" s="408">
        <v>8741</v>
      </c>
      <c r="AA26" s="5">
        <v>13373</v>
      </c>
      <c r="AB26" s="5">
        <v>3595</v>
      </c>
      <c r="AC26" s="5">
        <v>498</v>
      </c>
      <c r="AD26" s="5">
        <v>1595</v>
      </c>
      <c r="AE26" s="5">
        <v>8270</v>
      </c>
      <c r="AF26" s="399">
        <v>14288</v>
      </c>
      <c r="AG26" s="5">
        <v>3865</v>
      </c>
      <c r="AH26" s="5">
        <v>772</v>
      </c>
      <c r="AI26" s="5">
        <v>1376</v>
      </c>
      <c r="AJ26" s="490">
        <v>8986</v>
      </c>
      <c r="AK26" s="490">
        <v>12625</v>
      </c>
      <c r="AL26" s="490">
        <v>3528</v>
      </c>
      <c r="AM26" s="685">
        <v>571</v>
      </c>
      <c r="AN26" s="685">
        <v>1969</v>
      </c>
      <c r="AO26" s="490">
        <v>6419</v>
      </c>
      <c r="AP26" s="394">
        <v>12121</v>
      </c>
      <c r="AQ26" s="394">
        <v>3280</v>
      </c>
      <c r="AR26" s="394">
        <v>169</v>
      </c>
      <c r="AS26" s="394">
        <v>1459</v>
      </c>
      <c r="AT26" s="394">
        <v>7251</v>
      </c>
      <c r="AU26" s="393">
        <v>10392</v>
      </c>
      <c r="AV26" s="394">
        <v>3384</v>
      </c>
      <c r="AW26" s="394">
        <v>457</v>
      </c>
      <c r="AX26" s="394">
        <v>2058</v>
      </c>
      <c r="AY26" s="394">
        <v>5935</v>
      </c>
      <c r="AZ26" s="1">
        <v>2158</v>
      </c>
      <c r="BA26" s="1">
        <v>3</v>
      </c>
      <c r="BB26" s="1">
        <v>2747</v>
      </c>
      <c r="BC26" s="1">
        <v>252</v>
      </c>
      <c r="BD26" s="1">
        <v>775</v>
      </c>
      <c r="BE26" s="393">
        <v>14246</v>
      </c>
      <c r="BF26" s="394">
        <v>3521</v>
      </c>
      <c r="BG26" s="394">
        <v>757</v>
      </c>
      <c r="BH26" s="394">
        <v>1495</v>
      </c>
      <c r="BI26" s="394">
        <v>9684</v>
      </c>
      <c r="BJ26" s="393">
        <v>12023</v>
      </c>
      <c r="BK26" s="394"/>
      <c r="BL26" s="394"/>
      <c r="BM26" s="394"/>
      <c r="BN26" s="394"/>
      <c r="BO26" s="393">
        <v>10424</v>
      </c>
      <c r="BP26" s="394">
        <v>2628</v>
      </c>
      <c r="BQ26" s="394">
        <v>1178</v>
      </c>
      <c r="BR26" s="394">
        <v>2251</v>
      </c>
      <c r="BS26" s="394">
        <v>4651</v>
      </c>
      <c r="BT26" s="393">
        <v>10548</v>
      </c>
      <c r="BU26" s="394">
        <v>2379</v>
      </c>
      <c r="BV26" s="394">
        <v>223</v>
      </c>
      <c r="BW26" s="394">
        <v>1677</v>
      </c>
      <c r="BX26" s="394">
        <v>2239</v>
      </c>
      <c r="BY26" s="1">
        <v>0</v>
      </c>
      <c r="BZ26" s="1">
        <v>2903</v>
      </c>
      <c r="CA26" s="1">
        <v>1005</v>
      </c>
      <c r="CB26" s="1">
        <v>1517</v>
      </c>
      <c r="CC26" s="10">
        <v>26623</v>
      </c>
      <c r="CD26" s="3">
        <v>17564</v>
      </c>
      <c r="CE26" s="3">
        <v>907</v>
      </c>
      <c r="CF26" s="3">
        <v>1677</v>
      </c>
      <c r="CG26" s="8">
        <v>8152</v>
      </c>
      <c r="CH26" s="3">
        <v>28619</v>
      </c>
      <c r="CI26" s="3">
        <v>16726</v>
      </c>
      <c r="CJ26" s="3">
        <v>1024</v>
      </c>
      <c r="CK26" s="3">
        <v>1397</v>
      </c>
      <c r="CL26" s="8">
        <v>10869</v>
      </c>
      <c r="CM26" s="1">
        <v>25204</v>
      </c>
      <c r="CN26" s="3">
        <v>12564</v>
      </c>
      <c r="CO26" s="3">
        <v>986</v>
      </c>
      <c r="CP26" s="3">
        <v>2255</v>
      </c>
      <c r="CQ26" s="8">
        <v>10739</v>
      </c>
      <c r="CR26" s="3">
        <v>24982</v>
      </c>
      <c r="CS26" s="3">
        <v>13239</v>
      </c>
      <c r="CT26" s="3">
        <v>870</v>
      </c>
      <c r="CU26" s="3">
        <v>2356</v>
      </c>
      <c r="CV26" s="8">
        <v>10873</v>
      </c>
      <c r="CW26" s="3">
        <v>25194</v>
      </c>
      <c r="CX26" s="3">
        <v>11143</v>
      </c>
      <c r="CY26" s="3">
        <v>1144</v>
      </c>
      <c r="CZ26" s="3">
        <v>2213</v>
      </c>
      <c r="DA26" s="3">
        <v>11649</v>
      </c>
      <c r="DB26" s="3">
        <v>23682</v>
      </c>
      <c r="DC26" s="3">
        <v>10618</v>
      </c>
      <c r="DD26" s="3">
        <v>1198</v>
      </c>
      <c r="DE26" s="3">
        <v>1434</v>
      </c>
      <c r="DF26" s="39">
        <v>10922</v>
      </c>
      <c r="DG26" s="39">
        <v>20628</v>
      </c>
      <c r="DH26" s="39">
        <v>9306</v>
      </c>
      <c r="DI26" s="39">
        <v>987</v>
      </c>
      <c r="DJ26" s="39">
        <v>1162</v>
      </c>
      <c r="DK26" s="39">
        <v>9210</v>
      </c>
      <c r="DL26" s="39">
        <v>22495</v>
      </c>
      <c r="DM26" s="39">
        <v>9827</v>
      </c>
      <c r="DN26" s="39">
        <v>548</v>
      </c>
      <c r="DO26" s="39">
        <v>1601</v>
      </c>
      <c r="DP26" s="39">
        <v>10388</v>
      </c>
      <c r="DQ26" s="39">
        <v>22585</v>
      </c>
      <c r="DR26" s="39">
        <v>9314</v>
      </c>
      <c r="DS26" s="39">
        <v>574</v>
      </c>
      <c r="DT26" s="39">
        <v>2632</v>
      </c>
      <c r="DU26" s="39">
        <v>11664</v>
      </c>
      <c r="DV26" s="118">
        <v>25790</v>
      </c>
      <c r="DW26" s="39">
        <v>11609</v>
      </c>
      <c r="DX26" s="39">
        <v>439</v>
      </c>
      <c r="DY26" s="39">
        <v>1447</v>
      </c>
      <c r="DZ26" s="39">
        <v>12649</v>
      </c>
      <c r="EA26" s="118">
        <v>20421</v>
      </c>
      <c r="EB26" s="39"/>
      <c r="EC26" s="39"/>
      <c r="ED26" s="39"/>
      <c r="EE26" s="39"/>
      <c r="EF26" s="118">
        <v>20666</v>
      </c>
      <c r="EG26" s="39">
        <v>8363</v>
      </c>
      <c r="EH26" s="39">
        <v>494</v>
      </c>
      <c r="EI26" s="39">
        <v>1713</v>
      </c>
      <c r="EJ26" s="39">
        <v>10215</v>
      </c>
      <c r="EK26" s="118">
        <v>20666</v>
      </c>
      <c r="EL26" s="39">
        <v>8363</v>
      </c>
      <c r="EM26" s="39">
        <v>494</v>
      </c>
      <c r="EN26" s="39">
        <v>1713</v>
      </c>
      <c r="EO26" s="39">
        <v>10215</v>
      </c>
      <c r="EP26" s="118">
        <v>21942</v>
      </c>
      <c r="EQ26" s="39">
        <v>9050</v>
      </c>
      <c r="ER26" s="39">
        <v>393</v>
      </c>
      <c r="ES26" s="39">
        <v>1684</v>
      </c>
      <c r="ET26" s="1">
        <v>1935</v>
      </c>
      <c r="EU26" s="1">
        <v>0</v>
      </c>
      <c r="EV26" s="1">
        <v>5682</v>
      </c>
      <c r="EW26" s="1">
        <v>3656</v>
      </c>
      <c r="EX26" s="1">
        <v>596</v>
      </c>
      <c r="EY26" s="10">
        <v>38132</v>
      </c>
      <c r="EZ26" s="3">
        <v>17588</v>
      </c>
      <c r="FA26" s="3">
        <v>1327</v>
      </c>
      <c r="FB26" s="3">
        <v>3522</v>
      </c>
      <c r="FC26" s="201">
        <f t="shared" ref="FC26:FC38" si="497">EY26-EZ26-FA26</f>
        <v>19217</v>
      </c>
      <c r="FD26" s="380" t="s">
        <v>221</v>
      </c>
      <c r="FE26" s="188" t="s">
        <v>221</v>
      </c>
      <c r="FF26" s="188" t="s">
        <v>221</v>
      </c>
      <c r="FG26" s="188" t="s">
        <v>221</v>
      </c>
      <c r="FH26" s="174" t="s">
        <v>221</v>
      </c>
      <c r="FI26" s="175" t="s">
        <v>221</v>
      </c>
      <c r="FJ26" s="175" t="s">
        <v>221</v>
      </c>
      <c r="FK26" s="175" t="s">
        <v>221</v>
      </c>
      <c r="FL26" s="176" t="s">
        <v>221</v>
      </c>
      <c r="FM26" s="3">
        <v>280185</v>
      </c>
      <c r="FN26" s="3">
        <v>232656</v>
      </c>
      <c r="FO26" s="3">
        <v>9782</v>
      </c>
      <c r="FP26" s="3">
        <v>7097</v>
      </c>
      <c r="FQ26" s="8">
        <v>37747</v>
      </c>
      <c r="FR26" s="3">
        <v>335274</v>
      </c>
      <c r="FS26" s="3">
        <v>260359</v>
      </c>
      <c r="FT26" s="3">
        <v>10405</v>
      </c>
      <c r="FU26" s="3">
        <v>9604</v>
      </c>
      <c r="FV26" s="3">
        <v>64510</v>
      </c>
      <c r="FW26" s="127">
        <v>377169</v>
      </c>
      <c r="FX26" s="3">
        <v>280612</v>
      </c>
      <c r="FY26" s="3">
        <v>12558</v>
      </c>
      <c r="FZ26" s="3">
        <v>16293</v>
      </c>
      <c r="GA26" s="3">
        <v>14038</v>
      </c>
      <c r="GB26" s="10">
        <v>382884</v>
      </c>
      <c r="GC26" s="3">
        <v>289840</v>
      </c>
      <c r="GD26" s="3">
        <v>12287</v>
      </c>
      <c r="GE26" s="3">
        <v>80757</v>
      </c>
      <c r="GF26" s="3">
        <v>15062</v>
      </c>
      <c r="GG26" s="42">
        <v>385563</v>
      </c>
      <c r="GH26" s="40">
        <v>290742</v>
      </c>
      <c r="GI26" s="40">
        <v>13214</v>
      </c>
      <c r="GJ26" s="40">
        <v>81607</v>
      </c>
      <c r="GK26" s="40">
        <v>16567</v>
      </c>
      <c r="GL26" s="10">
        <v>401089</v>
      </c>
      <c r="GM26" s="3">
        <v>301096</v>
      </c>
      <c r="GN26" s="3">
        <v>12646</v>
      </c>
      <c r="GO26" s="3">
        <v>15330</v>
      </c>
      <c r="GP26" s="3">
        <v>69363</v>
      </c>
      <c r="GQ26" s="10">
        <v>410477.23499999999</v>
      </c>
      <c r="GR26" s="3">
        <v>308120.71400000004</v>
      </c>
      <c r="GS26" s="3">
        <v>12945.610999999999</v>
      </c>
      <c r="GT26" s="3">
        <v>16045.76</v>
      </c>
      <c r="GU26" s="373">
        <f t="shared" ref="GU26:GU38" si="498">GQ26-GR26-GS26</f>
        <v>89410.909999999945</v>
      </c>
      <c r="GV26" s="3">
        <v>418503</v>
      </c>
      <c r="GW26" s="3">
        <v>303193</v>
      </c>
      <c r="GX26" s="3">
        <v>12979</v>
      </c>
      <c r="GY26" s="3">
        <v>16926</v>
      </c>
      <c r="GZ26" s="3">
        <v>92108</v>
      </c>
      <c r="HA26" s="3">
        <v>423471</v>
      </c>
      <c r="HB26" s="3">
        <v>303874</v>
      </c>
      <c r="HC26" s="3">
        <v>12883</v>
      </c>
      <c r="HD26" s="3">
        <v>19991</v>
      </c>
      <c r="HE26" s="3">
        <v>94732</v>
      </c>
      <c r="HF26" s="3">
        <v>431896</v>
      </c>
      <c r="HG26" s="3">
        <v>304280</v>
      </c>
      <c r="HH26" s="3">
        <v>13517</v>
      </c>
      <c r="HI26" s="3">
        <v>21760</v>
      </c>
      <c r="HJ26" s="3">
        <v>92101</v>
      </c>
      <c r="HK26" s="3">
        <v>434907</v>
      </c>
      <c r="HL26" s="3">
        <v>302936</v>
      </c>
      <c r="HM26" s="3">
        <v>14585</v>
      </c>
      <c r="HN26" s="3">
        <v>22866</v>
      </c>
      <c r="HO26" s="3">
        <v>94053</v>
      </c>
      <c r="HP26" s="10">
        <v>445974</v>
      </c>
      <c r="HQ26" s="3">
        <v>307523</v>
      </c>
      <c r="HR26" s="3">
        <v>13895</v>
      </c>
      <c r="HS26" s="3">
        <v>21443</v>
      </c>
      <c r="HT26" s="3">
        <v>112890</v>
      </c>
      <c r="HU26" s="394">
        <v>26987</v>
      </c>
      <c r="HV26" s="1">
        <v>4858</v>
      </c>
      <c r="HW26" s="1">
        <v>51489</v>
      </c>
      <c r="HX26" s="1">
        <v>23310</v>
      </c>
      <c r="HY26" s="1">
        <v>6246</v>
      </c>
      <c r="HZ26" s="10">
        <v>441525</v>
      </c>
      <c r="IA26" s="3">
        <v>305645</v>
      </c>
      <c r="IB26" s="3">
        <v>12735</v>
      </c>
      <c r="IC26" s="3">
        <v>23510</v>
      </c>
      <c r="ID26" s="8">
        <v>106012</v>
      </c>
      <c r="IE26" s="399">
        <v>452909</v>
      </c>
      <c r="IF26" s="5"/>
      <c r="IG26" s="5"/>
      <c r="IH26" s="5"/>
      <c r="II26" s="5"/>
      <c r="IJ26" s="399">
        <v>452968</v>
      </c>
      <c r="IK26" s="5">
        <v>305927</v>
      </c>
      <c r="IL26" s="5">
        <v>14160</v>
      </c>
      <c r="IM26" s="5">
        <v>24401</v>
      </c>
      <c r="IN26" s="5">
        <v>111483</v>
      </c>
      <c r="IO26" s="399">
        <v>453289</v>
      </c>
      <c r="IP26" s="5">
        <v>296692</v>
      </c>
      <c r="IQ26" s="5">
        <v>14092</v>
      </c>
      <c r="IR26" s="5">
        <v>25134</v>
      </c>
      <c r="IS26" s="5">
        <v>131477</v>
      </c>
      <c r="IT26" s="1">
        <v>28154</v>
      </c>
      <c r="IU26" s="1">
        <v>0</v>
      </c>
      <c r="IV26" s="1">
        <v>49941</v>
      </c>
      <c r="IW26" s="1">
        <v>43066</v>
      </c>
      <c r="IX26" s="1">
        <v>10316</v>
      </c>
      <c r="IY26" s="380" t="s">
        <v>221</v>
      </c>
      <c r="IZ26" s="188" t="s">
        <v>221</v>
      </c>
      <c r="JA26" s="188" t="s">
        <v>221</v>
      </c>
      <c r="JB26" s="188" t="s">
        <v>221</v>
      </c>
      <c r="JC26" s="635" t="s">
        <v>221</v>
      </c>
      <c r="JD26" s="5">
        <v>112763</v>
      </c>
      <c r="JE26" s="5">
        <v>93746</v>
      </c>
      <c r="JF26" s="5">
        <v>5088</v>
      </c>
      <c r="JG26" s="5">
        <v>3505</v>
      </c>
      <c r="JH26" s="408">
        <v>13929</v>
      </c>
      <c r="JI26" s="5">
        <v>135655</v>
      </c>
      <c r="JJ26" s="5">
        <v>106683</v>
      </c>
      <c r="JK26" s="5">
        <v>5549</v>
      </c>
      <c r="JL26" s="5">
        <v>4226</v>
      </c>
      <c r="JM26" s="408">
        <v>23423</v>
      </c>
      <c r="JN26" s="5">
        <v>143921</v>
      </c>
      <c r="JO26" s="5">
        <v>106248</v>
      </c>
      <c r="JP26" s="5">
        <v>5707</v>
      </c>
      <c r="JQ26" s="5">
        <v>6241</v>
      </c>
      <c r="JR26" s="5">
        <v>27939</v>
      </c>
      <c r="JS26" s="5">
        <v>164552</v>
      </c>
      <c r="JT26" s="5">
        <v>122583</v>
      </c>
      <c r="JU26" s="5">
        <v>6720</v>
      </c>
      <c r="JV26" s="5">
        <v>7113</v>
      </c>
      <c r="JW26" s="408">
        <v>35249</v>
      </c>
      <c r="JX26" s="5">
        <v>168228.375</v>
      </c>
      <c r="JY26" s="5">
        <v>125723.674</v>
      </c>
      <c r="JZ26" s="5">
        <v>6608.3989999999994</v>
      </c>
      <c r="KA26" s="5">
        <v>7298.8639999999996</v>
      </c>
      <c r="KB26" s="408">
        <v>35896.302000000003</v>
      </c>
      <c r="KC26" s="5">
        <v>168199</v>
      </c>
      <c r="KD26" s="5">
        <v>121467</v>
      </c>
      <c r="KE26" s="5">
        <v>5930</v>
      </c>
      <c r="KF26" s="5">
        <v>7673</v>
      </c>
      <c r="KG26" s="439">
        <v>36024</v>
      </c>
      <c r="KH26" s="439">
        <v>167568</v>
      </c>
      <c r="KI26" s="439">
        <v>119399</v>
      </c>
      <c r="KJ26" s="439">
        <v>5689</v>
      </c>
      <c r="KK26" s="439">
        <v>8724</v>
      </c>
      <c r="KL26" s="439">
        <v>37161</v>
      </c>
      <c r="KM26" s="439">
        <v>169645</v>
      </c>
      <c r="KN26" s="439">
        <v>119316</v>
      </c>
      <c r="KO26" s="439">
        <v>5144</v>
      </c>
      <c r="KP26" s="439">
        <v>10987</v>
      </c>
      <c r="KQ26" s="439">
        <v>34244</v>
      </c>
      <c r="KR26" s="439">
        <v>167439</v>
      </c>
      <c r="KS26" s="439">
        <v>111412</v>
      </c>
      <c r="KT26" s="439">
        <v>7527</v>
      </c>
      <c r="KU26" s="439">
        <v>12170</v>
      </c>
      <c r="KV26" s="439">
        <v>36082</v>
      </c>
      <c r="KW26" s="630">
        <v>170469</v>
      </c>
      <c r="KX26" s="439">
        <v>115033</v>
      </c>
      <c r="KY26" s="439">
        <v>7164</v>
      </c>
      <c r="KZ26" s="439">
        <v>10175</v>
      </c>
      <c r="LA26" s="439">
        <v>43095</v>
      </c>
      <c r="LB26" s="652">
        <v>169709</v>
      </c>
      <c r="LC26" s="653">
        <v>111762</v>
      </c>
      <c r="LD26" s="653">
        <v>5638</v>
      </c>
      <c r="LE26" s="653">
        <v>12209</v>
      </c>
      <c r="LF26" s="653">
        <v>43720</v>
      </c>
      <c r="LG26" s="652">
        <v>169188</v>
      </c>
      <c r="LH26" s="653"/>
      <c r="LI26" s="439"/>
      <c r="LJ26" s="439"/>
      <c r="LK26" s="439"/>
      <c r="LL26" s="652">
        <v>167655</v>
      </c>
      <c r="LM26" s="653">
        <v>112502</v>
      </c>
      <c r="LN26" s="653">
        <v>5478</v>
      </c>
      <c r="LO26" s="653">
        <v>12113</v>
      </c>
      <c r="LP26" s="653">
        <v>40428</v>
      </c>
      <c r="LQ26" s="652">
        <v>158526</v>
      </c>
      <c r="LR26" s="653">
        <v>103827</v>
      </c>
      <c r="LS26" s="653">
        <v>5363</v>
      </c>
      <c r="LT26" s="653">
        <v>10636</v>
      </c>
      <c r="LU26" s="653">
        <v>45035</v>
      </c>
      <c r="LV26" s="1">
        <v>9353</v>
      </c>
      <c r="LW26" s="1">
        <v>0</v>
      </c>
      <c r="LX26" s="1">
        <v>16561</v>
      </c>
      <c r="LY26" s="1">
        <v>15345</v>
      </c>
      <c r="LZ26" s="1">
        <v>3776</v>
      </c>
      <c r="MA26" s="10">
        <v>23444</v>
      </c>
      <c r="MB26" s="3">
        <v>19656</v>
      </c>
      <c r="MC26" s="3">
        <v>1021</v>
      </c>
      <c r="MD26" s="3">
        <v>799</v>
      </c>
      <c r="ME26" s="8">
        <v>2767</v>
      </c>
      <c r="MF26" s="3">
        <v>27213</v>
      </c>
      <c r="MG26" s="3">
        <v>22080</v>
      </c>
      <c r="MH26" s="3">
        <v>1156</v>
      </c>
      <c r="MI26" s="3">
        <v>848</v>
      </c>
      <c r="MJ26" s="8">
        <v>3977</v>
      </c>
      <c r="MK26" s="3">
        <v>33255</v>
      </c>
      <c r="ML26" s="3">
        <v>25769</v>
      </c>
      <c r="MM26" s="3">
        <v>1501</v>
      </c>
      <c r="MN26" s="3">
        <v>673</v>
      </c>
      <c r="MO26" s="3">
        <v>5411</v>
      </c>
      <c r="MP26" s="10">
        <v>34742</v>
      </c>
      <c r="MQ26" s="3">
        <v>27259</v>
      </c>
      <c r="MR26" s="3">
        <v>1933</v>
      </c>
      <c r="MS26" s="3">
        <v>1578</v>
      </c>
      <c r="MT26" s="3">
        <v>5550</v>
      </c>
      <c r="MU26" s="10"/>
      <c r="MV26" s="3"/>
      <c r="MW26" s="3"/>
      <c r="MX26" s="3"/>
      <c r="MY26" s="8"/>
      <c r="MZ26" s="3">
        <v>36430</v>
      </c>
      <c r="NA26" s="3">
        <v>27524</v>
      </c>
      <c r="NB26" s="3">
        <v>1490</v>
      </c>
      <c r="NC26" s="3">
        <v>2045</v>
      </c>
      <c r="ND26" s="3">
        <v>6166</v>
      </c>
      <c r="NE26" s="3">
        <v>37077</v>
      </c>
      <c r="NF26" s="3">
        <v>27816</v>
      </c>
      <c r="NG26" s="3">
        <v>1131</v>
      </c>
      <c r="NH26" s="3">
        <v>2083</v>
      </c>
      <c r="NI26" s="3">
        <v>6894</v>
      </c>
      <c r="NJ26" s="3">
        <v>38086</v>
      </c>
      <c r="NK26" s="3">
        <v>28268</v>
      </c>
      <c r="NL26" s="3">
        <v>1581</v>
      </c>
      <c r="NM26" s="3">
        <v>2890</v>
      </c>
      <c r="NN26" s="3">
        <v>22925</v>
      </c>
      <c r="NO26" s="3">
        <v>38113</v>
      </c>
      <c r="NP26" s="3">
        <v>26560</v>
      </c>
      <c r="NQ26" s="3">
        <v>1320</v>
      </c>
      <c r="NR26" s="3">
        <v>3709</v>
      </c>
      <c r="NS26" s="3">
        <v>6457</v>
      </c>
      <c r="NT26" s="3">
        <v>40819</v>
      </c>
      <c r="NU26" s="3">
        <v>27797</v>
      </c>
      <c r="NV26" s="3">
        <v>2268</v>
      </c>
      <c r="NW26" s="3">
        <v>2565</v>
      </c>
      <c r="NX26" s="3">
        <v>9370</v>
      </c>
      <c r="NY26" s="10">
        <v>42724</v>
      </c>
      <c r="NZ26" s="3">
        <v>28663</v>
      </c>
      <c r="OA26" s="3">
        <v>1959</v>
      </c>
      <c r="OB26" s="3">
        <v>3278</v>
      </c>
      <c r="OC26" s="3">
        <v>9589</v>
      </c>
      <c r="OD26" s="10">
        <v>39938</v>
      </c>
      <c r="OE26" s="3"/>
      <c r="OF26" s="3"/>
      <c r="OG26" s="3"/>
      <c r="OH26" s="3"/>
      <c r="OI26" s="10">
        <v>43394</v>
      </c>
      <c r="OJ26" s="3">
        <v>31205</v>
      </c>
      <c r="OK26" s="3">
        <v>1645</v>
      </c>
      <c r="OL26" s="3">
        <v>3169</v>
      </c>
      <c r="OM26" s="3">
        <v>8461</v>
      </c>
      <c r="ON26" s="10">
        <v>40276</v>
      </c>
      <c r="OO26" s="3">
        <v>27924</v>
      </c>
      <c r="OP26" s="3">
        <v>1750</v>
      </c>
      <c r="OQ26" s="3">
        <v>2890</v>
      </c>
      <c r="OR26" s="3">
        <v>1043</v>
      </c>
      <c r="OS26" s="1">
        <v>2406</v>
      </c>
      <c r="OT26" s="1">
        <v>0</v>
      </c>
      <c r="OU26" s="1">
        <v>2152</v>
      </c>
      <c r="OV26" s="1">
        <v>3746</v>
      </c>
      <c r="OW26" s="1">
        <v>1043</v>
      </c>
      <c r="OX26" s="402">
        <f t="shared" ref="OX26:OX38" si="499">MA26+RU26+AAY26</f>
        <v>81780</v>
      </c>
      <c r="OY26" s="382">
        <f t="shared" ref="OY26:OY38" si="500">MB26+RV26+AAZ26</f>
        <v>63810</v>
      </c>
      <c r="OZ26" s="382">
        <f t="shared" ref="OZ26:OZ38" si="501">MC26+RW26+ABA26</f>
        <v>7246</v>
      </c>
      <c r="PA26" s="382">
        <f t="shared" ref="PA26:PA38" si="502">MD26+RX26+ABB26</f>
        <v>17275</v>
      </c>
      <c r="PB26" s="382">
        <f t="shared" ref="PB26:PB38" si="503">ME26+RY26+ABC26</f>
        <v>8498</v>
      </c>
      <c r="PC26" s="402">
        <f t="shared" ref="PC26:PC38" si="504">MF26+RZ26+ABD26</f>
        <v>121020</v>
      </c>
      <c r="PD26" s="382">
        <f t="shared" ref="PD26:PD38" si="505">MG26+SA26+ABE26</f>
        <v>104478</v>
      </c>
      <c r="PE26" s="382">
        <f t="shared" ref="PE26:PE38" si="506">MH26+SB26+ABF26</f>
        <v>2903</v>
      </c>
      <c r="PF26" s="382">
        <f t="shared" ref="PF26:PF38" si="507">MI26+SC26+ABG26</f>
        <v>2723</v>
      </c>
      <c r="PG26" s="382">
        <f t="shared" ref="PG26:PG38" si="508">MJ26+SD26+ABH26</f>
        <v>13639</v>
      </c>
      <c r="PH26" s="10">
        <v>135094</v>
      </c>
      <c r="PI26" s="3">
        <v>112306</v>
      </c>
      <c r="PJ26" s="3">
        <v>4317</v>
      </c>
      <c r="PK26" s="3">
        <v>4770</v>
      </c>
      <c r="PL26" s="3">
        <v>18471</v>
      </c>
      <c r="PM26" s="3">
        <v>142857</v>
      </c>
      <c r="PN26" s="3">
        <v>120023</v>
      </c>
      <c r="PO26" s="3">
        <v>3807</v>
      </c>
      <c r="PP26" s="3">
        <v>3492</v>
      </c>
      <c r="PQ26" s="3">
        <v>16553</v>
      </c>
      <c r="PR26" s="399"/>
      <c r="PS26" s="5"/>
      <c r="PT26" s="5"/>
      <c r="PU26" s="5"/>
      <c r="PV26" s="5"/>
      <c r="PW26" s="5">
        <v>161980</v>
      </c>
      <c r="PX26" s="5">
        <v>130964</v>
      </c>
      <c r="PY26" s="5">
        <v>5056</v>
      </c>
      <c r="PZ26" s="5">
        <v>6452</v>
      </c>
      <c r="QA26" s="408">
        <v>21970</v>
      </c>
      <c r="QB26" s="5">
        <v>163634</v>
      </c>
      <c r="QC26" s="5">
        <v>132103</v>
      </c>
      <c r="QD26" s="5">
        <v>4492</v>
      </c>
      <c r="QE26" s="5">
        <v>6981</v>
      </c>
      <c r="QF26" s="5">
        <v>22661</v>
      </c>
      <c r="QG26" s="5">
        <v>168350</v>
      </c>
      <c r="QH26" s="5">
        <v>134994</v>
      </c>
      <c r="QI26" s="5">
        <v>4108</v>
      </c>
      <c r="QJ26" s="5">
        <v>7050</v>
      </c>
      <c r="QK26" s="5">
        <v>22925</v>
      </c>
      <c r="QL26" s="399">
        <v>177529</v>
      </c>
      <c r="QM26" s="5">
        <v>142109</v>
      </c>
      <c r="QN26" s="5">
        <v>4335</v>
      </c>
      <c r="QO26" s="5">
        <v>8442</v>
      </c>
      <c r="QP26" s="5">
        <v>22783</v>
      </c>
      <c r="QQ26" s="399">
        <v>182396</v>
      </c>
      <c r="QR26" s="5">
        <v>145167</v>
      </c>
      <c r="QS26" s="5">
        <v>4090</v>
      </c>
      <c r="QT26" s="5">
        <v>6117</v>
      </c>
      <c r="QU26" s="5">
        <v>29270</v>
      </c>
      <c r="QV26" s="399">
        <v>181408</v>
      </c>
      <c r="QW26" s="5">
        <v>139867</v>
      </c>
      <c r="QX26" s="5">
        <v>4460</v>
      </c>
      <c r="QY26" s="5">
        <v>9097</v>
      </c>
      <c r="QZ26" s="5">
        <v>29730</v>
      </c>
      <c r="RA26" s="399">
        <v>186366</v>
      </c>
      <c r="RB26" s="5"/>
      <c r="RC26" s="5"/>
      <c r="RD26" s="5"/>
      <c r="RE26" s="5"/>
      <c r="RF26" s="5">
        <v>189551</v>
      </c>
      <c r="RG26" s="5">
        <v>147458</v>
      </c>
      <c r="RH26" s="5">
        <v>5172</v>
      </c>
      <c r="RI26" s="5">
        <v>8810</v>
      </c>
      <c r="RJ26" s="5">
        <v>30970</v>
      </c>
      <c r="RK26" s="5">
        <v>199566</v>
      </c>
      <c r="RL26" s="5">
        <v>148091</v>
      </c>
      <c r="RM26" s="5">
        <v>6299</v>
      </c>
      <c r="RN26" s="5">
        <v>9087</v>
      </c>
      <c r="RO26" s="5">
        <v>42117</v>
      </c>
      <c r="RP26" s="1">
        <v>12125</v>
      </c>
      <c r="RQ26" s="1">
        <v>0</v>
      </c>
      <c r="RR26" s="1">
        <v>7290</v>
      </c>
      <c r="RS26" s="1">
        <v>19304</v>
      </c>
      <c r="RT26" s="1">
        <v>3398</v>
      </c>
      <c r="RU26" s="10">
        <v>48617</v>
      </c>
      <c r="RV26" s="3">
        <v>44154</v>
      </c>
      <c r="RW26" s="3">
        <v>1087</v>
      </c>
      <c r="RX26" s="3">
        <v>918</v>
      </c>
      <c r="RY26" s="3">
        <v>3376</v>
      </c>
      <c r="RZ26" s="10">
        <v>61196</v>
      </c>
      <c r="SA26" s="3">
        <v>52939</v>
      </c>
      <c r="SB26" s="3">
        <v>1163</v>
      </c>
      <c r="SC26" s="3">
        <v>1343</v>
      </c>
      <c r="SD26" s="3">
        <v>7094</v>
      </c>
      <c r="SE26" s="10">
        <v>68890</v>
      </c>
      <c r="SF26" s="3">
        <v>58062</v>
      </c>
      <c r="SG26" s="3">
        <v>1414</v>
      </c>
      <c r="SH26" s="3">
        <v>1900</v>
      </c>
      <c r="SI26" s="3">
        <v>8192</v>
      </c>
      <c r="SJ26" s="10">
        <v>78973</v>
      </c>
      <c r="SK26" s="3">
        <v>65929</v>
      </c>
      <c r="SL26" s="3">
        <v>1992</v>
      </c>
      <c r="SM26" s="3">
        <v>2554</v>
      </c>
      <c r="SN26" s="3">
        <v>11052</v>
      </c>
      <c r="SO26" s="10">
        <v>80301.010999999999</v>
      </c>
      <c r="SP26" s="3">
        <v>66444.635999999999</v>
      </c>
      <c r="SQ26" s="3">
        <v>2283.6799999999998</v>
      </c>
      <c r="SR26" s="3">
        <v>2700.384</v>
      </c>
      <c r="SS26" s="3">
        <v>11572.695</v>
      </c>
      <c r="ST26" s="10">
        <v>79978</v>
      </c>
      <c r="SU26" s="3">
        <v>64119</v>
      </c>
      <c r="SV26" s="3">
        <v>2624</v>
      </c>
      <c r="SW26" s="3">
        <v>2934</v>
      </c>
      <c r="SX26" s="3">
        <v>11556</v>
      </c>
      <c r="SY26" s="3">
        <v>79853</v>
      </c>
      <c r="SZ26" s="3">
        <v>64198</v>
      </c>
      <c r="TA26" s="3">
        <v>2283</v>
      </c>
      <c r="TB26" s="3">
        <v>3187</v>
      </c>
      <c r="TC26" s="3">
        <v>11553</v>
      </c>
      <c r="TD26" s="145">
        <v>85634</v>
      </c>
      <c r="TE26" s="3">
        <v>68380</v>
      </c>
      <c r="TF26" s="3">
        <v>1791</v>
      </c>
      <c r="TG26" s="3">
        <v>2771</v>
      </c>
      <c r="TH26" s="3">
        <v>12925</v>
      </c>
      <c r="TI26" s="3">
        <v>87869</v>
      </c>
      <c r="TJ26" s="3">
        <v>70726</v>
      </c>
      <c r="TK26" s="3">
        <v>1545</v>
      </c>
      <c r="TL26" s="3">
        <v>3081</v>
      </c>
      <c r="TM26" s="3">
        <v>12781</v>
      </c>
      <c r="TN26" s="3">
        <v>90861</v>
      </c>
      <c r="TO26" s="3">
        <v>73420</v>
      </c>
      <c r="TP26" s="3">
        <v>902</v>
      </c>
      <c r="TQ26" s="3">
        <v>2685</v>
      </c>
      <c r="TR26" s="3">
        <v>14641</v>
      </c>
      <c r="TS26" s="10">
        <v>86444</v>
      </c>
      <c r="TT26" s="3">
        <v>67010</v>
      </c>
      <c r="TU26" s="3">
        <v>1842</v>
      </c>
      <c r="TV26" s="3">
        <v>3710</v>
      </c>
      <c r="TW26" s="3">
        <v>14508</v>
      </c>
      <c r="TX26" s="10">
        <v>89635</v>
      </c>
      <c r="TY26" s="3"/>
      <c r="TZ26" s="3"/>
      <c r="UA26" s="3"/>
      <c r="UB26" s="3"/>
      <c r="UC26" s="10">
        <v>89583</v>
      </c>
      <c r="UD26" s="3">
        <v>69724</v>
      </c>
      <c r="UE26" s="3">
        <v>2646</v>
      </c>
      <c r="UF26" s="3">
        <v>3519</v>
      </c>
      <c r="UG26" s="3">
        <v>14746</v>
      </c>
      <c r="UH26" s="10">
        <v>101422</v>
      </c>
      <c r="UI26" s="3">
        <v>73187</v>
      </c>
      <c r="UJ26" s="3">
        <v>2874</v>
      </c>
      <c r="UK26" s="3">
        <v>3684</v>
      </c>
      <c r="UL26" s="3">
        <v>24229</v>
      </c>
      <c r="UM26" s="1">
        <v>7864</v>
      </c>
      <c r="UN26" s="1">
        <v>0</v>
      </c>
      <c r="UO26" s="1">
        <v>3581</v>
      </c>
      <c r="UP26" s="1">
        <v>11005</v>
      </c>
      <c r="UQ26" s="1">
        <v>2355</v>
      </c>
      <c r="UR26" s="588">
        <f t="shared" ref="UR26:UR38" si="509">+US26+UT26</f>
        <v>9723</v>
      </c>
      <c r="US26" s="40">
        <v>5930</v>
      </c>
      <c r="UT26" s="40">
        <v>3793</v>
      </c>
      <c r="UU26" s="588">
        <f t="shared" ref="UU26:UU38" si="510">+UV26+UW26</f>
        <v>240</v>
      </c>
      <c r="UV26" s="40">
        <v>154</v>
      </c>
      <c r="UW26" s="40">
        <v>86</v>
      </c>
      <c r="UX26" s="42">
        <v>18875</v>
      </c>
      <c r="UY26" s="588">
        <f t="shared" ref="UY26:UY38" si="511">+VB26+VE26+VH26</f>
        <v>11357</v>
      </c>
      <c r="UZ26" s="588">
        <f t="shared" ref="UZ26:UZ38" si="512">+VC26+VF26+VI26</f>
        <v>7518</v>
      </c>
      <c r="VA26" s="588">
        <f t="shared" ref="VA26:VA38" si="513">+VB26+VC26</f>
        <v>18327</v>
      </c>
      <c r="VB26" s="40">
        <v>11061</v>
      </c>
      <c r="VC26" s="40">
        <v>7266</v>
      </c>
      <c r="VD26" s="588">
        <f t="shared" ref="VD26:VD38" si="514">+VE26+VF26</f>
        <v>281</v>
      </c>
      <c r="VE26" s="40">
        <v>123</v>
      </c>
      <c r="VF26" s="40">
        <v>158</v>
      </c>
      <c r="VG26" s="588">
        <f t="shared" ref="VG26:VG38" si="515">+VH26+VI26</f>
        <v>267</v>
      </c>
      <c r="VH26" s="40">
        <v>173</v>
      </c>
      <c r="VI26" s="40">
        <v>94</v>
      </c>
      <c r="VJ26" s="42">
        <v>44554</v>
      </c>
      <c r="VK26" s="588">
        <f t="shared" ref="VK26:VK38" si="516">+VN26+VS26+VV26+VY26</f>
        <v>26284</v>
      </c>
      <c r="VL26" s="588">
        <f t="shared" ref="VL26:VL38" si="517">+VO26+VT26+VW26+VZ26</f>
        <v>18270</v>
      </c>
      <c r="VM26" s="240">
        <f t="shared" ref="VM26:VM38" si="518">+VN26+VO26</f>
        <v>41381</v>
      </c>
      <c r="VN26" s="40">
        <v>24670</v>
      </c>
      <c r="VO26" s="40">
        <v>16711</v>
      </c>
      <c r="VP26" s="40">
        <v>1614</v>
      </c>
      <c r="VQ26" s="40">
        <v>1559</v>
      </c>
      <c r="VR26" s="240">
        <f t="shared" ref="VR26:VR38" si="519">+VS26+VT26</f>
        <v>615</v>
      </c>
      <c r="VS26" s="40">
        <v>305</v>
      </c>
      <c r="VT26" s="40">
        <v>310</v>
      </c>
      <c r="VU26" s="240">
        <f t="shared" ref="VU26:VU38" si="520">+VV26+VW26</f>
        <v>570</v>
      </c>
      <c r="VV26" s="40">
        <v>300</v>
      </c>
      <c r="VW26" s="40">
        <v>270</v>
      </c>
      <c r="VX26" s="233">
        <f t="shared" ref="VX26:VX38" si="521">+VY26+VZ26</f>
        <v>1988</v>
      </c>
      <c r="VY26" s="233">
        <f t="shared" ref="VY26:VY38" si="522">+WB26+WE26</f>
        <v>1009</v>
      </c>
      <c r="VZ26" s="233">
        <f t="shared" ref="VZ26:VZ38" si="523">+WC26+WF26</f>
        <v>979</v>
      </c>
      <c r="WA26" s="234">
        <f t="shared" ref="WA26:WA38" si="524">+WB26+WC26</f>
        <v>33</v>
      </c>
      <c r="WB26" s="234">
        <f t="shared" ref="WB26:WB38" si="525">+VP26-VS26-VV26-WE26</f>
        <v>20</v>
      </c>
      <c r="WC26" s="234">
        <f t="shared" ref="WC26:WC38" si="526">+VQ26-VT26-VW26-WF26</f>
        <v>13</v>
      </c>
      <c r="WD26" s="40">
        <v>1955</v>
      </c>
      <c r="WE26" s="40">
        <v>989</v>
      </c>
      <c r="WF26" s="40">
        <v>966</v>
      </c>
      <c r="WG26" s="12">
        <f t="shared" ref="WG26:WG38" si="527">+RU26+AAY26</f>
        <v>58336</v>
      </c>
      <c r="WH26" s="588">
        <f t="shared" ref="WH26:WH38" si="528">+WL26+WR26+WU26+WX26</f>
        <v>40702</v>
      </c>
      <c r="WI26" s="588">
        <f t="shared" ref="WI26:WI38" si="529">+WM26+WS26+WV26+WY26</f>
        <v>33795</v>
      </c>
      <c r="WJ26" s="11">
        <f t="shared" ref="WJ26:WJ38" si="530">+RV26+AAZ26</f>
        <v>44154</v>
      </c>
      <c r="WK26" s="90">
        <f t="shared" ref="WK26:WK38" si="531">+WL26+WM26</f>
        <v>67691</v>
      </c>
      <c r="WL26" s="40">
        <v>37496</v>
      </c>
      <c r="WM26" s="40">
        <v>30195</v>
      </c>
      <c r="WN26" s="40">
        <v>3206</v>
      </c>
      <c r="WO26" s="40">
        <v>3600</v>
      </c>
      <c r="WP26" s="11">
        <f t="shared" ref="WP26:WP38" si="532">+RW26+ABA26</f>
        <v>6225</v>
      </c>
      <c r="WQ26" s="90">
        <f t="shared" ref="WQ26:WQ38" si="533">+WR26+WS26</f>
        <v>1556</v>
      </c>
      <c r="WR26" s="40">
        <v>800</v>
      </c>
      <c r="WS26" s="40">
        <v>756</v>
      </c>
      <c r="WT26" s="11">
        <f t="shared" ref="WT26:WT38" si="534">+WU26+WV26</f>
        <v>1285</v>
      </c>
      <c r="WU26" s="40">
        <v>605</v>
      </c>
      <c r="WV26" s="40">
        <v>680</v>
      </c>
      <c r="WW26" s="9">
        <f t="shared" ref="WW26:WW38" si="535">+RY26+ABC26</f>
        <v>5731</v>
      </c>
      <c r="WX26" s="235">
        <f t="shared" ref="WX26:WX38" si="536">+XA26+XD26</f>
        <v>1801</v>
      </c>
      <c r="WY26" s="235">
        <f t="shared" ref="WY26:WY38" si="537">+XB26+XE26</f>
        <v>2164</v>
      </c>
      <c r="WZ26" s="236">
        <f t="shared" ref="WZ26:WZ38" si="538">+XA26+XB26</f>
        <v>28</v>
      </c>
      <c r="XA26" s="236">
        <f t="shared" ref="XA26:XA38" si="539">+WN26-WR26-WU26-XD26</f>
        <v>18</v>
      </c>
      <c r="XB26" s="236">
        <f t="shared" ref="XB26:XB38" si="540">+WO26-WS26-WV26-XE26</f>
        <v>10</v>
      </c>
      <c r="XC26" s="589">
        <f t="shared" ref="XC26:XC38" si="541">+XD26+XE26</f>
        <v>3937</v>
      </c>
      <c r="XD26" s="589">
        <f t="shared" ref="XD26:XD38" si="542">+XF26+XH26</f>
        <v>1783</v>
      </c>
      <c r="XE26" s="589">
        <f t="shared" ref="XE26:XE38" si="543">+XG26+XI26</f>
        <v>2154</v>
      </c>
      <c r="XF26" s="40">
        <v>730</v>
      </c>
      <c r="XG26" s="40">
        <v>972</v>
      </c>
      <c r="XH26" s="40">
        <v>1053</v>
      </c>
      <c r="XI26" s="40">
        <v>1182</v>
      </c>
      <c r="XJ26" s="590">
        <v>93807</v>
      </c>
      <c r="XK26" s="40">
        <v>47150</v>
      </c>
      <c r="XL26" s="40">
        <v>46657</v>
      </c>
      <c r="XM26" s="5">
        <f t="shared" ref="XM26:XM38" si="544">+SA26+ABE26</f>
        <v>82398</v>
      </c>
      <c r="XN26" s="5">
        <v>42105</v>
      </c>
      <c r="XO26" s="5">
        <v>40293</v>
      </c>
      <c r="XP26" s="84">
        <f t="shared" ref="XP26:XP38" si="545">+XQ26+XR26</f>
        <v>81447</v>
      </c>
      <c r="XQ26" s="40">
        <v>41663</v>
      </c>
      <c r="XR26" s="40">
        <v>39784</v>
      </c>
      <c r="XS26" s="5">
        <f t="shared" ref="XS26:XS38" si="546">+XT26+XU26</f>
        <v>1747</v>
      </c>
      <c r="XT26" s="40">
        <v>888</v>
      </c>
      <c r="XU26" s="40">
        <v>859</v>
      </c>
      <c r="XV26" s="5">
        <f t="shared" ref="XV26:XV38" si="547">+XW26+XX26</f>
        <v>1875</v>
      </c>
      <c r="XW26" s="40">
        <v>822</v>
      </c>
      <c r="XX26" s="40">
        <v>1053</v>
      </c>
      <c r="XY26" s="84">
        <f t="shared" ref="XY26:XY38" si="548">+XJ26-XM26-XS26</f>
        <v>9662</v>
      </c>
      <c r="XZ26" s="84">
        <f t="shared" ref="XZ26:XZ38" si="549">+XK26-XN26-XT26</f>
        <v>4157</v>
      </c>
      <c r="YA26" s="84">
        <f t="shared" ref="YA26:YA38" si="550">+XL26-XO26-XU26</f>
        <v>5505</v>
      </c>
      <c r="YB26" s="587">
        <v>109602</v>
      </c>
      <c r="YC26" s="40">
        <v>94254</v>
      </c>
      <c r="YD26" s="40">
        <v>2306</v>
      </c>
      <c r="YE26" s="40">
        <v>2819</v>
      </c>
      <c r="YF26" s="5">
        <v>11142</v>
      </c>
      <c r="YG26" s="10">
        <v>112005</v>
      </c>
      <c r="YH26" s="3">
        <v>97090</v>
      </c>
      <c r="YI26" s="3">
        <v>2289</v>
      </c>
      <c r="YJ26" s="3">
        <v>12626</v>
      </c>
      <c r="YK26" s="3">
        <v>3366</v>
      </c>
      <c r="YL26" s="10">
        <v>112052</v>
      </c>
      <c r="YM26" s="3">
        <v>96873</v>
      </c>
      <c r="YN26" s="3">
        <v>2462</v>
      </c>
      <c r="YO26" s="3">
        <v>12717</v>
      </c>
      <c r="YP26" s="3">
        <v>3615</v>
      </c>
      <c r="YQ26" s="10">
        <v>120291</v>
      </c>
      <c r="YR26" s="3">
        <v>102650</v>
      </c>
      <c r="YS26" s="3">
        <v>2658</v>
      </c>
      <c r="YT26" s="3">
        <v>14983</v>
      </c>
      <c r="YU26" s="3">
        <v>3886</v>
      </c>
      <c r="YV26" s="10">
        <v>122470.257</v>
      </c>
      <c r="YW26" s="3">
        <v>103901.171</v>
      </c>
      <c r="YX26" s="3">
        <v>2954.511</v>
      </c>
      <c r="YY26" s="3">
        <v>4011.44</v>
      </c>
      <c r="YZ26" s="3">
        <v>15614.574999999995</v>
      </c>
      <c r="ZA26" s="3">
        <v>125550</v>
      </c>
      <c r="ZB26" s="3">
        <v>103440</v>
      </c>
      <c r="ZC26" s="3">
        <v>3566</v>
      </c>
      <c r="ZD26" s="3">
        <v>4407</v>
      </c>
      <c r="ZE26" s="1">
        <v>15804</v>
      </c>
      <c r="ZF26" s="1">
        <v>126557</v>
      </c>
      <c r="ZG26" s="1">
        <v>104287</v>
      </c>
      <c r="ZH26" s="1">
        <v>3361</v>
      </c>
      <c r="ZI26" s="1">
        <v>4898</v>
      </c>
      <c r="ZJ26" s="1">
        <v>15767</v>
      </c>
      <c r="ZK26" s="1">
        <v>130264</v>
      </c>
      <c r="ZL26" s="1">
        <v>106726</v>
      </c>
      <c r="ZM26" s="1">
        <v>2527</v>
      </c>
      <c r="ZN26" s="1">
        <v>4160</v>
      </c>
      <c r="ZO26" s="1">
        <v>17127</v>
      </c>
      <c r="ZP26" s="1">
        <v>139416</v>
      </c>
      <c r="ZQ26" s="1">
        <v>115549</v>
      </c>
      <c r="ZR26" s="1">
        <v>3015</v>
      </c>
      <c r="ZS26" s="1">
        <v>4733</v>
      </c>
      <c r="ZT26" s="1">
        <v>16326</v>
      </c>
      <c r="ZU26" s="1">
        <v>141577</v>
      </c>
      <c r="ZV26" s="1">
        <v>117370</v>
      </c>
      <c r="ZW26" s="1">
        <v>1822</v>
      </c>
      <c r="ZX26" s="1">
        <v>3552</v>
      </c>
      <c r="ZY26" s="1">
        <v>19900</v>
      </c>
      <c r="ZZ26" s="394">
        <v>8130</v>
      </c>
      <c r="AAA26" s="1">
        <v>317</v>
      </c>
      <c r="AAB26" s="1">
        <v>4330</v>
      </c>
      <c r="AAC26" s="1">
        <v>6181</v>
      </c>
      <c r="AAD26" s="1">
        <v>797</v>
      </c>
      <c r="AAE26" s="50">
        <v>138684</v>
      </c>
      <c r="AAF26" s="1">
        <v>111204</v>
      </c>
      <c r="AAG26" s="1">
        <v>2501</v>
      </c>
      <c r="AAH26" s="1">
        <v>5819</v>
      </c>
      <c r="AAI26" s="1">
        <v>20141</v>
      </c>
      <c r="AAJ26" s="50">
        <v>146428</v>
      </c>
      <c r="AAK26" s="1"/>
      <c r="AAL26" s="1"/>
      <c r="AAM26" s="1"/>
      <c r="AAN26" s="1"/>
      <c r="AAO26" s="68">
        <v>146157</v>
      </c>
      <c r="AAP26" s="37">
        <v>116253</v>
      </c>
      <c r="AAQ26" s="37">
        <v>3527</v>
      </c>
      <c r="AAR26" s="37">
        <v>5641</v>
      </c>
      <c r="AAS26" s="37">
        <v>22509</v>
      </c>
      <c r="AAT26" s="68">
        <v>159290</v>
      </c>
      <c r="AAU26" s="37">
        <v>120167</v>
      </c>
      <c r="AAV26" s="37">
        <v>4549</v>
      </c>
      <c r="AAW26" s="37">
        <v>6197</v>
      </c>
      <c r="AAX26" s="37">
        <v>32770</v>
      </c>
      <c r="AAY26" s="1">
        <v>9719</v>
      </c>
      <c r="AAZ26" s="1">
        <v>0</v>
      </c>
      <c r="ABA26" s="1">
        <v>5138</v>
      </c>
      <c r="ABB26" s="1">
        <v>15558</v>
      </c>
      <c r="ABC26" s="1">
        <v>2355</v>
      </c>
      <c r="ABD26" s="10">
        <v>32611</v>
      </c>
      <c r="ABE26" s="3">
        <v>29459</v>
      </c>
      <c r="ABF26" s="3">
        <v>584</v>
      </c>
      <c r="ABG26" s="3">
        <v>532</v>
      </c>
      <c r="ABH26" s="3">
        <v>2568</v>
      </c>
      <c r="ABI26" s="10">
        <v>40712</v>
      </c>
      <c r="ABJ26" s="3">
        <v>36192</v>
      </c>
      <c r="ABK26" s="3">
        <v>892</v>
      </c>
      <c r="ABL26" s="3">
        <v>919</v>
      </c>
      <c r="ABM26" s="3">
        <v>2950</v>
      </c>
      <c r="ABN26" s="10">
        <v>41318</v>
      </c>
      <c r="ABO26" s="3">
        <v>36721</v>
      </c>
      <c r="ABP26" s="3">
        <v>666</v>
      </c>
      <c r="ABQ26" s="3">
        <v>1332</v>
      </c>
      <c r="ABR26" s="3">
        <v>3931</v>
      </c>
      <c r="ABS26" s="10">
        <v>42169.245999999999</v>
      </c>
      <c r="ABT26" s="3">
        <v>37456.535000000003</v>
      </c>
      <c r="ABU26" s="3">
        <v>670.83100000000002</v>
      </c>
      <c r="ABV26" s="3">
        <v>1311.056</v>
      </c>
      <c r="ABW26" s="8">
        <v>4041.8799999999956</v>
      </c>
      <c r="ABX26" s="1">
        <v>45572</v>
      </c>
      <c r="ABY26" s="1">
        <v>39321</v>
      </c>
      <c r="ABZ26" s="1">
        <v>942</v>
      </c>
      <c r="ACA26" s="1">
        <v>1473</v>
      </c>
      <c r="ACB26" s="49">
        <v>4248</v>
      </c>
      <c r="ACC26" s="1">
        <v>46704</v>
      </c>
      <c r="ACD26" s="1">
        <v>40089</v>
      </c>
      <c r="ACE26" s="1">
        <v>1078</v>
      </c>
      <c r="ACF26" s="1">
        <v>1711</v>
      </c>
      <c r="ACG26" s="1">
        <v>4214</v>
      </c>
      <c r="ACH26" s="1">
        <v>44630</v>
      </c>
      <c r="ACI26" s="1">
        <v>38346</v>
      </c>
      <c r="ACJ26" s="1">
        <v>736</v>
      </c>
      <c r="ACK26" s="1">
        <v>1389</v>
      </c>
      <c r="ACL26" s="1">
        <v>4202</v>
      </c>
      <c r="ACM26" s="1">
        <v>51547</v>
      </c>
      <c r="ACN26" s="1">
        <v>44823</v>
      </c>
      <c r="ACO26" s="1">
        <v>1470</v>
      </c>
      <c r="ACP26" s="1">
        <v>1652</v>
      </c>
      <c r="ACQ26" s="1">
        <v>3545</v>
      </c>
      <c r="ACR26" s="1">
        <v>50716</v>
      </c>
      <c r="ACS26" s="1">
        <v>43950</v>
      </c>
      <c r="ACT26" s="1">
        <v>920</v>
      </c>
      <c r="ACU26" s="1">
        <v>867</v>
      </c>
      <c r="ACV26" s="1">
        <v>5259</v>
      </c>
      <c r="ADB26" s="50">
        <v>52240</v>
      </c>
      <c r="ADC26" s="1">
        <v>44194</v>
      </c>
      <c r="ADD26" s="1">
        <v>659</v>
      </c>
      <c r="ADE26" s="1">
        <v>2109</v>
      </c>
      <c r="ADF26" s="1">
        <v>5633</v>
      </c>
      <c r="ADG26" s="50">
        <v>56793</v>
      </c>
      <c r="ADL26" s="50">
        <v>56574</v>
      </c>
      <c r="ADM26" s="1">
        <v>46529</v>
      </c>
      <c r="ADN26" s="1">
        <v>881</v>
      </c>
      <c r="ADO26" s="1">
        <v>2122</v>
      </c>
      <c r="ADP26" s="1">
        <v>7763</v>
      </c>
      <c r="ADQ26" s="50">
        <v>57868</v>
      </c>
      <c r="ADR26" s="1">
        <v>46980</v>
      </c>
      <c r="ADS26" s="1">
        <v>1675</v>
      </c>
      <c r="ADT26" s="1">
        <v>2513</v>
      </c>
      <c r="ADU26" s="1">
        <v>8541</v>
      </c>
      <c r="ADV26" s="1">
        <v>1855</v>
      </c>
      <c r="ADW26" s="1">
        <v>0</v>
      </c>
      <c r="ADX26" s="1">
        <v>1557</v>
      </c>
      <c r="ADY26" s="1">
        <v>4553</v>
      </c>
      <c r="ADZ26" s="1">
        <v>576</v>
      </c>
    </row>
    <row r="27" spans="1:806" ht="14.1">
      <c r="A27" s="138" t="s">
        <v>26</v>
      </c>
      <c r="B27" s="174" t="s">
        <v>221</v>
      </c>
      <c r="C27" s="175" t="s">
        <v>221</v>
      </c>
      <c r="D27" s="175" t="s">
        <v>221</v>
      </c>
      <c r="E27" s="175" t="s">
        <v>221</v>
      </c>
      <c r="F27" s="176" t="s">
        <v>221</v>
      </c>
      <c r="G27" s="3">
        <v>207509</v>
      </c>
      <c r="H27" s="3">
        <v>125615</v>
      </c>
      <c r="I27" s="3">
        <v>5554</v>
      </c>
      <c r="J27" s="3">
        <v>98831</v>
      </c>
      <c r="K27" s="8">
        <v>76340</v>
      </c>
      <c r="L27" s="3">
        <v>254696</v>
      </c>
      <c r="M27" s="3">
        <v>135524</v>
      </c>
      <c r="N27" s="3">
        <v>4606</v>
      </c>
      <c r="O27" s="3">
        <v>169144</v>
      </c>
      <c r="P27" s="8">
        <v>114566</v>
      </c>
      <c r="Q27" s="3">
        <v>287662</v>
      </c>
      <c r="R27" s="3">
        <v>48453</v>
      </c>
      <c r="S27" s="3">
        <v>5008</v>
      </c>
      <c r="T27" s="3">
        <v>209879</v>
      </c>
      <c r="U27" s="8">
        <v>102205</v>
      </c>
      <c r="V27" s="5">
        <v>270592</v>
      </c>
      <c r="W27" s="5">
        <v>195664</v>
      </c>
      <c r="X27" s="5">
        <v>5426</v>
      </c>
      <c r="Y27" s="5">
        <v>196767</v>
      </c>
      <c r="Z27" s="408">
        <v>69502</v>
      </c>
      <c r="AA27" s="5">
        <v>265676</v>
      </c>
      <c r="AB27" s="5">
        <v>42243</v>
      </c>
      <c r="AC27" s="5">
        <v>5429</v>
      </c>
      <c r="AD27" s="5">
        <v>194235</v>
      </c>
      <c r="AE27" s="5">
        <v>73249</v>
      </c>
      <c r="AF27" s="399">
        <v>270293</v>
      </c>
      <c r="AG27" s="5">
        <v>42779</v>
      </c>
      <c r="AH27" s="5">
        <v>6098</v>
      </c>
      <c r="AI27" s="5">
        <v>196717</v>
      </c>
      <c r="AJ27" s="490">
        <v>75695</v>
      </c>
      <c r="AK27" s="490">
        <v>286007</v>
      </c>
      <c r="AL27" s="490">
        <v>44261</v>
      </c>
      <c r="AM27" s="685">
        <v>5476</v>
      </c>
      <c r="AN27" s="685">
        <v>209157</v>
      </c>
      <c r="AO27" s="490">
        <v>79888</v>
      </c>
      <c r="AP27" s="394">
        <v>271316</v>
      </c>
      <c r="AQ27" s="394">
        <v>39821</v>
      </c>
      <c r="AR27" s="394">
        <v>4656</v>
      </c>
      <c r="AS27" s="394">
        <v>201500</v>
      </c>
      <c r="AT27" s="394">
        <v>90509</v>
      </c>
      <c r="AU27" s="393">
        <v>265215</v>
      </c>
      <c r="AV27" s="394">
        <v>44148</v>
      </c>
      <c r="AW27" s="394">
        <v>5012</v>
      </c>
      <c r="AX27" s="394">
        <v>189177</v>
      </c>
      <c r="AY27" s="394">
        <v>102058</v>
      </c>
      <c r="AZ27" s="1">
        <v>12443</v>
      </c>
      <c r="BA27" s="1">
        <v>340</v>
      </c>
      <c r="BB27" s="1">
        <v>14358</v>
      </c>
      <c r="BC27" s="1">
        <v>4219</v>
      </c>
      <c r="BD27" s="1">
        <v>70698</v>
      </c>
      <c r="BE27" s="393">
        <v>254700</v>
      </c>
      <c r="BF27" s="394">
        <v>40038</v>
      </c>
      <c r="BG27" s="394">
        <v>5979</v>
      </c>
      <c r="BH27" s="394">
        <v>185296</v>
      </c>
      <c r="BI27" s="394">
        <v>74371</v>
      </c>
      <c r="BJ27" s="393">
        <v>256545</v>
      </c>
      <c r="BK27" s="394"/>
      <c r="BL27" s="394"/>
      <c r="BM27" s="394"/>
      <c r="BN27" s="394"/>
      <c r="BO27" s="393">
        <v>252459</v>
      </c>
      <c r="BP27" s="394">
        <v>39250</v>
      </c>
      <c r="BQ27" s="394">
        <v>8308</v>
      </c>
      <c r="BR27" s="394">
        <v>182028</v>
      </c>
      <c r="BS27" s="394">
        <v>63104</v>
      </c>
      <c r="BT27" s="393">
        <v>233638</v>
      </c>
      <c r="BU27" s="394">
        <v>34554</v>
      </c>
      <c r="BV27" s="394">
        <v>4075</v>
      </c>
      <c r="BW27" s="394">
        <v>174013</v>
      </c>
      <c r="BX27" s="394">
        <v>8966</v>
      </c>
      <c r="BY27" s="1">
        <v>198</v>
      </c>
      <c r="BZ27" s="1">
        <v>11979</v>
      </c>
      <c r="CA27" s="1">
        <v>92064</v>
      </c>
      <c r="CB27" s="1">
        <v>59758</v>
      </c>
      <c r="CC27" s="10">
        <v>283571</v>
      </c>
      <c r="CD27" s="3">
        <v>219844</v>
      </c>
      <c r="CE27" s="3">
        <v>9258</v>
      </c>
      <c r="CF27" s="3">
        <v>174013</v>
      </c>
      <c r="CG27" s="8">
        <v>54469</v>
      </c>
      <c r="CH27" s="3">
        <v>364851</v>
      </c>
      <c r="CI27" s="3">
        <v>249375</v>
      </c>
      <c r="CJ27" s="3">
        <v>11712</v>
      </c>
      <c r="CK27" s="3">
        <v>127860</v>
      </c>
      <c r="CL27" s="8">
        <v>103764</v>
      </c>
      <c r="CM27" s="1">
        <v>365239</v>
      </c>
      <c r="CN27" s="3">
        <v>162244</v>
      </c>
      <c r="CO27" s="3">
        <v>11551</v>
      </c>
      <c r="CP27" s="3">
        <v>159758</v>
      </c>
      <c r="CQ27" s="8">
        <v>99210</v>
      </c>
      <c r="CR27" s="3">
        <v>338129</v>
      </c>
      <c r="CS27" s="3">
        <v>254079</v>
      </c>
      <c r="CT27" s="3">
        <v>11873</v>
      </c>
      <c r="CU27" s="3">
        <v>154421</v>
      </c>
      <c r="CV27" s="8">
        <v>72177</v>
      </c>
      <c r="CW27" s="3">
        <v>336443</v>
      </c>
      <c r="CX27" s="3">
        <v>136856</v>
      </c>
      <c r="CY27" s="3">
        <v>12199</v>
      </c>
      <c r="CZ27" s="3">
        <v>156173</v>
      </c>
      <c r="DA27" s="3">
        <v>74154</v>
      </c>
      <c r="DB27" s="3">
        <v>337448</v>
      </c>
      <c r="DC27" s="3">
        <v>131458</v>
      </c>
      <c r="DD27" s="3">
        <v>12881</v>
      </c>
      <c r="DE27" s="3">
        <v>161984</v>
      </c>
      <c r="DF27" s="39">
        <v>74692</v>
      </c>
      <c r="DG27" s="39">
        <v>332779</v>
      </c>
      <c r="DH27" s="39">
        <v>122034</v>
      </c>
      <c r="DI27" s="39">
        <v>12762</v>
      </c>
      <c r="DJ27" s="39">
        <v>166243</v>
      </c>
      <c r="DK27" s="39">
        <v>81064</v>
      </c>
      <c r="DL27" s="39">
        <v>359657</v>
      </c>
      <c r="DM27" s="39">
        <v>135166</v>
      </c>
      <c r="DN27" s="39">
        <v>16349</v>
      </c>
      <c r="DO27" s="39">
        <v>175201</v>
      </c>
      <c r="DP27" s="39">
        <v>86127</v>
      </c>
      <c r="DQ27" s="39">
        <v>349224</v>
      </c>
      <c r="DR27" s="39">
        <v>132085</v>
      </c>
      <c r="DS27" s="39">
        <v>14540</v>
      </c>
      <c r="DT27" s="39">
        <v>169690</v>
      </c>
      <c r="DU27" s="39">
        <v>100324</v>
      </c>
      <c r="DV27" s="118">
        <v>350198</v>
      </c>
      <c r="DW27" s="39">
        <v>119244</v>
      </c>
      <c r="DX27" s="39">
        <v>12036</v>
      </c>
      <c r="DY27" s="39">
        <v>184650</v>
      </c>
      <c r="DZ27" s="39">
        <v>87752</v>
      </c>
      <c r="EA27" s="118">
        <v>349389</v>
      </c>
      <c r="EB27" s="39"/>
      <c r="EC27" s="39"/>
      <c r="ED27" s="39"/>
      <c r="EE27" s="39"/>
      <c r="EF27" s="118">
        <v>360539</v>
      </c>
      <c r="EG27" s="39">
        <v>122550</v>
      </c>
      <c r="EH27" s="39">
        <v>13411</v>
      </c>
      <c r="EI27" s="39">
        <v>191703</v>
      </c>
      <c r="EJ27" s="39">
        <v>79266</v>
      </c>
      <c r="EK27" s="118">
        <v>360539</v>
      </c>
      <c r="EL27" s="39">
        <v>122550</v>
      </c>
      <c r="EM27" s="39">
        <v>13411</v>
      </c>
      <c r="EN27" s="39">
        <v>191703</v>
      </c>
      <c r="EO27" s="39">
        <v>79266</v>
      </c>
      <c r="EP27" s="118">
        <v>315725</v>
      </c>
      <c r="EQ27" s="39">
        <v>103636</v>
      </c>
      <c r="ER27" s="39">
        <v>10461</v>
      </c>
      <c r="ES27" s="39">
        <v>171725</v>
      </c>
      <c r="ET27" s="1">
        <v>6542</v>
      </c>
      <c r="EU27" s="1">
        <v>530</v>
      </c>
      <c r="EV27" s="1">
        <v>20884</v>
      </c>
      <c r="EW27" s="1">
        <v>93927</v>
      </c>
      <c r="EX27" s="1">
        <v>54135</v>
      </c>
      <c r="EY27" s="10">
        <v>605702</v>
      </c>
      <c r="EZ27" s="3">
        <v>443378</v>
      </c>
      <c r="FA27" s="3">
        <v>16851</v>
      </c>
      <c r="FB27" s="3">
        <v>348517</v>
      </c>
      <c r="FC27" s="201">
        <f t="shared" si="497"/>
        <v>145473</v>
      </c>
      <c r="FD27" s="174" t="s">
        <v>221</v>
      </c>
      <c r="FE27" s="175" t="s">
        <v>221</v>
      </c>
      <c r="FF27" s="175" t="s">
        <v>221</v>
      </c>
      <c r="FG27" s="175" t="s">
        <v>221</v>
      </c>
      <c r="FH27" s="174" t="s">
        <v>221</v>
      </c>
      <c r="FI27" s="175" t="s">
        <v>221</v>
      </c>
      <c r="FJ27" s="175" t="s">
        <v>221</v>
      </c>
      <c r="FK27" s="175" t="s">
        <v>221</v>
      </c>
      <c r="FL27" s="176" t="s">
        <v>221</v>
      </c>
      <c r="FM27" s="3">
        <v>1810097</v>
      </c>
      <c r="FN27" s="3">
        <v>1615423</v>
      </c>
      <c r="FO27" s="3">
        <v>44695</v>
      </c>
      <c r="FP27" s="3">
        <v>170380</v>
      </c>
      <c r="FQ27" s="8">
        <v>149979</v>
      </c>
      <c r="FR27" s="3">
        <v>2636637</v>
      </c>
      <c r="FS27" s="3">
        <v>2245285</v>
      </c>
      <c r="FT27" s="3">
        <v>72963</v>
      </c>
      <c r="FU27" s="3">
        <v>328514</v>
      </c>
      <c r="FV27" s="3">
        <v>318389</v>
      </c>
      <c r="FW27" s="127">
        <v>3296122</v>
      </c>
      <c r="FX27" s="3">
        <v>2430487</v>
      </c>
      <c r="FY27" s="3">
        <v>110344</v>
      </c>
      <c r="FZ27" s="3">
        <v>706531</v>
      </c>
      <c r="GA27" s="3">
        <v>546773</v>
      </c>
      <c r="GB27" s="10">
        <v>3417935</v>
      </c>
      <c r="GC27" s="3">
        <v>2860694</v>
      </c>
      <c r="GD27" s="3">
        <v>112237</v>
      </c>
      <c r="GE27" s="3">
        <v>445004</v>
      </c>
      <c r="GF27" s="3">
        <v>579708</v>
      </c>
      <c r="GG27" s="42">
        <v>3501893</v>
      </c>
      <c r="GH27" s="40">
        <v>2950148</v>
      </c>
      <c r="GI27" s="40">
        <v>120031</v>
      </c>
      <c r="GJ27" s="40">
        <v>431714</v>
      </c>
      <c r="GK27" s="40">
        <v>609345</v>
      </c>
      <c r="GL27" s="10">
        <v>3479684</v>
      </c>
      <c r="GM27" s="3">
        <v>2946162</v>
      </c>
      <c r="GN27" s="3">
        <v>129571</v>
      </c>
      <c r="GO27" s="3">
        <v>589070</v>
      </c>
      <c r="GP27" s="3">
        <v>351862</v>
      </c>
      <c r="GQ27" s="10">
        <v>3542940.2680000002</v>
      </c>
      <c r="GR27" s="3">
        <v>2993659.2270000004</v>
      </c>
      <c r="GS27" s="3">
        <v>133601.37600000002</v>
      </c>
      <c r="GT27" s="3">
        <v>620554.02300000004</v>
      </c>
      <c r="GU27" s="373">
        <f t="shared" si="498"/>
        <v>415679.66499999969</v>
      </c>
      <c r="GV27" s="3">
        <v>3607470</v>
      </c>
      <c r="GW27" s="3">
        <v>2565354</v>
      </c>
      <c r="GX27" s="3">
        <v>139116</v>
      </c>
      <c r="GY27" s="3">
        <v>642485</v>
      </c>
      <c r="GZ27" s="3">
        <v>431218</v>
      </c>
      <c r="HA27" s="3">
        <v>3666325</v>
      </c>
      <c r="HB27" s="3">
        <v>2591676</v>
      </c>
      <c r="HC27" s="3">
        <v>142422</v>
      </c>
      <c r="HD27" s="3">
        <v>659840</v>
      </c>
      <c r="HE27" s="3">
        <v>443710</v>
      </c>
      <c r="HF27" s="3">
        <v>3817440</v>
      </c>
      <c r="HG27" s="3">
        <v>2659076</v>
      </c>
      <c r="HH27" s="3">
        <v>153774</v>
      </c>
      <c r="HI27" s="3">
        <v>708892</v>
      </c>
      <c r="HJ27" s="3">
        <v>482862</v>
      </c>
      <c r="HK27" s="3">
        <v>3905981</v>
      </c>
      <c r="HL27" s="3">
        <v>2687401</v>
      </c>
      <c r="HM27" s="3">
        <v>161624</v>
      </c>
      <c r="HN27" s="3">
        <v>746212</v>
      </c>
      <c r="HO27" s="3">
        <v>514538</v>
      </c>
      <c r="HP27" s="10">
        <v>4011970</v>
      </c>
      <c r="HQ27" s="3">
        <v>2728489</v>
      </c>
      <c r="HR27" s="3">
        <v>163399</v>
      </c>
      <c r="HS27" s="3">
        <v>794537</v>
      </c>
      <c r="HT27" s="3">
        <v>559639</v>
      </c>
      <c r="HU27" s="394">
        <v>133489</v>
      </c>
      <c r="HV27" s="1">
        <v>7582</v>
      </c>
      <c r="HW27" s="1">
        <v>137622</v>
      </c>
      <c r="HX27" s="1">
        <v>87287</v>
      </c>
      <c r="HY27" s="1">
        <v>193659</v>
      </c>
      <c r="HZ27" s="10">
        <v>4106464</v>
      </c>
      <c r="IA27" s="3">
        <v>2759267</v>
      </c>
      <c r="IB27" s="3">
        <v>174892</v>
      </c>
      <c r="IC27" s="3">
        <v>833054</v>
      </c>
      <c r="ID27" s="8">
        <v>556297</v>
      </c>
      <c r="IE27" s="399">
        <v>4234370</v>
      </c>
      <c r="IF27" s="5"/>
      <c r="IG27" s="5"/>
      <c r="IH27" s="5"/>
      <c r="II27" s="5"/>
      <c r="IJ27" s="399">
        <v>4331542</v>
      </c>
      <c r="IK27" s="5">
        <v>2848764</v>
      </c>
      <c r="IL27" s="5">
        <v>193271</v>
      </c>
      <c r="IM27" s="5">
        <v>918531</v>
      </c>
      <c r="IN27" s="5">
        <v>584800</v>
      </c>
      <c r="IO27" s="399">
        <v>4430934</v>
      </c>
      <c r="IP27" s="5">
        <v>2790314</v>
      </c>
      <c r="IQ27" s="5">
        <v>194235</v>
      </c>
      <c r="IR27" s="5">
        <v>988689</v>
      </c>
      <c r="IS27" s="5">
        <v>1250965</v>
      </c>
      <c r="IT27" s="1">
        <v>162575</v>
      </c>
      <c r="IU27" s="1">
        <v>7181</v>
      </c>
      <c r="IV27" s="1">
        <v>145795</v>
      </c>
      <c r="IW27" s="1">
        <v>629255</v>
      </c>
      <c r="IX27" s="1">
        <v>306159</v>
      </c>
      <c r="IY27" s="380" t="s">
        <v>221</v>
      </c>
      <c r="IZ27" s="188" t="s">
        <v>221</v>
      </c>
      <c r="JA27" s="188" t="s">
        <v>221</v>
      </c>
      <c r="JB27" s="188" t="s">
        <v>221</v>
      </c>
      <c r="JC27" s="635" t="s">
        <v>221</v>
      </c>
      <c r="JD27" s="5">
        <v>741784</v>
      </c>
      <c r="JE27" s="5">
        <v>659654</v>
      </c>
      <c r="JF27" s="5">
        <v>23175</v>
      </c>
      <c r="JG27" s="5">
        <v>70378</v>
      </c>
      <c r="JH27" s="408">
        <v>58955</v>
      </c>
      <c r="JI27" s="5">
        <v>1078521</v>
      </c>
      <c r="JJ27" s="5">
        <v>915562</v>
      </c>
      <c r="JK27" s="5">
        <v>35040</v>
      </c>
      <c r="JL27" s="5">
        <v>136058</v>
      </c>
      <c r="JM27" s="408">
        <v>127919</v>
      </c>
      <c r="JN27" s="5">
        <v>1250850</v>
      </c>
      <c r="JO27" s="5">
        <v>931450</v>
      </c>
      <c r="JP27" s="5">
        <v>47144</v>
      </c>
      <c r="JQ27" s="5">
        <v>199447</v>
      </c>
      <c r="JR27" s="5">
        <v>163281</v>
      </c>
      <c r="JS27" s="5">
        <v>1406947</v>
      </c>
      <c r="JT27" s="5">
        <v>1187200</v>
      </c>
      <c r="JU27" s="5">
        <v>60630</v>
      </c>
      <c r="JV27" s="5">
        <v>240598</v>
      </c>
      <c r="JW27" s="408">
        <v>159117</v>
      </c>
      <c r="JX27" s="5">
        <v>1431281.49</v>
      </c>
      <c r="JY27" s="5">
        <v>1206399.9870000002</v>
      </c>
      <c r="JZ27" s="5">
        <v>64393.455999999998</v>
      </c>
      <c r="KA27" s="5">
        <v>258483.50100000002</v>
      </c>
      <c r="KB27" s="408">
        <v>160488.04699999979</v>
      </c>
      <c r="KC27" s="5">
        <v>1447853</v>
      </c>
      <c r="KD27" s="5">
        <v>1020598</v>
      </c>
      <c r="KE27" s="5">
        <v>67497</v>
      </c>
      <c r="KF27" s="5">
        <v>267090</v>
      </c>
      <c r="KG27" s="439">
        <v>165039</v>
      </c>
      <c r="KH27" s="439">
        <v>1458487</v>
      </c>
      <c r="KI27" s="439">
        <v>1017716</v>
      </c>
      <c r="KJ27" s="439">
        <v>67789</v>
      </c>
      <c r="KK27" s="439">
        <v>275126</v>
      </c>
      <c r="KL27" s="439">
        <v>171177</v>
      </c>
      <c r="KM27" s="439">
        <v>1515336</v>
      </c>
      <c r="KN27" s="439">
        <v>1053941</v>
      </c>
      <c r="KO27" s="439">
        <v>70001</v>
      </c>
      <c r="KP27" s="439">
        <v>286979</v>
      </c>
      <c r="KQ27" s="439">
        <v>183415</v>
      </c>
      <c r="KR27" s="439">
        <v>1537661</v>
      </c>
      <c r="KS27" s="439">
        <v>1047903</v>
      </c>
      <c r="KT27" s="439">
        <v>76442</v>
      </c>
      <c r="KU27" s="439">
        <v>310278</v>
      </c>
      <c r="KV27" s="439">
        <v>190329</v>
      </c>
      <c r="KW27" s="630">
        <v>1570579</v>
      </c>
      <c r="KX27" s="439">
        <v>1055573</v>
      </c>
      <c r="KY27" s="439">
        <v>79120</v>
      </c>
      <c r="KZ27" s="439">
        <v>323282</v>
      </c>
      <c r="LA27" s="439">
        <v>213395</v>
      </c>
      <c r="LB27" s="652">
        <v>1586879</v>
      </c>
      <c r="LC27" s="653">
        <v>1058403</v>
      </c>
      <c r="LD27" s="653">
        <v>76989</v>
      </c>
      <c r="LE27" s="653">
        <v>336361</v>
      </c>
      <c r="LF27" s="653">
        <v>202288</v>
      </c>
      <c r="LG27" s="652">
        <v>1636580</v>
      </c>
      <c r="LH27" s="653"/>
      <c r="LI27" s="439"/>
      <c r="LJ27" s="439"/>
      <c r="LK27" s="439"/>
      <c r="LL27" s="652">
        <v>1668699</v>
      </c>
      <c r="LM27" s="653">
        <v>1083544</v>
      </c>
      <c r="LN27" s="653">
        <v>87000</v>
      </c>
      <c r="LO27" s="653">
        <v>376059</v>
      </c>
      <c r="LP27" s="653">
        <v>215898</v>
      </c>
      <c r="LQ27" s="652">
        <v>1647796</v>
      </c>
      <c r="LR27" s="653">
        <v>1017831</v>
      </c>
      <c r="LS27" s="653">
        <v>84674</v>
      </c>
      <c r="LT27" s="653">
        <v>386098</v>
      </c>
      <c r="LU27" s="653">
        <v>462550</v>
      </c>
      <c r="LV27" s="1">
        <v>35982</v>
      </c>
      <c r="LW27" s="1">
        <v>3083</v>
      </c>
      <c r="LX27" s="1">
        <v>64493</v>
      </c>
      <c r="LY27" s="1">
        <v>245386</v>
      </c>
      <c r="LZ27" s="1">
        <v>113606</v>
      </c>
      <c r="MA27" s="10">
        <v>157456</v>
      </c>
      <c r="MB27" s="3">
        <v>138410</v>
      </c>
      <c r="MC27" s="3">
        <v>5224</v>
      </c>
      <c r="MD27" s="3">
        <v>15808</v>
      </c>
      <c r="ME27" s="8">
        <v>13822</v>
      </c>
      <c r="MF27" s="3">
        <v>219356</v>
      </c>
      <c r="MG27" s="3">
        <v>184383</v>
      </c>
      <c r="MH27" s="3">
        <v>7858</v>
      </c>
      <c r="MI27" s="3">
        <v>26418</v>
      </c>
      <c r="MJ27" s="8">
        <v>27115</v>
      </c>
      <c r="MK27" s="3">
        <v>309190</v>
      </c>
      <c r="ML27" s="3">
        <v>226086</v>
      </c>
      <c r="MM27" s="3">
        <v>12768</v>
      </c>
      <c r="MN27" s="3">
        <v>49920</v>
      </c>
      <c r="MO27" s="3">
        <v>42827</v>
      </c>
      <c r="MP27" s="10">
        <v>327702</v>
      </c>
      <c r="MQ27" s="3">
        <v>275051</v>
      </c>
      <c r="MR27" s="3">
        <v>14281</v>
      </c>
      <c r="MS27" s="3">
        <v>54754</v>
      </c>
      <c r="MT27" s="3">
        <v>38370</v>
      </c>
      <c r="MU27" s="10"/>
      <c r="MV27" s="3"/>
      <c r="MW27" s="3"/>
      <c r="MX27" s="3"/>
      <c r="MY27" s="8"/>
      <c r="MZ27" s="3">
        <v>347863</v>
      </c>
      <c r="NA27" s="3">
        <v>246718</v>
      </c>
      <c r="NB27" s="3">
        <v>16093</v>
      </c>
      <c r="NC27" s="3">
        <v>59478</v>
      </c>
      <c r="ND27" s="3">
        <v>41402</v>
      </c>
      <c r="NE27" s="3">
        <v>360777</v>
      </c>
      <c r="NF27" s="3">
        <v>257418</v>
      </c>
      <c r="NG27" s="3">
        <v>15774</v>
      </c>
      <c r="NH27" s="3">
        <v>61480</v>
      </c>
      <c r="NI27" s="3">
        <v>42190</v>
      </c>
      <c r="NJ27" s="3">
        <v>376649</v>
      </c>
      <c r="NK27" s="3">
        <v>267661</v>
      </c>
      <c r="NL27" s="3">
        <v>16361</v>
      </c>
      <c r="NM27" s="3">
        <v>63556</v>
      </c>
      <c r="NN27" s="3">
        <v>181756</v>
      </c>
      <c r="NO27" s="3">
        <v>382106</v>
      </c>
      <c r="NP27" s="3">
        <v>261821</v>
      </c>
      <c r="NQ27" s="3">
        <v>18746</v>
      </c>
      <c r="NR27" s="3">
        <v>69965</v>
      </c>
      <c r="NS27" s="3">
        <v>51567</v>
      </c>
      <c r="NT27" s="3">
        <v>390843</v>
      </c>
      <c r="NU27" s="3">
        <v>264597</v>
      </c>
      <c r="NV27" s="3">
        <v>19719</v>
      </c>
      <c r="NW27" s="3">
        <v>76212</v>
      </c>
      <c r="NX27" s="3">
        <v>53101</v>
      </c>
      <c r="NY27" s="10">
        <v>408070</v>
      </c>
      <c r="NZ27" s="3">
        <v>276477</v>
      </c>
      <c r="OA27" s="3">
        <v>18313</v>
      </c>
      <c r="OB27" s="3">
        <v>84761</v>
      </c>
      <c r="OC27" s="3">
        <v>51523</v>
      </c>
      <c r="OD27" s="10">
        <v>428422</v>
      </c>
      <c r="OE27" s="3"/>
      <c r="OF27" s="3"/>
      <c r="OG27" s="3"/>
      <c r="OH27" s="3"/>
      <c r="OI27" s="10">
        <v>431854</v>
      </c>
      <c r="OJ27" s="3">
        <v>285594</v>
      </c>
      <c r="OK27" s="3">
        <v>22246</v>
      </c>
      <c r="OL27" s="3">
        <v>92186</v>
      </c>
      <c r="OM27" s="3">
        <v>53472</v>
      </c>
      <c r="ON27" s="10">
        <v>467305</v>
      </c>
      <c r="OO27" s="3">
        <v>295324</v>
      </c>
      <c r="OP27" s="3">
        <v>19770</v>
      </c>
      <c r="OQ27" s="3">
        <v>103679</v>
      </c>
      <c r="OR27" s="3">
        <v>31808</v>
      </c>
      <c r="OS27" s="1">
        <v>14224</v>
      </c>
      <c r="OT27" s="1">
        <v>1141</v>
      </c>
      <c r="OU27" s="1">
        <v>15640</v>
      </c>
      <c r="OV27" s="1">
        <v>67898</v>
      </c>
      <c r="OW27" s="1">
        <v>31808</v>
      </c>
      <c r="OX27" s="402">
        <f t="shared" si="499"/>
        <v>567855</v>
      </c>
      <c r="OY27" s="382">
        <f t="shared" si="500"/>
        <v>426077</v>
      </c>
      <c r="OZ27" s="382">
        <f t="shared" si="501"/>
        <v>30935</v>
      </c>
      <c r="PA27" s="382">
        <f t="shared" si="502"/>
        <v>201797</v>
      </c>
      <c r="PB27" s="382">
        <f t="shared" si="503"/>
        <v>93339</v>
      </c>
      <c r="PC27" s="402">
        <f t="shared" si="504"/>
        <v>985568</v>
      </c>
      <c r="PD27" s="382">
        <f t="shared" si="505"/>
        <v>868612</v>
      </c>
      <c r="PE27" s="382">
        <f t="shared" si="506"/>
        <v>24459</v>
      </c>
      <c r="PF27" s="382">
        <f t="shared" si="507"/>
        <v>77338</v>
      </c>
      <c r="PG27" s="382">
        <f t="shared" si="508"/>
        <v>92497</v>
      </c>
      <c r="PH27" s="10">
        <v>1210219</v>
      </c>
      <c r="PI27" s="3">
        <v>1043617</v>
      </c>
      <c r="PJ27" s="3">
        <v>40840</v>
      </c>
      <c r="PK27" s="3">
        <v>137035</v>
      </c>
      <c r="PL27" s="3">
        <v>125762</v>
      </c>
      <c r="PM27" s="3">
        <v>1306142</v>
      </c>
      <c r="PN27" s="3">
        <v>1043479</v>
      </c>
      <c r="PO27" s="3">
        <v>39801</v>
      </c>
      <c r="PP27" s="3">
        <v>132767</v>
      </c>
      <c r="PQ27" s="3">
        <v>144821</v>
      </c>
      <c r="PR27" s="399"/>
      <c r="PS27" s="5"/>
      <c r="PT27" s="5"/>
      <c r="PU27" s="5"/>
      <c r="PV27" s="5"/>
      <c r="PW27" s="5">
        <v>1470955</v>
      </c>
      <c r="PX27" s="5">
        <v>1137382</v>
      </c>
      <c r="PY27" s="5">
        <v>50038</v>
      </c>
      <c r="PZ27" s="5">
        <v>165999</v>
      </c>
      <c r="QA27" s="408">
        <v>158648</v>
      </c>
      <c r="QB27" s="5">
        <v>1521260</v>
      </c>
      <c r="QC27" s="5">
        <v>1175499</v>
      </c>
      <c r="QD27" s="5">
        <v>51075</v>
      </c>
      <c r="QE27" s="5">
        <v>170940</v>
      </c>
      <c r="QF27" s="5">
        <v>166006</v>
      </c>
      <c r="QG27" s="5">
        <v>1598941</v>
      </c>
      <c r="QH27" s="5">
        <v>1215733</v>
      </c>
      <c r="QI27" s="5">
        <v>58530</v>
      </c>
      <c r="QJ27" s="5">
        <v>190177</v>
      </c>
      <c r="QK27" s="5">
        <v>181756</v>
      </c>
      <c r="QL27" s="399">
        <v>1639555</v>
      </c>
      <c r="QM27" s="5">
        <v>1232603</v>
      </c>
      <c r="QN27" s="5">
        <v>60641</v>
      </c>
      <c r="QO27" s="5">
        <v>195658</v>
      </c>
      <c r="QP27" s="5">
        <v>200822</v>
      </c>
      <c r="QQ27" s="399">
        <v>1726737</v>
      </c>
      <c r="QR27" s="5">
        <v>1289079</v>
      </c>
      <c r="QS27" s="5">
        <v>63045</v>
      </c>
      <c r="QT27" s="5">
        <v>223091</v>
      </c>
      <c r="QU27" s="5">
        <v>210926</v>
      </c>
      <c r="QV27" s="399">
        <v>1791162</v>
      </c>
      <c r="QW27" s="5">
        <v>1322044</v>
      </c>
      <c r="QX27" s="5">
        <v>65287</v>
      </c>
      <c r="QY27" s="5">
        <v>240787</v>
      </c>
      <c r="QZ27" s="5">
        <v>219885</v>
      </c>
      <c r="RA27" s="399">
        <v>1866915</v>
      </c>
      <c r="RB27" s="5"/>
      <c r="RC27" s="5"/>
      <c r="RD27" s="5"/>
      <c r="RE27" s="5"/>
      <c r="RF27" s="5">
        <v>1924012</v>
      </c>
      <c r="RG27" s="5">
        <v>1388617</v>
      </c>
      <c r="RH27" s="5">
        <v>80926</v>
      </c>
      <c r="RI27" s="5">
        <v>271627</v>
      </c>
      <c r="RJ27" s="5">
        <v>240421</v>
      </c>
      <c r="RK27" s="5">
        <v>2082386</v>
      </c>
      <c r="RL27" s="5">
        <v>1440785</v>
      </c>
      <c r="RM27" s="5">
        <v>82755</v>
      </c>
      <c r="RN27" s="5">
        <v>324002</v>
      </c>
      <c r="RO27" s="5">
        <v>491561</v>
      </c>
      <c r="RP27" s="1">
        <v>118069</v>
      </c>
      <c r="RQ27" s="1">
        <v>3201</v>
      </c>
      <c r="RR27" s="1">
        <v>35469</v>
      </c>
      <c r="RS27" s="1">
        <v>238562</v>
      </c>
      <c r="RT27" s="1">
        <v>96260</v>
      </c>
      <c r="RU27" s="10">
        <v>306554</v>
      </c>
      <c r="RV27" s="3">
        <v>285607</v>
      </c>
      <c r="RW27" s="3">
        <v>5882</v>
      </c>
      <c r="RX27" s="3">
        <v>15325</v>
      </c>
      <c r="RY27" s="3">
        <v>15065</v>
      </c>
      <c r="RZ27" s="10">
        <v>493419</v>
      </c>
      <c r="SA27" s="3">
        <v>441978</v>
      </c>
      <c r="SB27" s="3">
        <v>10942</v>
      </c>
      <c r="SC27" s="3">
        <v>33315</v>
      </c>
      <c r="SD27" s="3">
        <v>40499</v>
      </c>
      <c r="SE27" s="10">
        <v>634946</v>
      </c>
      <c r="SF27" s="3">
        <v>519035</v>
      </c>
      <c r="SG27" s="3">
        <v>17773</v>
      </c>
      <c r="SH27" s="3">
        <v>57286</v>
      </c>
      <c r="SI27" s="3">
        <v>63839</v>
      </c>
      <c r="SJ27" s="10">
        <v>679812</v>
      </c>
      <c r="SK27" s="3">
        <v>592599</v>
      </c>
      <c r="SL27" s="3">
        <v>20765</v>
      </c>
      <c r="SM27" s="3">
        <v>69025</v>
      </c>
      <c r="SN27" s="3">
        <v>66448</v>
      </c>
      <c r="SO27" s="10">
        <v>696971.85600000003</v>
      </c>
      <c r="SP27" s="3">
        <v>608355.549</v>
      </c>
      <c r="SQ27" s="3">
        <v>20461.472000000002</v>
      </c>
      <c r="SR27" s="3">
        <v>71639.622000000003</v>
      </c>
      <c r="SS27" s="3">
        <v>68154.835000000021</v>
      </c>
      <c r="ST27" s="10">
        <v>716374</v>
      </c>
      <c r="SU27" s="3">
        <v>564994</v>
      </c>
      <c r="SV27" s="3">
        <v>21632</v>
      </c>
      <c r="SW27" s="3">
        <v>75283</v>
      </c>
      <c r="SX27" s="3">
        <v>73113</v>
      </c>
      <c r="SY27" s="3">
        <v>732925</v>
      </c>
      <c r="SZ27" s="3">
        <v>578031</v>
      </c>
      <c r="TA27" s="3">
        <v>22671</v>
      </c>
      <c r="TB27" s="3">
        <v>75591</v>
      </c>
      <c r="TC27" s="3">
        <v>75658</v>
      </c>
      <c r="TD27" s="3">
        <v>765784</v>
      </c>
      <c r="TE27" s="3">
        <v>590359</v>
      </c>
      <c r="TF27" s="3">
        <v>26733</v>
      </c>
      <c r="TG27" s="3">
        <v>88951</v>
      </c>
      <c r="TH27" s="3">
        <v>81362</v>
      </c>
      <c r="TI27" s="3">
        <v>788933</v>
      </c>
      <c r="TJ27" s="3">
        <v>605530</v>
      </c>
      <c r="TK27" s="3">
        <v>26860</v>
      </c>
      <c r="TL27" s="3">
        <v>87697</v>
      </c>
      <c r="TM27" s="3">
        <v>90399</v>
      </c>
      <c r="TN27" s="3">
        <v>835779</v>
      </c>
      <c r="TO27" s="3">
        <v>639670</v>
      </c>
      <c r="TP27" s="3">
        <v>25465</v>
      </c>
      <c r="TQ27" s="3">
        <v>102946</v>
      </c>
      <c r="TR27" s="3">
        <v>93526</v>
      </c>
      <c r="TS27" s="10">
        <v>863062</v>
      </c>
      <c r="TT27" s="3">
        <v>646575</v>
      </c>
      <c r="TU27" s="3">
        <v>28599</v>
      </c>
      <c r="TV27" s="3">
        <v>110882</v>
      </c>
      <c r="TW27" s="3">
        <v>102075</v>
      </c>
      <c r="TX27" s="10">
        <v>898032</v>
      </c>
      <c r="TY27" s="3"/>
      <c r="TZ27" s="3"/>
      <c r="UA27" s="3"/>
      <c r="UB27" s="3"/>
      <c r="UC27" s="10">
        <v>931038</v>
      </c>
      <c r="UD27" s="3">
        <v>681513</v>
      </c>
      <c r="UE27" s="3">
        <v>40112</v>
      </c>
      <c r="UF27" s="3">
        <v>124841</v>
      </c>
      <c r="UG27" s="3">
        <v>110018</v>
      </c>
      <c r="UH27" s="10">
        <v>985673</v>
      </c>
      <c r="UI27" s="3">
        <v>695475</v>
      </c>
      <c r="UJ27" s="3">
        <v>36787</v>
      </c>
      <c r="UK27" s="3">
        <v>147837</v>
      </c>
      <c r="UL27" s="3">
        <v>225163</v>
      </c>
      <c r="UM27" s="1">
        <v>50891</v>
      </c>
      <c r="UN27" s="1">
        <v>1368</v>
      </c>
      <c r="UO27" s="1">
        <v>13249</v>
      </c>
      <c r="UP27" s="1">
        <v>113934</v>
      </c>
      <c r="UQ27" s="1">
        <v>64452</v>
      </c>
      <c r="UR27" s="588">
        <f t="shared" si="509"/>
        <v>58955</v>
      </c>
      <c r="US27" s="40">
        <v>34625</v>
      </c>
      <c r="UT27" s="40">
        <v>24330</v>
      </c>
      <c r="UU27" s="588">
        <f t="shared" si="510"/>
        <v>1056</v>
      </c>
      <c r="UV27" s="40">
        <v>510</v>
      </c>
      <c r="UW27" s="40">
        <v>546</v>
      </c>
      <c r="UX27" s="42">
        <v>119584</v>
      </c>
      <c r="UY27" s="588">
        <f t="shared" si="511"/>
        <v>71108</v>
      </c>
      <c r="UZ27" s="588">
        <f t="shared" si="512"/>
        <v>48476</v>
      </c>
      <c r="VA27" s="588">
        <f t="shared" si="513"/>
        <v>112440</v>
      </c>
      <c r="VB27" s="40">
        <v>66784</v>
      </c>
      <c r="VC27" s="40">
        <v>45656</v>
      </c>
      <c r="VD27" s="588">
        <f t="shared" si="514"/>
        <v>1105</v>
      </c>
      <c r="VE27" s="40">
        <v>566</v>
      </c>
      <c r="VF27" s="40">
        <v>539</v>
      </c>
      <c r="VG27" s="588">
        <f t="shared" si="515"/>
        <v>6039</v>
      </c>
      <c r="VH27" s="40">
        <v>3758</v>
      </c>
      <c r="VI27" s="40">
        <v>2281</v>
      </c>
      <c r="VJ27" s="42">
        <v>271460</v>
      </c>
      <c r="VK27" s="588">
        <f t="shared" si="516"/>
        <v>159358</v>
      </c>
      <c r="VL27" s="588">
        <f t="shared" si="517"/>
        <v>112102</v>
      </c>
      <c r="VM27" s="240">
        <f t="shared" si="518"/>
        <v>250374</v>
      </c>
      <c r="VN27" s="40">
        <v>146702</v>
      </c>
      <c r="VO27" s="40">
        <v>103672</v>
      </c>
      <c r="VP27" s="40">
        <v>12656</v>
      </c>
      <c r="VQ27" s="40">
        <v>8430</v>
      </c>
      <c r="VR27" s="240">
        <f t="shared" si="519"/>
        <v>3690</v>
      </c>
      <c r="VS27" s="40">
        <v>2028</v>
      </c>
      <c r="VT27" s="40">
        <v>1662</v>
      </c>
      <c r="VU27" s="240">
        <f t="shared" si="520"/>
        <v>10874</v>
      </c>
      <c r="VV27" s="40">
        <v>6901</v>
      </c>
      <c r="VW27" s="40">
        <v>3973</v>
      </c>
      <c r="VX27" s="233">
        <f t="shared" si="521"/>
        <v>6522</v>
      </c>
      <c r="VY27" s="233">
        <f t="shared" si="522"/>
        <v>3727</v>
      </c>
      <c r="VZ27" s="233">
        <f t="shared" si="523"/>
        <v>2795</v>
      </c>
      <c r="WA27" s="234">
        <f t="shared" si="524"/>
        <v>269</v>
      </c>
      <c r="WB27" s="234">
        <f t="shared" si="525"/>
        <v>171</v>
      </c>
      <c r="WC27" s="234">
        <f t="shared" si="526"/>
        <v>98</v>
      </c>
      <c r="WD27" s="40">
        <v>6253</v>
      </c>
      <c r="WE27" s="40">
        <v>3556</v>
      </c>
      <c r="WF27" s="40">
        <v>2697</v>
      </c>
      <c r="WG27" s="12">
        <f t="shared" si="527"/>
        <v>410399</v>
      </c>
      <c r="WH27" s="588">
        <f t="shared" si="528"/>
        <v>260790</v>
      </c>
      <c r="WI27" s="588">
        <f t="shared" si="529"/>
        <v>206083</v>
      </c>
      <c r="WJ27" s="11">
        <f t="shared" si="530"/>
        <v>287667</v>
      </c>
      <c r="WK27" s="90">
        <f t="shared" si="531"/>
        <v>419799</v>
      </c>
      <c r="WL27" s="40">
        <v>234826</v>
      </c>
      <c r="WM27" s="40">
        <v>184973</v>
      </c>
      <c r="WN27" s="40">
        <v>25964</v>
      </c>
      <c r="WO27" s="40">
        <v>21110</v>
      </c>
      <c r="WP27" s="11">
        <f t="shared" si="532"/>
        <v>25711</v>
      </c>
      <c r="WQ27" s="90">
        <f t="shared" si="533"/>
        <v>8318</v>
      </c>
      <c r="WR27" s="40">
        <v>4528</v>
      </c>
      <c r="WS27" s="40">
        <v>3790</v>
      </c>
      <c r="WT27" s="11">
        <f t="shared" si="534"/>
        <v>22843</v>
      </c>
      <c r="WU27" s="40">
        <v>12761</v>
      </c>
      <c r="WV27" s="40">
        <v>10082</v>
      </c>
      <c r="WW27" s="9">
        <f t="shared" si="535"/>
        <v>79517</v>
      </c>
      <c r="WX27" s="235">
        <f t="shared" si="536"/>
        <v>8675</v>
      </c>
      <c r="WY27" s="235">
        <f t="shared" si="537"/>
        <v>7238</v>
      </c>
      <c r="WZ27" s="236">
        <f t="shared" si="538"/>
        <v>250</v>
      </c>
      <c r="XA27" s="236">
        <f t="shared" si="539"/>
        <v>166</v>
      </c>
      <c r="XB27" s="236">
        <f t="shared" si="540"/>
        <v>84</v>
      </c>
      <c r="XC27" s="589">
        <f t="shared" si="541"/>
        <v>15663</v>
      </c>
      <c r="XD27" s="589">
        <f t="shared" si="542"/>
        <v>8509</v>
      </c>
      <c r="XE27" s="589">
        <f t="shared" si="543"/>
        <v>7154</v>
      </c>
      <c r="XF27" s="40">
        <v>1849</v>
      </c>
      <c r="XG27" s="40">
        <v>2275</v>
      </c>
      <c r="XH27" s="40">
        <v>6660</v>
      </c>
      <c r="XI27" s="40">
        <v>4879</v>
      </c>
      <c r="XJ27" s="590">
        <v>766212</v>
      </c>
      <c r="XK27" s="40">
        <v>408206</v>
      </c>
      <c r="XL27" s="40">
        <v>358006</v>
      </c>
      <c r="XM27" s="5">
        <f t="shared" si="544"/>
        <v>684229</v>
      </c>
      <c r="XN27" s="5">
        <v>366618</v>
      </c>
      <c r="XO27" s="5">
        <v>317611</v>
      </c>
      <c r="XP27" s="84">
        <f t="shared" si="545"/>
        <v>654054</v>
      </c>
      <c r="XQ27" s="40">
        <v>351223</v>
      </c>
      <c r="XR27" s="40">
        <v>302831</v>
      </c>
      <c r="XS27" s="5">
        <f t="shared" si="546"/>
        <v>16601</v>
      </c>
      <c r="XT27" s="40">
        <v>8900</v>
      </c>
      <c r="XU27" s="40">
        <v>7701</v>
      </c>
      <c r="XV27" s="5">
        <f t="shared" si="547"/>
        <v>50920</v>
      </c>
      <c r="XW27" s="40">
        <v>25799</v>
      </c>
      <c r="XX27" s="40">
        <v>25121</v>
      </c>
      <c r="XY27" s="84">
        <f t="shared" si="548"/>
        <v>65382</v>
      </c>
      <c r="XZ27" s="84">
        <f t="shared" si="549"/>
        <v>32688</v>
      </c>
      <c r="YA27" s="84">
        <f t="shared" si="550"/>
        <v>32694</v>
      </c>
      <c r="YB27" s="587">
        <v>996952</v>
      </c>
      <c r="YC27" s="40">
        <v>817393</v>
      </c>
      <c r="YD27" s="40">
        <v>27033</v>
      </c>
      <c r="YE27" s="40">
        <v>82847</v>
      </c>
      <c r="YF27" s="5">
        <v>101994</v>
      </c>
      <c r="YG27" s="10">
        <v>1034668</v>
      </c>
      <c r="YH27" s="3">
        <v>901240</v>
      </c>
      <c r="YI27" s="3">
        <v>29882</v>
      </c>
      <c r="YJ27" s="3">
        <v>103546</v>
      </c>
      <c r="YK27" s="3">
        <v>91876</v>
      </c>
      <c r="YL27" s="10">
        <v>1068291</v>
      </c>
      <c r="YM27" s="3">
        <v>930252</v>
      </c>
      <c r="YN27" s="3">
        <v>30898</v>
      </c>
      <c r="YO27" s="3">
        <v>107141</v>
      </c>
      <c r="YP27" s="3">
        <v>99204</v>
      </c>
      <c r="YQ27" s="10">
        <v>1067774</v>
      </c>
      <c r="YR27" s="3">
        <v>928685</v>
      </c>
      <c r="YS27" s="3">
        <v>33092</v>
      </c>
      <c r="YT27" s="3">
        <v>105997</v>
      </c>
      <c r="YU27" s="3">
        <v>97996</v>
      </c>
      <c r="YV27" s="10">
        <v>1091092.8459999999</v>
      </c>
      <c r="YW27" s="3">
        <v>948622.21200000006</v>
      </c>
      <c r="YX27" s="3">
        <v>32497.632000000001</v>
      </c>
      <c r="YY27" s="3">
        <v>100682.712</v>
      </c>
      <c r="YZ27" s="3">
        <v>109973.00199999985</v>
      </c>
      <c r="ZA27" s="3">
        <v>1123092</v>
      </c>
      <c r="ZB27" s="3">
        <v>890664</v>
      </c>
      <c r="ZC27" s="3">
        <v>33945</v>
      </c>
      <c r="ZD27" s="3">
        <v>106521</v>
      </c>
      <c r="ZE27" s="1">
        <v>117246</v>
      </c>
      <c r="ZF27" s="1">
        <v>1160483</v>
      </c>
      <c r="ZG27" s="1">
        <v>918081</v>
      </c>
      <c r="ZH27" s="1">
        <v>35301</v>
      </c>
      <c r="ZI27" s="1">
        <v>109460</v>
      </c>
      <c r="ZJ27" s="1">
        <v>123816</v>
      </c>
      <c r="ZK27" s="1">
        <v>1222292</v>
      </c>
      <c r="ZL27" s="1">
        <v>948072</v>
      </c>
      <c r="ZM27" s="1">
        <v>42169</v>
      </c>
      <c r="ZN27" s="1">
        <v>126621</v>
      </c>
      <c r="ZO27" s="1">
        <v>134863</v>
      </c>
      <c r="ZP27" s="1">
        <v>1257449</v>
      </c>
      <c r="ZQ27" s="1">
        <v>970782</v>
      </c>
      <c r="ZR27" s="1">
        <v>41895</v>
      </c>
      <c r="ZS27" s="1">
        <v>125693</v>
      </c>
      <c r="ZT27" s="1">
        <v>149255</v>
      </c>
      <c r="ZU27" s="1">
        <v>1335894</v>
      </c>
      <c r="ZV27" s="1">
        <v>1024482</v>
      </c>
      <c r="ZW27" s="1">
        <v>43326</v>
      </c>
      <c r="ZX27" s="1">
        <v>146879</v>
      </c>
      <c r="ZY27" s="1">
        <v>157825</v>
      </c>
      <c r="ZZ27" s="394">
        <v>83961</v>
      </c>
      <c r="AAA27" s="1">
        <v>1294</v>
      </c>
      <c r="AAB27" s="1">
        <v>18505</v>
      </c>
      <c r="AAC27" s="1">
        <v>26246</v>
      </c>
      <c r="AAD27" s="1">
        <v>27217</v>
      </c>
      <c r="AAE27" s="50">
        <v>1383092</v>
      </c>
      <c r="AAF27" s="1">
        <v>1045567</v>
      </c>
      <c r="AAG27" s="1">
        <v>46974</v>
      </c>
      <c r="AAH27" s="1">
        <v>156026</v>
      </c>
      <c r="AAI27" s="1">
        <v>168362</v>
      </c>
      <c r="AAJ27" s="50">
        <v>1438493</v>
      </c>
      <c r="AAK27" s="1"/>
      <c r="AAL27" s="1"/>
      <c r="AAM27" s="1"/>
      <c r="AAN27" s="1"/>
      <c r="AAO27" s="68">
        <v>1492158</v>
      </c>
      <c r="AAP27" s="37">
        <v>1103023</v>
      </c>
      <c r="AAQ27" s="37">
        <v>58680</v>
      </c>
      <c r="AAR27" s="37">
        <v>179441</v>
      </c>
      <c r="AAS27" s="37">
        <v>186949</v>
      </c>
      <c r="AAT27" s="68">
        <v>1615081</v>
      </c>
      <c r="AAU27" s="37">
        <v>1145461</v>
      </c>
      <c r="AAV27" s="37">
        <v>62985</v>
      </c>
      <c r="AAW27" s="37">
        <v>220323</v>
      </c>
      <c r="AAX27" s="37">
        <v>360850</v>
      </c>
      <c r="AAY27" s="1">
        <v>103845</v>
      </c>
      <c r="AAZ27" s="1">
        <v>2060</v>
      </c>
      <c r="ABA27" s="1">
        <v>19829</v>
      </c>
      <c r="ABB27" s="1">
        <v>170664</v>
      </c>
      <c r="ABC27" s="1">
        <v>64452</v>
      </c>
      <c r="ABD27" s="10">
        <v>272793</v>
      </c>
      <c r="ABE27" s="3">
        <v>242251</v>
      </c>
      <c r="ABF27" s="3">
        <v>5659</v>
      </c>
      <c r="ABG27" s="3">
        <v>17605</v>
      </c>
      <c r="ABH27" s="3">
        <v>24883</v>
      </c>
      <c r="ABI27" s="10">
        <v>362006</v>
      </c>
      <c r="ABJ27" s="3">
        <v>298358</v>
      </c>
      <c r="ABK27" s="3">
        <v>9260</v>
      </c>
      <c r="ABL27" s="3">
        <v>25561</v>
      </c>
      <c r="ABM27" s="3">
        <v>38155</v>
      </c>
      <c r="ABN27" s="10">
        <v>387962</v>
      </c>
      <c r="ABO27" s="3">
        <v>336086</v>
      </c>
      <c r="ABP27" s="3">
        <v>12327</v>
      </c>
      <c r="ABQ27" s="3">
        <v>28971</v>
      </c>
      <c r="ABR27" s="3">
        <v>39549</v>
      </c>
      <c r="ABS27" s="10">
        <v>394120.99</v>
      </c>
      <c r="ABT27" s="3">
        <v>340266.663</v>
      </c>
      <c r="ABU27" s="3">
        <v>12036.16</v>
      </c>
      <c r="ABV27" s="3">
        <v>29043.09</v>
      </c>
      <c r="ABW27" s="8">
        <v>41818.166999999987</v>
      </c>
      <c r="ABX27" s="1">
        <v>406718</v>
      </c>
      <c r="ABY27" s="1">
        <v>325670</v>
      </c>
      <c r="ABZ27" s="1">
        <v>12313</v>
      </c>
      <c r="ACA27" s="1">
        <v>31238</v>
      </c>
      <c r="ACB27" s="49">
        <v>44133</v>
      </c>
      <c r="ACC27" s="1">
        <v>427558</v>
      </c>
      <c r="ACD27" s="1">
        <v>340050</v>
      </c>
      <c r="ACE27" s="1">
        <v>12630</v>
      </c>
      <c r="ACF27" s="1">
        <v>33869</v>
      </c>
      <c r="ACG27" s="1">
        <v>48158</v>
      </c>
      <c r="ACH27" s="1">
        <v>456508</v>
      </c>
      <c r="ACI27" s="1">
        <v>357713</v>
      </c>
      <c r="ACJ27" s="1">
        <v>15436</v>
      </c>
      <c r="ACK27" s="1">
        <v>37670</v>
      </c>
      <c r="ACL27" s="1">
        <v>53501</v>
      </c>
      <c r="ACM27" s="1">
        <v>468516</v>
      </c>
      <c r="ACN27" s="1">
        <v>365252</v>
      </c>
      <c r="ACO27" s="1">
        <v>15035</v>
      </c>
      <c r="ACP27" s="1">
        <v>37996</v>
      </c>
      <c r="ACQ27" s="1">
        <v>58856</v>
      </c>
      <c r="ACR27" s="1">
        <v>500115</v>
      </c>
      <c r="ACS27" s="1">
        <v>384812</v>
      </c>
      <c r="ACT27" s="1">
        <v>17861</v>
      </c>
      <c r="ACU27" s="1">
        <v>43933</v>
      </c>
      <c r="ACV27" s="1">
        <v>64299</v>
      </c>
      <c r="ADB27" s="50">
        <v>520030</v>
      </c>
      <c r="ADC27" s="1">
        <v>398992</v>
      </c>
      <c r="ADD27" s="1">
        <v>18375</v>
      </c>
      <c r="ADE27" s="1">
        <v>45144</v>
      </c>
      <c r="ADF27" s="1">
        <v>66287</v>
      </c>
      <c r="ADG27" s="50">
        <v>540461</v>
      </c>
      <c r="ADL27" s="50">
        <v>561120</v>
      </c>
      <c r="ADM27" s="1">
        <v>421510</v>
      </c>
      <c r="ADN27" s="1">
        <v>18568</v>
      </c>
      <c r="ADO27" s="1">
        <v>54600</v>
      </c>
      <c r="ADP27" s="1">
        <v>76931</v>
      </c>
      <c r="ADQ27" s="50">
        <v>629408</v>
      </c>
      <c r="ADR27" s="1">
        <v>449986</v>
      </c>
      <c r="ADS27" s="1">
        <v>26198</v>
      </c>
      <c r="ADT27" s="1">
        <v>72486</v>
      </c>
      <c r="ADU27" s="1">
        <v>135687</v>
      </c>
      <c r="ADV27" s="1">
        <v>52954</v>
      </c>
      <c r="ADW27" s="1">
        <v>692</v>
      </c>
      <c r="ADX27" s="1">
        <v>6580</v>
      </c>
      <c r="ADY27" s="1">
        <v>56730</v>
      </c>
      <c r="ADZ27" s="1">
        <v>18731</v>
      </c>
    </row>
    <row r="28" spans="1:806" ht="14.1">
      <c r="A28" s="138" t="s">
        <v>27</v>
      </c>
      <c r="B28" s="174" t="s">
        <v>221</v>
      </c>
      <c r="C28" s="175" t="s">
        <v>221</v>
      </c>
      <c r="D28" s="175" t="s">
        <v>221</v>
      </c>
      <c r="E28" s="175" t="s">
        <v>221</v>
      </c>
      <c r="F28" s="176" t="s">
        <v>221</v>
      </c>
      <c r="G28" s="3">
        <v>2085905</v>
      </c>
      <c r="H28" s="3">
        <v>1009478</v>
      </c>
      <c r="I28" s="3">
        <v>91656</v>
      </c>
      <c r="J28" s="3">
        <v>1287579</v>
      </c>
      <c r="K28" s="8">
        <v>984771</v>
      </c>
      <c r="L28" s="3">
        <v>2446324</v>
      </c>
      <c r="M28" s="3">
        <v>944575</v>
      </c>
      <c r="N28" s="3">
        <v>59276</v>
      </c>
      <c r="O28" s="3">
        <v>1791232</v>
      </c>
      <c r="P28" s="8">
        <v>1442473</v>
      </c>
      <c r="Q28" s="3">
        <v>2451303</v>
      </c>
      <c r="R28" s="3">
        <v>226777</v>
      </c>
      <c r="S28" s="3">
        <v>48799</v>
      </c>
      <c r="T28" s="3">
        <v>1884770</v>
      </c>
      <c r="U28" s="8">
        <v>1221538</v>
      </c>
      <c r="V28" s="5">
        <v>2502987</v>
      </c>
      <c r="W28" s="5">
        <v>1302612</v>
      </c>
      <c r="X28" s="5">
        <v>47209</v>
      </c>
      <c r="Y28" s="5">
        <v>1937088</v>
      </c>
      <c r="Z28" s="408">
        <v>1153166</v>
      </c>
      <c r="AA28" s="5">
        <v>2516506</v>
      </c>
      <c r="AB28" s="5">
        <v>191887</v>
      </c>
      <c r="AC28" s="5">
        <v>46264</v>
      </c>
      <c r="AD28" s="5">
        <v>1954860</v>
      </c>
      <c r="AE28" s="5">
        <v>1113009</v>
      </c>
      <c r="AF28" s="399">
        <v>2513977</v>
      </c>
      <c r="AG28" s="5">
        <v>187499</v>
      </c>
      <c r="AH28" s="5">
        <v>44344</v>
      </c>
      <c r="AI28" s="5">
        <v>1955499</v>
      </c>
      <c r="AJ28" s="490">
        <v>1118966</v>
      </c>
      <c r="AK28" s="490">
        <v>2555427</v>
      </c>
      <c r="AL28" s="490">
        <v>176494</v>
      </c>
      <c r="AM28" s="685">
        <v>40720</v>
      </c>
      <c r="AN28" s="685">
        <v>2002861</v>
      </c>
      <c r="AO28" s="490">
        <v>1148160</v>
      </c>
      <c r="AP28" s="394">
        <v>2582757</v>
      </c>
      <c r="AQ28" s="394">
        <v>178755</v>
      </c>
      <c r="AR28" s="394">
        <v>42855</v>
      </c>
      <c r="AS28" s="394">
        <v>2016495</v>
      </c>
      <c r="AT28" s="394">
        <v>1194494</v>
      </c>
      <c r="AU28" s="393">
        <v>2556147</v>
      </c>
      <c r="AV28" s="394">
        <v>178574</v>
      </c>
      <c r="AW28" s="394">
        <v>35132</v>
      </c>
      <c r="AX28" s="394">
        <v>1995304</v>
      </c>
      <c r="AY28" s="394">
        <v>1250720</v>
      </c>
      <c r="AZ28" s="1">
        <v>327783</v>
      </c>
      <c r="BA28" s="1">
        <v>5122</v>
      </c>
      <c r="BB28" s="1">
        <v>19739</v>
      </c>
      <c r="BC28" s="1">
        <v>42751</v>
      </c>
      <c r="BD28" s="1">
        <v>855325</v>
      </c>
      <c r="BE28" s="393">
        <v>2459993</v>
      </c>
      <c r="BF28" s="394">
        <v>157424</v>
      </c>
      <c r="BG28" s="394">
        <v>42084</v>
      </c>
      <c r="BH28" s="394">
        <v>1917334</v>
      </c>
      <c r="BI28" s="394">
        <v>1252059</v>
      </c>
      <c r="BJ28" s="393">
        <v>2396226</v>
      </c>
      <c r="BK28" s="394"/>
      <c r="BL28" s="394"/>
      <c r="BM28" s="394"/>
      <c r="BN28" s="394"/>
      <c r="BO28" s="393">
        <v>2346235</v>
      </c>
      <c r="BP28" s="394">
        <v>153651</v>
      </c>
      <c r="BQ28" s="394">
        <v>36872</v>
      </c>
      <c r="BR28" s="394">
        <v>1830253</v>
      </c>
      <c r="BS28" s="394">
        <v>1135584</v>
      </c>
      <c r="BT28" s="393">
        <v>2380657</v>
      </c>
      <c r="BU28" s="394">
        <v>153704</v>
      </c>
      <c r="BV28" s="394">
        <v>37421</v>
      </c>
      <c r="BW28" s="394">
        <v>1838852</v>
      </c>
      <c r="BX28" s="394">
        <v>321315</v>
      </c>
      <c r="BY28" s="1">
        <v>8455</v>
      </c>
      <c r="BZ28" s="1">
        <v>61202</v>
      </c>
      <c r="CA28" s="1">
        <v>593874</v>
      </c>
      <c r="CB28" s="1">
        <v>1059933</v>
      </c>
      <c r="CC28" s="10">
        <v>2364623</v>
      </c>
      <c r="CD28" s="3">
        <v>1576239</v>
      </c>
      <c r="CE28" s="3">
        <v>218745</v>
      </c>
      <c r="CF28" s="3">
        <v>1838852</v>
      </c>
      <c r="CG28" s="8">
        <v>569639</v>
      </c>
      <c r="CH28" s="3">
        <v>2496419</v>
      </c>
      <c r="CI28" s="3">
        <v>1340552</v>
      </c>
      <c r="CJ28" s="3">
        <v>200066</v>
      </c>
      <c r="CK28" s="3">
        <v>1141744</v>
      </c>
      <c r="CL28" s="8">
        <v>955801</v>
      </c>
      <c r="CM28" s="1">
        <v>2173741</v>
      </c>
      <c r="CN28" s="3">
        <v>629634</v>
      </c>
      <c r="CO28" s="3">
        <v>148398</v>
      </c>
      <c r="CP28" s="3">
        <v>1170011</v>
      </c>
      <c r="CQ28" s="8">
        <v>841765</v>
      </c>
      <c r="CR28" s="3">
        <v>2112517</v>
      </c>
      <c r="CS28" s="3">
        <v>1217784</v>
      </c>
      <c r="CT28" s="3">
        <v>134573</v>
      </c>
      <c r="CU28" s="3">
        <v>1216131</v>
      </c>
      <c r="CV28" s="8">
        <v>760160</v>
      </c>
      <c r="CW28" s="3">
        <v>2102121</v>
      </c>
      <c r="CX28" s="3">
        <v>494214</v>
      </c>
      <c r="CY28" s="3">
        <v>127606</v>
      </c>
      <c r="CZ28" s="3">
        <v>1247582</v>
      </c>
      <c r="DA28" s="3">
        <v>738206</v>
      </c>
      <c r="DB28" s="3">
        <v>2084453</v>
      </c>
      <c r="DC28" s="3">
        <v>472169</v>
      </c>
      <c r="DD28" s="3">
        <v>129043</v>
      </c>
      <c r="DE28" s="3">
        <v>1249992</v>
      </c>
      <c r="DF28" s="39">
        <v>742254</v>
      </c>
      <c r="DG28" s="39">
        <v>2038098</v>
      </c>
      <c r="DH28" s="39">
        <v>444256</v>
      </c>
      <c r="DI28" s="39">
        <v>120065</v>
      </c>
      <c r="DJ28" s="39">
        <v>1248094</v>
      </c>
      <c r="DK28" s="39">
        <v>746776</v>
      </c>
      <c r="DL28" s="39">
        <v>2060753</v>
      </c>
      <c r="DM28" s="39">
        <v>433621</v>
      </c>
      <c r="DN28" s="39">
        <v>124378</v>
      </c>
      <c r="DO28" s="39">
        <v>1275131</v>
      </c>
      <c r="DP28" s="39">
        <v>757654</v>
      </c>
      <c r="DQ28" s="39">
        <v>2062516</v>
      </c>
      <c r="DR28" s="39">
        <v>434649</v>
      </c>
      <c r="DS28" s="39">
        <v>129120</v>
      </c>
      <c r="DT28" s="39">
        <v>1256224</v>
      </c>
      <c r="DU28" s="39">
        <v>795634</v>
      </c>
      <c r="DV28" s="118">
        <v>1989309</v>
      </c>
      <c r="DW28" s="39">
        <v>402332</v>
      </c>
      <c r="DX28" s="39">
        <v>119442</v>
      </c>
      <c r="DY28" s="39">
        <v>1225393</v>
      </c>
      <c r="DZ28" s="39">
        <v>799771</v>
      </c>
      <c r="EA28" s="118">
        <v>1958791</v>
      </c>
      <c r="EB28" s="39"/>
      <c r="EC28" s="39"/>
      <c r="ED28" s="39"/>
      <c r="EE28" s="39"/>
      <c r="EF28" s="118">
        <v>1955278</v>
      </c>
      <c r="EG28" s="39">
        <v>364429</v>
      </c>
      <c r="EH28" s="39">
        <v>112103</v>
      </c>
      <c r="EI28" s="39">
        <v>1243815</v>
      </c>
      <c r="EJ28" s="39">
        <v>778335</v>
      </c>
      <c r="EK28" s="118">
        <v>1955278</v>
      </c>
      <c r="EL28" s="39">
        <v>364429</v>
      </c>
      <c r="EM28" s="39">
        <v>112103</v>
      </c>
      <c r="EN28" s="39">
        <v>1243815</v>
      </c>
      <c r="EO28" s="39">
        <v>778335</v>
      </c>
      <c r="EP28" s="118">
        <v>1804222</v>
      </c>
      <c r="EQ28" s="39">
        <v>307809</v>
      </c>
      <c r="ER28" s="39">
        <v>103051</v>
      </c>
      <c r="ES28" s="39">
        <v>1165533</v>
      </c>
      <c r="ET28" s="1">
        <v>181382</v>
      </c>
      <c r="EU28" s="1">
        <v>6436</v>
      </c>
      <c r="EV28" s="1">
        <v>42300</v>
      </c>
      <c r="EW28" s="1">
        <v>433609</v>
      </c>
      <c r="EX28" s="1">
        <v>616999</v>
      </c>
      <c r="EY28" s="10">
        <v>4629940</v>
      </c>
      <c r="EZ28" s="3">
        <v>2565991</v>
      </c>
      <c r="FA28" s="3">
        <v>175681</v>
      </c>
      <c r="FB28" s="3">
        <v>3190815</v>
      </c>
      <c r="FC28" s="201">
        <f t="shared" si="497"/>
        <v>1888268</v>
      </c>
      <c r="FD28" s="174" t="s">
        <v>221</v>
      </c>
      <c r="FE28" s="175" t="s">
        <v>221</v>
      </c>
      <c r="FF28" s="175" t="s">
        <v>221</v>
      </c>
      <c r="FG28" s="175" t="s">
        <v>221</v>
      </c>
      <c r="FH28" s="174" t="s">
        <v>221</v>
      </c>
      <c r="FI28" s="175" t="s">
        <v>221</v>
      </c>
      <c r="FJ28" s="175" t="s">
        <v>221</v>
      </c>
      <c r="FK28" s="175" t="s">
        <v>221</v>
      </c>
      <c r="FL28" s="176" t="s">
        <v>221</v>
      </c>
      <c r="FM28" s="3">
        <v>14244971</v>
      </c>
      <c r="FN28" s="3">
        <v>11131555</v>
      </c>
      <c r="FO28" s="3">
        <v>960576</v>
      </c>
      <c r="FP28" s="3">
        <v>1665848</v>
      </c>
      <c r="FQ28" s="8">
        <v>2152840</v>
      </c>
      <c r="FR28" s="3">
        <v>16356157</v>
      </c>
      <c r="FS28" s="3">
        <v>11403802</v>
      </c>
      <c r="FT28" s="3">
        <v>1073459</v>
      </c>
      <c r="FU28" s="3">
        <v>2567791</v>
      </c>
      <c r="FV28" s="3">
        <v>3878896</v>
      </c>
      <c r="FW28" s="127">
        <v>18455872</v>
      </c>
      <c r="FX28" s="3">
        <v>10405119</v>
      </c>
      <c r="FY28" s="3">
        <v>1254987</v>
      </c>
      <c r="FZ28" s="3">
        <v>4983899</v>
      </c>
      <c r="GA28" s="3">
        <v>3813888</v>
      </c>
      <c r="GB28" s="10">
        <v>18649528</v>
      </c>
      <c r="GC28" s="3">
        <v>12432627</v>
      </c>
      <c r="GD28" s="3">
        <v>1190785</v>
      </c>
      <c r="GE28" s="3">
        <v>5026116</v>
      </c>
      <c r="GF28" s="3">
        <v>3942278</v>
      </c>
      <c r="GG28" s="42">
        <v>18900212</v>
      </c>
      <c r="GH28" s="40">
        <v>12689763</v>
      </c>
      <c r="GI28" s="40">
        <v>1219405</v>
      </c>
      <c r="GJ28" s="40">
        <v>4991044</v>
      </c>
      <c r="GK28" s="40">
        <v>4009338</v>
      </c>
      <c r="GL28" s="10">
        <v>19171540</v>
      </c>
      <c r="GM28" s="3">
        <v>12868678</v>
      </c>
      <c r="GN28" s="3">
        <v>1237255</v>
      </c>
      <c r="GO28" s="3">
        <v>4176895</v>
      </c>
      <c r="GP28" s="3">
        <v>4562979</v>
      </c>
      <c r="GQ28" s="10">
        <v>19484330.16</v>
      </c>
      <c r="GR28" s="3">
        <v>13080293.424000001</v>
      </c>
      <c r="GS28" s="3">
        <v>1252622.608</v>
      </c>
      <c r="GT28" s="3">
        <v>4352482.9460000005</v>
      </c>
      <c r="GU28" s="373">
        <f t="shared" si="498"/>
        <v>5151414.1279999996</v>
      </c>
      <c r="GV28" s="3">
        <v>19825957</v>
      </c>
      <c r="GW28" s="3">
        <v>10473411</v>
      </c>
      <c r="GX28" s="3">
        <v>1269610</v>
      </c>
      <c r="GY28" s="3">
        <v>4521216</v>
      </c>
      <c r="GZ28" s="3">
        <v>5292327</v>
      </c>
      <c r="HA28" s="3">
        <v>20194592</v>
      </c>
      <c r="HB28" s="3">
        <v>10531538</v>
      </c>
      <c r="HC28" s="3">
        <v>1284764</v>
      </c>
      <c r="HD28" s="3">
        <v>4704636</v>
      </c>
      <c r="HE28" s="3">
        <v>5455762</v>
      </c>
      <c r="HF28" s="3">
        <v>21060767</v>
      </c>
      <c r="HG28" s="3">
        <v>10629851</v>
      </c>
      <c r="HH28" s="3">
        <v>1323898</v>
      </c>
      <c r="HI28" s="3">
        <v>5105936</v>
      </c>
      <c r="HJ28" s="3">
        <v>5989069</v>
      </c>
      <c r="HK28" s="3">
        <v>21441753</v>
      </c>
      <c r="HL28" s="3">
        <v>10669566</v>
      </c>
      <c r="HM28" s="3">
        <v>1353633</v>
      </c>
      <c r="HN28" s="3">
        <v>5281597</v>
      </c>
      <c r="HO28" s="3">
        <v>6220526</v>
      </c>
      <c r="HP28" s="10">
        <v>21685578</v>
      </c>
      <c r="HQ28" s="3">
        <v>10656428</v>
      </c>
      <c r="HR28" s="3">
        <v>1359241</v>
      </c>
      <c r="HS28" s="3">
        <v>5452259</v>
      </c>
      <c r="HT28" s="3">
        <v>6459379</v>
      </c>
      <c r="HU28" s="394">
        <v>3555253</v>
      </c>
      <c r="HV28" s="1">
        <v>85889</v>
      </c>
      <c r="HW28" s="1">
        <v>142249</v>
      </c>
      <c r="HX28" s="1">
        <v>747144</v>
      </c>
      <c r="HY28" s="1">
        <v>1928844</v>
      </c>
      <c r="HZ28" s="10">
        <v>22229971</v>
      </c>
      <c r="IA28" s="3">
        <v>10668875</v>
      </c>
      <c r="IB28" s="3">
        <v>1391797</v>
      </c>
      <c r="IC28" s="3">
        <v>5778718</v>
      </c>
      <c r="ID28" s="3">
        <v>6868268</v>
      </c>
      <c r="IE28" s="399">
        <v>22460627</v>
      </c>
      <c r="IF28" s="5"/>
      <c r="IG28" s="5"/>
      <c r="IH28" s="5"/>
      <c r="II28" s="5"/>
      <c r="IJ28" s="399">
        <v>22636359</v>
      </c>
      <c r="IK28" s="5">
        <v>10557467</v>
      </c>
      <c r="IL28" s="5">
        <v>1424975</v>
      </c>
      <c r="IM28" s="5">
        <v>6076540</v>
      </c>
      <c r="IN28" s="5">
        <v>6988974</v>
      </c>
      <c r="IO28" s="399">
        <v>22724990</v>
      </c>
      <c r="IP28" s="5">
        <v>9992200</v>
      </c>
      <c r="IQ28" s="5">
        <v>1365488</v>
      </c>
      <c r="IR28" s="5">
        <v>6425060</v>
      </c>
      <c r="IS28" s="5">
        <v>10504206</v>
      </c>
      <c r="IT28" s="1">
        <v>3920278</v>
      </c>
      <c r="IU28" s="1">
        <v>88837</v>
      </c>
      <c r="IV28" s="1">
        <v>246909</v>
      </c>
      <c r="IW28" s="1">
        <v>3264313</v>
      </c>
      <c r="IX28" s="1">
        <v>2983869</v>
      </c>
      <c r="IY28" s="380" t="s">
        <v>221</v>
      </c>
      <c r="IZ28" s="188" t="s">
        <v>221</v>
      </c>
      <c r="JA28" s="188" t="s">
        <v>221</v>
      </c>
      <c r="JB28" s="188" t="s">
        <v>221</v>
      </c>
      <c r="JC28" s="635" t="s">
        <v>221</v>
      </c>
      <c r="JD28" s="5">
        <v>5710400</v>
      </c>
      <c r="JE28" s="5">
        <v>4435676</v>
      </c>
      <c r="JF28" s="5">
        <v>465558</v>
      </c>
      <c r="JG28" s="5">
        <v>707672</v>
      </c>
      <c r="JH28" s="408">
        <v>809166</v>
      </c>
      <c r="JI28" s="5">
        <v>6397739</v>
      </c>
      <c r="JJ28" s="5">
        <v>4478573</v>
      </c>
      <c r="JK28" s="5">
        <v>522533</v>
      </c>
      <c r="JL28" s="5">
        <v>1070970</v>
      </c>
      <c r="JM28" s="408">
        <v>1396633</v>
      </c>
      <c r="JN28" s="5">
        <v>6456290</v>
      </c>
      <c r="JO28" s="5">
        <v>3710094</v>
      </c>
      <c r="JP28" s="5">
        <v>513959</v>
      </c>
      <c r="JQ28" s="5">
        <v>1365559</v>
      </c>
      <c r="JR28" s="5">
        <v>1572489</v>
      </c>
      <c r="JS28" s="5">
        <v>7092090</v>
      </c>
      <c r="JT28" s="5">
        <v>4840266</v>
      </c>
      <c r="JU28" s="5">
        <v>587358</v>
      </c>
      <c r="JV28" s="5">
        <v>1668657</v>
      </c>
      <c r="JW28" s="408">
        <v>1664466</v>
      </c>
      <c r="JX28" s="5">
        <v>7186052.46</v>
      </c>
      <c r="JY28" s="5">
        <v>4912933.176</v>
      </c>
      <c r="JZ28" s="5">
        <v>594174.46400000004</v>
      </c>
      <c r="KA28" s="5">
        <v>1734958.54</v>
      </c>
      <c r="KB28" s="408">
        <v>1678944.8199999998</v>
      </c>
      <c r="KC28" s="5">
        <v>7287011</v>
      </c>
      <c r="KD28" s="5">
        <v>3847020</v>
      </c>
      <c r="KE28" s="5">
        <v>601912</v>
      </c>
      <c r="KF28" s="5">
        <v>1814222</v>
      </c>
      <c r="KG28" s="439">
        <v>1715604</v>
      </c>
      <c r="KH28" s="439">
        <v>7401918</v>
      </c>
      <c r="KI28" s="439">
        <v>3852204</v>
      </c>
      <c r="KJ28" s="439">
        <v>611748</v>
      </c>
      <c r="KK28" s="439">
        <v>1888125</v>
      </c>
      <c r="KL28" s="439">
        <v>1768630</v>
      </c>
      <c r="KM28" s="439">
        <v>7563244</v>
      </c>
      <c r="KN28" s="439">
        <v>3775116</v>
      </c>
      <c r="KO28" s="439">
        <v>628143</v>
      </c>
      <c r="KP28" s="439">
        <v>2038569</v>
      </c>
      <c r="KQ28" s="439">
        <v>1913276</v>
      </c>
      <c r="KR28" s="439">
        <v>7595982</v>
      </c>
      <c r="KS28" s="439">
        <v>3790135</v>
      </c>
      <c r="KT28" s="439">
        <v>616793</v>
      </c>
      <c r="KU28" s="439">
        <v>2046823</v>
      </c>
      <c r="KV28" s="439">
        <v>1941115</v>
      </c>
      <c r="KW28" s="630">
        <v>7634173</v>
      </c>
      <c r="KX28" s="439">
        <v>3734311</v>
      </c>
      <c r="KY28" s="439">
        <v>625382</v>
      </c>
      <c r="KZ28" s="439">
        <v>2137583</v>
      </c>
      <c r="LA28" s="439">
        <v>2010602</v>
      </c>
      <c r="LB28" s="652">
        <v>7712542</v>
      </c>
      <c r="LC28" s="653">
        <v>3674321</v>
      </c>
      <c r="LD28" s="653">
        <v>618995</v>
      </c>
      <c r="LE28" s="653">
        <v>2274496</v>
      </c>
      <c r="LF28" s="653">
        <v>2098849</v>
      </c>
      <c r="LG28" s="652">
        <v>7730189</v>
      </c>
      <c r="LH28" s="653"/>
      <c r="LI28" s="439"/>
      <c r="LJ28" s="439"/>
      <c r="LK28" s="439"/>
      <c r="LL28" s="652">
        <v>7661164</v>
      </c>
      <c r="LM28" s="653">
        <v>3548196</v>
      </c>
      <c r="LN28" s="653">
        <v>607546</v>
      </c>
      <c r="LO28" s="653">
        <v>2340965</v>
      </c>
      <c r="LP28" s="653">
        <v>2085041</v>
      </c>
      <c r="LQ28" s="652">
        <v>7408176</v>
      </c>
      <c r="LR28" s="653">
        <v>3193731</v>
      </c>
      <c r="LS28" s="653">
        <v>586688</v>
      </c>
      <c r="LT28" s="653">
        <v>2373458</v>
      </c>
      <c r="LU28" s="653">
        <v>3283977</v>
      </c>
      <c r="LV28" s="1">
        <v>884584</v>
      </c>
      <c r="LW28" s="1">
        <v>37114</v>
      </c>
      <c r="LX28" s="1">
        <v>101102</v>
      </c>
      <c r="LY28" s="1">
        <v>1208816</v>
      </c>
      <c r="LZ28" s="1">
        <v>1052361</v>
      </c>
      <c r="MA28" s="10">
        <v>1484489</v>
      </c>
      <c r="MB28" s="3">
        <v>1112617</v>
      </c>
      <c r="MC28" s="3">
        <v>117727</v>
      </c>
      <c r="MD28" s="3">
        <v>191619</v>
      </c>
      <c r="ME28" s="8">
        <v>254145</v>
      </c>
      <c r="MF28" s="3">
        <v>1518403</v>
      </c>
      <c r="MG28" s="3">
        <v>1033287</v>
      </c>
      <c r="MH28" s="3">
        <v>115840</v>
      </c>
      <c r="MI28" s="3">
        <v>227594</v>
      </c>
      <c r="MJ28" s="8">
        <v>369276</v>
      </c>
      <c r="MK28" s="3">
        <v>1757763</v>
      </c>
      <c r="ML28" s="3">
        <v>980689</v>
      </c>
      <c r="MM28" s="3">
        <v>138135</v>
      </c>
      <c r="MN28" s="3">
        <v>337757</v>
      </c>
      <c r="MO28" s="3">
        <v>473303</v>
      </c>
      <c r="MP28" s="10">
        <v>1811636</v>
      </c>
      <c r="MQ28" s="3">
        <v>1209859</v>
      </c>
      <c r="MR28" s="3">
        <v>140180</v>
      </c>
      <c r="MS28" s="3">
        <v>376489</v>
      </c>
      <c r="MT28" s="3">
        <v>461597</v>
      </c>
      <c r="MU28" s="10"/>
      <c r="MV28" s="3"/>
      <c r="MW28" s="3"/>
      <c r="MX28" s="3"/>
      <c r="MY28" s="8"/>
      <c r="MZ28" s="3">
        <v>1886900</v>
      </c>
      <c r="NA28" s="3">
        <v>1007437</v>
      </c>
      <c r="NB28" s="3">
        <v>140938</v>
      </c>
      <c r="NC28" s="3">
        <v>411478</v>
      </c>
      <c r="ND28" s="3">
        <v>476363</v>
      </c>
      <c r="NE28" s="3">
        <v>1941154</v>
      </c>
      <c r="NF28" s="3">
        <v>1026773</v>
      </c>
      <c r="NG28" s="3">
        <v>143573</v>
      </c>
      <c r="NH28" s="3">
        <v>431884</v>
      </c>
      <c r="NI28" s="3">
        <v>493724</v>
      </c>
      <c r="NJ28" s="3">
        <v>2002684</v>
      </c>
      <c r="NK28" s="3">
        <v>1016131</v>
      </c>
      <c r="NL28" s="3">
        <v>149599</v>
      </c>
      <c r="NM28" s="3">
        <v>482464</v>
      </c>
      <c r="NN28" s="3">
        <v>3030580</v>
      </c>
      <c r="NO28" s="3">
        <v>1992703</v>
      </c>
      <c r="NP28" s="3">
        <v>1012034</v>
      </c>
      <c r="NQ28" s="3">
        <v>152603</v>
      </c>
      <c r="NR28" s="3">
        <v>469680</v>
      </c>
      <c r="NS28" s="3">
        <v>534768</v>
      </c>
      <c r="NT28" s="3">
        <v>2031775</v>
      </c>
      <c r="NU28" s="3">
        <v>1007159</v>
      </c>
      <c r="NV28" s="3">
        <v>150854</v>
      </c>
      <c r="NW28" s="3">
        <v>503809</v>
      </c>
      <c r="NX28" s="3">
        <v>569982</v>
      </c>
      <c r="NY28" s="10">
        <v>2070661</v>
      </c>
      <c r="NZ28" s="3">
        <v>1010515</v>
      </c>
      <c r="OA28" s="3">
        <v>154371</v>
      </c>
      <c r="OB28" s="3">
        <v>530878</v>
      </c>
      <c r="OC28" s="3">
        <v>590070</v>
      </c>
      <c r="OD28" s="10">
        <v>2140543</v>
      </c>
      <c r="OE28" s="3"/>
      <c r="OF28" s="3"/>
      <c r="OG28" s="3"/>
      <c r="OH28" s="3"/>
      <c r="OI28" s="10">
        <v>2118792</v>
      </c>
      <c r="OJ28" s="3">
        <v>998643</v>
      </c>
      <c r="OK28" s="3">
        <v>145962</v>
      </c>
      <c r="OL28" s="3">
        <v>573470</v>
      </c>
      <c r="OM28" s="3">
        <v>620597</v>
      </c>
      <c r="ON28" s="10">
        <v>2120275</v>
      </c>
      <c r="OO28" s="3">
        <v>946873</v>
      </c>
      <c r="OP28" s="3">
        <v>150934</v>
      </c>
      <c r="OQ28" s="3">
        <v>598902</v>
      </c>
      <c r="OR28" s="3">
        <v>257959</v>
      </c>
      <c r="OS28" s="1">
        <v>318908</v>
      </c>
      <c r="OT28" s="1">
        <v>8842</v>
      </c>
      <c r="OU28" s="1">
        <v>23226</v>
      </c>
      <c r="OV28" s="1">
        <v>320229</v>
      </c>
      <c r="OW28" s="1">
        <v>257959</v>
      </c>
      <c r="OX28" s="402">
        <f t="shared" si="499"/>
        <v>6780629</v>
      </c>
      <c r="OY28" s="382">
        <f t="shared" si="500"/>
        <v>3381116</v>
      </c>
      <c r="OZ28" s="382">
        <f t="shared" si="501"/>
        <v>303718</v>
      </c>
      <c r="PA28" s="382">
        <f t="shared" si="502"/>
        <v>1424458</v>
      </c>
      <c r="PB28" s="382">
        <f t="shared" si="503"/>
        <v>1316280</v>
      </c>
      <c r="PC28" s="402">
        <f t="shared" si="504"/>
        <v>7188369</v>
      </c>
      <c r="PD28" s="382">
        <f t="shared" si="505"/>
        <v>5111007</v>
      </c>
      <c r="PE28" s="382">
        <f t="shared" si="506"/>
        <v>344788</v>
      </c>
      <c r="PF28" s="382">
        <f t="shared" si="507"/>
        <v>653566</v>
      </c>
      <c r="PG28" s="382">
        <f t="shared" si="508"/>
        <v>1732574</v>
      </c>
      <c r="PH28" s="10">
        <v>7731618</v>
      </c>
      <c r="PI28" s="3">
        <v>5161692</v>
      </c>
      <c r="PJ28" s="3">
        <v>386012</v>
      </c>
      <c r="PK28" s="3">
        <v>1012819</v>
      </c>
      <c r="PL28" s="3">
        <v>2183914</v>
      </c>
      <c r="PM28" s="3">
        <v>8468982</v>
      </c>
      <c r="PN28" s="3">
        <v>5188098</v>
      </c>
      <c r="PO28" s="3">
        <v>423344</v>
      </c>
      <c r="PP28" s="3">
        <v>994611</v>
      </c>
      <c r="PQ28" s="3">
        <v>2341472</v>
      </c>
      <c r="PR28" s="399"/>
      <c r="PS28" s="5"/>
      <c r="PT28" s="5"/>
      <c r="PU28" s="5"/>
      <c r="PV28" s="5"/>
      <c r="PW28" s="5">
        <v>9335769</v>
      </c>
      <c r="PX28" s="5">
        <v>5421205</v>
      </c>
      <c r="PY28" s="5">
        <v>457079</v>
      </c>
      <c r="PZ28" s="5">
        <v>1237314</v>
      </c>
      <c r="QA28" s="408">
        <v>2646059</v>
      </c>
      <c r="QB28" s="5">
        <v>9577352</v>
      </c>
      <c r="QC28" s="5">
        <v>5516050</v>
      </c>
      <c r="QD28" s="5">
        <v>464263</v>
      </c>
      <c r="QE28" s="5">
        <v>1295545</v>
      </c>
      <c r="QF28" s="5">
        <v>2743019</v>
      </c>
      <c r="QG28" s="5">
        <v>10139354</v>
      </c>
      <c r="QH28" s="5">
        <v>5701201</v>
      </c>
      <c r="QI28" s="5">
        <v>487001</v>
      </c>
      <c r="QJ28" s="5">
        <v>1432701</v>
      </c>
      <c r="QK28" s="5">
        <v>3030580</v>
      </c>
      <c r="QL28" s="399">
        <v>10408393</v>
      </c>
      <c r="QM28" s="5">
        <v>5756543</v>
      </c>
      <c r="QN28" s="5">
        <v>522598</v>
      </c>
      <c r="QO28" s="5">
        <v>1490586</v>
      </c>
      <c r="QP28" s="5">
        <v>3169889</v>
      </c>
      <c r="QQ28" s="399">
        <v>10692245</v>
      </c>
      <c r="QR28" s="5">
        <v>5865513</v>
      </c>
      <c r="QS28" s="5">
        <v>521385</v>
      </c>
      <c r="QT28" s="5">
        <v>1561252</v>
      </c>
      <c r="QU28" s="5">
        <v>3324735</v>
      </c>
      <c r="QV28" s="399">
        <v>11046908</v>
      </c>
      <c r="QW28" s="5">
        <v>5937275</v>
      </c>
      <c r="QX28" s="5">
        <v>551310</v>
      </c>
      <c r="QY28" s="5">
        <v>1689796</v>
      </c>
      <c r="QZ28" s="5">
        <v>3518116</v>
      </c>
      <c r="RA28" s="399">
        <v>11311619</v>
      </c>
      <c r="RB28" s="5"/>
      <c r="RC28" s="5"/>
      <c r="RD28" s="5"/>
      <c r="RE28" s="5"/>
      <c r="RF28" s="5">
        <v>11547276</v>
      </c>
      <c r="RG28" s="5">
        <v>6010421</v>
      </c>
      <c r="RH28" s="5">
        <v>572588</v>
      </c>
      <c r="RI28" s="5">
        <v>1889250</v>
      </c>
      <c r="RJ28" s="5">
        <v>3765949</v>
      </c>
      <c r="RK28" s="5">
        <v>11858092</v>
      </c>
      <c r="RL28" s="5">
        <v>5869202</v>
      </c>
      <c r="RM28" s="5">
        <v>572251</v>
      </c>
      <c r="RN28" s="5">
        <v>2099098</v>
      </c>
      <c r="RO28" s="5">
        <v>5083729</v>
      </c>
      <c r="RP28" s="1">
        <v>2756941</v>
      </c>
      <c r="RQ28" s="1">
        <v>29527</v>
      </c>
      <c r="RR28" s="1">
        <v>81789</v>
      </c>
      <c r="RS28" s="1">
        <v>1378243</v>
      </c>
      <c r="RT28" s="1">
        <v>837229</v>
      </c>
      <c r="RU28" s="10">
        <v>2858107</v>
      </c>
      <c r="RV28" s="3">
        <v>2247814</v>
      </c>
      <c r="RW28" s="3">
        <v>127428</v>
      </c>
      <c r="RX28" s="3">
        <v>174825</v>
      </c>
      <c r="RY28" s="3">
        <v>482865</v>
      </c>
      <c r="RZ28" s="10">
        <v>3640157</v>
      </c>
      <c r="SA28" s="3">
        <v>2560688</v>
      </c>
      <c r="SB28" s="3">
        <v>152066</v>
      </c>
      <c r="SC28" s="3">
        <v>284020</v>
      </c>
      <c r="SD28" s="3">
        <v>927403</v>
      </c>
      <c r="SE28" s="10">
        <v>4315630</v>
      </c>
      <c r="SF28" s="3">
        <v>2608662</v>
      </c>
      <c r="SG28" s="3">
        <v>188990</v>
      </c>
      <c r="SH28" s="3">
        <v>465469</v>
      </c>
      <c r="SI28" s="3">
        <v>1278631</v>
      </c>
      <c r="SJ28" s="10">
        <v>4556096</v>
      </c>
      <c r="SK28" s="3">
        <v>2982002</v>
      </c>
      <c r="SL28" s="3">
        <v>199212</v>
      </c>
      <c r="SM28" s="3">
        <v>534263</v>
      </c>
      <c r="SN28" s="3">
        <v>1374882</v>
      </c>
      <c r="SO28" s="10">
        <v>4629939.84</v>
      </c>
      <c r="SP28" s="3">
        <v>3019732.8119999999</v>
      </c>
      <c r="SQ28" s="3">
        <v>202819.16799999998</v>
      </c>
      <c r="SR28" s="3">
        <v>558204.05200000003</v>
      </c>
      <c r="SS28" s="3">
        <v>1407387.8599999999</v>
      </c>
      <c r="ST28" s="10">
        <v>4731578</v>
      </c>
      <c r="SU28" s="3">
        <v>2701827</v>
      </c>
      <c r="SV28" s="3">
        <v>206323</v>
      </c>
      <c r="SW28" s="3">
        <v>584318</v>
      </c>
      <c r="SX28" s="3">
        <v>1439554</v>
      </c>
      <c r="SY28" s="3">
        <v>4831171</v>
      </c>
      <c r="SZ28" s="3">
        <v>2733784</v>
      </c>
      <c r="TA28" s="3">
        <v>207533</v>
      </c>
      <c r="TB28" s="3">
        <v>615602</v>
      </c>
      <c r="TC28" s="3">
        <v>1485488</v>
      </c>
      <c r="TD28" s="3">
        <v>5120162</v>
      </c>
      <c r="TE28" s="3">
        <v>2843018</v>
      </c>
      <c r="TF28" s="3">
        <v>213431</v>
      </c>
      <c r="TG28" s="3">
        <v>669416</v>
      </c>
      <c r="TH28" s="3">
        <v>1641000</v>
      </c>
      <c r="TI28" s="3">
        <v>5285754</v>
      </c>
      <c r="TJ28" s="3">
        <v>2862902</v>
      </c>
      <c r="TK28" s="3">
        <v>228487</v>
      </c>
      <c r="TL28" s="3">
        <v>734327</v>
      </c>
      <c r="TM28" s="3">
        <v>1726996</v>
      </c>
      <c r="TN28" s="3">
        <v>5426164</v>
      </c>
      <c r="TO28" s="3">
        <v>2928228</v>
      </c>
      <c r="TP28" s="3">
        <v>236614</v>
      </c>
      <c r="TQ28" s="3">
        <v>751327</v>
      </c>
      <c r="TR28" s="3">
        <v>1786065</v>
      </c>
      <c r="TS28" s="10">
        <v>5616449</v>
      </c>
      <c r="TT28" s="3">
        <v>2963262</v>
      </c>
      <c r="TU28" s="3">
        <v>254989</v>
      </c>
      <c r="TV28" s="3">
        <v>824859</v>
      </c>
      <c r="TW28" s="3">
        <v>1893471</v>
      </c>
      <c r="TX28" s="10">
        <v>5704852</v>
      </c>
      <c r="TY28" s="3"/>
      <c r="TZ28" s="3"/>
      <c r="UA28" s="3"/>
      <c r="UB28" s="3"/>
      <c r="UC28" s="10">
        <v>5889724</v>
      </c>
      <c r="UD28" s="3">
        <v>3006548</v>
      </c>
      <c r="UE28" s="3">
        <v>270790</v>
      </c>
      <c r="UF28" s="3">
        <v>945714</v>
      </c>
      <c r="UG28" s="3">
        <v>2022273</v>
      </c>
      <c r="UH28" s="10">
        <v>5958030</v>
      </c>
      <c r="UI28" s="3">
        <v>2900366</v>
      </c>
      <c r="UJ28" s="3">
        <v>260321</v>
      </c>
      <c r="UK28" s="3">
        <v>1046504</v>
      </c>
      <c r="UL28" s="3">
        <v>2635262</v>
      </c>
      <c r="UM28" s="1">
        <v>1472558</v>
      </c>
      <c r="UN28" s="1">
        <v>14493</v>
      </c>
      <c r="UO28" s="1">
        <v>40030</v>
      </c>
      <c r="UP28" s="1">
        <v>687235</v>
      </c>
      <c r="UQ28" s="1">
        <v>579270</v>
      </c>
      <c r="UR28" s="588">
        <f t="shared" si="509"/>
        <v>835343</v>
      </c>
      <c r="US28" s="40">
        <v>512423</v>
      </c>
      <c r="UT28" s="40">
        <v>322920</v>
      </c>
      <c r="UU28" s="588">
        <f t="shared" si="510"/>
        <v>37325</v>
      </c>
      <c r="UV28" s="40">
        <v>21782</v>
      </c>
      <c r="UW28" s="40">
        <v>15543</v>
      </c>
      <c r="UX28" s="42">
        <v>1477559</v>
      </c>
      <c r="UY28" s="588">
        <f t="shared" si="511"/>
        <v>900185</v>
      </c>
      <c r="UZ28" s="588">
        <f t="shared" si="512"/>
        <v>577374</v>
      </c>
      <c r="VA28" s="588">
        <f t="shared" si="513"/>
        <v>1362140</v>
      </c>
      <c r="VB28" s="40">
        <v>833049</v>
      </c>
      <c r="VC28" s="40">
        <v>529091</v>
      </c>
      <c r="VD28" s="588">
        <f t="shared" si="514"/>
        <v>38241</v>
      </c>
      <c r="VE28" s="40">
        <v>18643</v>
      </c>
      <c r="VF28" s="40">
        <v>19598</v>
      </c>
      <c r="VG28" s="588">
        <f t="shared" si="515"/>
        <v>77178</v>
      </c>
      <c r="VH28" s="40">
        <v>48493</v>
      </c>
      <c r="VI28" s="40">
        <v>28685</v>
      </c>
      <c r="VJ28" s="42">
        <v>2752865</v>
      </c>
      <c r="VK28" s="588">
        <f t="shared" si="516"/>
        <v>1638294</v>
      </c>
      <c r="VL28" s="588">
        <f t="shared" si="517"/>
        <v>1114571</v>
      </c>
      <c r="VM28" s="240">
        <f t="shared" si="518"/>
        <v>2271155</v>
      </c>
      <c r="VN28" s="40">
        <v>1364819</v>
      </c>
      <c r="VO28" s="40">
        <v>906336</v>
      </c>
      <c r="VP28" s="40">
        <v>273475</v>
      </c>
      <c r="VQ28" s="40">
        <v>208235</v>
      </c>
      <c r="VR28" s="240">
        <f t="shared" si="519"/>
        <v>103894</v>
      </c>
      <c r="VS28" s="40">
        <v>54029</v>
      </c>
      <c r="VT28" s="40">
        <v>49865</v>
      </c>
      <c r="VU28" s="240">
        <f t="shared" si="520"/>
        <v>131043</v>
      </c>
      <c r="VV28" s="40">
        <v>81287</v>
      </c>
      <c r="VW28" s="40">
        <v>49756</v>
      </c>
      <c r="VX28" s="233">
        <f t="shared" si="521"/>
        <v>246773</v>
      </c>
      <c r="VY28" s="233">
        <f t="shared" si="522"/>
        <v>138159</v>
      </c>
      <c r="VZ28" s="233">
        <f t="shared" si="523"/>
        <v>108614</v>
      </c>
      <c r="WA28" s="234">
        <f t="shared" si="524"/>
        <v>5565</v>
      </c>
      <c r="WB28" s="234">
        <f t="shared" si="525"/>
        <v>3495</v>
      </c>
      <c r="WC28" s="234">
        <f t="shared" si="526"/>
        <v>2070</v>
      </c>
      <c r="WD28" s="40">
        <v>241208</v>
      </c>
      <c r="WE28" s="40">
        <v>134664</v>
      </c>
      <c r="WF28" s="40">
        <v>106544</v>
      </c>
      <c r="WG28" s="12">
        <f t="shared" si="527"/>
        <v>5296140</v>
      </c>
      <c r="WH28" s="588">
        <f t="shared" si="528"/>
        <v>2441861</v>
      </c>
      <c r="WI28" s="588">
        <f t="shared" si="529"/>
        <v>1924813</v>
      </c>
      <c r="WJ28" s="11">
        <f t="shared" si="530"/>
        <v>2268499</v>
      </c>
      <c r="WK28" s="90">
        <f t="shared" si="531"/>
        <v>3325709</v>
      </c>
      <c r="WL28" s="40">
        <v>1886964</v>
      </c>
      <c r="WM28" s="40">
        <v>1438745</v>
      </c>
      <c r="WN28" s="40">
        <v>554897</v>
      </c>
      <c r="WO28" s="40">
        <v>486068</v>
      </c>
      <c r="WP28" s="11">
        <f t="shared" si="532"/>
        <v>185991</v>
      </c>
      <c r="WQ28" s="90">
        <f t="shared" si="533"/>
        <v>184171</v>
      </c>
      <c r="WR28" s="40">
        <v>91776</v>
      </c>
      <c r="WS28" s="40">
        <v>92395</v>
      </c>
      <c r="WT28" s="11">
        <f t="shared" si="534"/>
        <v>263051</v>
      </c>
      <c r="WU28" s="40">
        <v>149673</v>
      </c>
      <c r="WV28" s="40">
        <v>113378</v>
      </c>
      <c r="WW28" s="9">
        <f t="shared" si="535"/>
        <v>1062135</v>
      </c>
      <c r="WX28" s="235">
        <f t="shared" si="536"/>
        <v>313448</v>
      </c>
      <c r="WY28" s="235">
        <f t="shared" si="537"/>
        <v>280295</v>
      </c>
      <c r="WZ28" s="236">
        <f t="shared" si="538"/>
        <v>3761</v>
      </c>
      <c r="XA28" s="236">
        <f t="shared" si="539"/>
        <v>2046</v>
      </c>
      <c r="XB28" s="236">
        <f t="shared" si="540"/>
        <v>1715</v>
      </c>
      <c r="XC28" s="589">
        <f t="shared" si="541"/>
        <v>589982</v>
      </c>
      <c r="XD28" s="589">
        <f t="shared" si="542"/>
        <v>311402</v>
      </c>
      <c r="XE28" s="589">
        <f t="shared" si="543"/>
        <v>278580</v>
      </c>
      <c r="XF28" s="40">
        <v>7679</v>
      </c>
      <c r="XG28" s="40">
        <v>6758</v>
      </c>
      <c r="XH28" s="40">
        <v>303723</v>
      </c>
      <c r="XI28" s="40">
        <v>271822</v>
      </c>
      <c r="XJ28" s="590">
        <v>5669966</v>
      </c>
      <c r="XK28" s="40">
        <v>2966146</v>
      </c>
      <c r="XL28" s="40">
        <v>2703820</v>
      </c>
      <c r="XM28" s="5">
        <f t="shared" si="544"/>
        <v>4077720</v>
      </c>
      <c r="XN28" s="5">
        <v>2177690</v>
      </c>
      <c r="XO28" s="5">
        <v>1900030</v>
      </c>
      <c r="XP28" s="84">
        <f t="shared" si="545"/>
        <v>3841308</v>
      </c>
      <c r="XQ28" s="40">
        <v>2058235</v>
      </c>
      <c r="XR28" s="40">
        <v>1783073</v>
      </c>
      <c r="XS28" s="5">
        <f t="shared" si="546"/>
        <v>228948</v>
      </c>
      <c r="XT28" s="40">
        <v>105028</v>
      </c>
      <c r="XU28" s="40">
        <v>123920</v>
      </c>
      <c r="XV28" s="5">
        <f t="shared" si="547"/>
        <v>425972</v>
      </c>
      <c r="XW28" s="40">
        <v>212606</v>
      </c>
      <c r="XX28" s="40">
        <v>213366</v>
      </c>
      <c r="XY28" s="84">
        <f t="shared" si="548"/>
        <v>1363298</v>
      </c>
      <c r="XZ28" s="84">
        <f t="shared" si="549"/>
        <v>683428</v>
      </c>
      <c r="YA28" s="84">
        <f t="shared" si="550"/>
        <v>679870</v>
      </c>
      <c r="YB28" s="587">
        <v>6711219</v>
      </c>
      <c r="YC28" s="40">
        <v>4207409</v>
      </c>
      <c r="YD28" s="40">
        <v>285209</v>
      </c>
      <c r="YE28" s="40">
        <v>656854</v>
      </c>
      <c r="YF28" s="5">
        <v>1868169</v>
      </c>
      <c r="YG28" s="10">
        <v>6836450</v>
      </c>
      <c r="YH28" s="3">
        <v>4644586</v>
      </c>
      <c r="YI28" s="3">
        <v>289354</v>
      </c>
      <c r="YJ28" s="3">
        <v>1902510</v>
      </c>
      <c r="YK28" s="3">
        <v>692890</v>
      </c>
      <c r="YL28" s="10">
        <v>7013942</v>
      </c>
      <c r="YM28" s="3">
        <v>4770011</v>
      </c>
      <c r="YN28" s="3">
        <v>298450</v>
      </c>
      <c r="YO28" s="3">
        <v>1945481</v>
      </c>
      <c r="YP28" s="3">
        <v>713437</v>
      </c>
      <c r="YQ28" s="10">
        <v>7147639</v>
      </c>
      <c r="YR28" s="3">
        <v>4799827</v>
      </c>
      <c r="YS28" s="3">
        <v>304588</v>
      </c>
      <c r="YT28" s="3">
        <v>2043224</v>
      </c>
      <c r="YU28" s="3">
        <v>755735</v>
      </c>
      <c r="YV28" s="10">
        <v>7258395.2699999996</v>
      </c>
      <c r="YW28" s="3">
        <v>4865994.324</v>
      </c>
      <c r="YX28" s="3">
        <v>311370.272</v>
      </c>
      <c r="YY28" s="3">
        <v>784502.99200000009</v>
      </c>
      <c r="YZ28" s="3">
        <v>2081030.6739999996</v>
      </c>
      <c r="ZA28" s="3">
        <v>7448869</v>
      </c>
      <c r="ZB28" s="3">
        <v>4413768</v>
      </c>
      <c r="ZC28" s="3">
        <v>316141</v>
      </c>
      <c r="ZD28" s="3">
        <v>825836</v>
      </c>
      <c r="ZE28" s="1">
        <v>2169696</v>
      </c>
      <c r="ZF28" s="1">
        <v>7636198</v>
      </c>
      <c r="ZG28" s="1">
        <v>4489277</v>
      </c>
      <c r="ZH28" s="1">
        <v>320690</v>
      </c>
      <c r="ZI28" s="1">
        <v>863661</v>
      </c>
      <c r="ZJ28" s="1">
        <v>2249295</v>
      </c>
      <c r="ZK28" s="1">
        <v>8136670</v>
      </c>
      <c r="ZL28" s="1">
        <v>4685070</v>
      </c>
      <c r="ZM28" s="1">
        <v>337402</v>
      </c>
      <c r="ZN28" s="1">
        <v>950237</v>
      </c>
      <c r="ZO28" s="1">
        <v>2495877</v>
      </c>
      <c r="ZP28" s="1">
        <v>8415690</v>
      </c>
      <c r="ZQ28" s="1">
        <v>4744509</v>
      </c>
      <c r="ZR28" s="1">
        <v>369995</v>
      </c>
      <c r="ZS28" s="1">
        <v>1020906</v>
      </c>
      <c r="ZT28" s="1">
        <v>2635121</v>
      </c>
      <c r="ZU28" s="1">
        <v>8660470</v>
      </c>
      <c r="ZV28" s="1">
        <v>4858354</v>
      </c>
      <c r="ZW28" s="1">
        <v>370531</v>
      </c>
      <c r="ZX28" s="1">
        <v>1057443</v>
      </c>
      <c r="ZY28" s="1">
        <v>2754753</v>
      </c>
      <c r="ZZ28" s="394">
        <v>2115649</v>
      </c>
      <c r="AAA28" s="1">
        <v>15016</v>
      </c>
      <c r="AAB28" s="1">
        <v>25959</v>
      </c>
      <c r="AAC28" s="1">
        <v>286883</v>
      </c>
      <c r="AAD28" s="1">
        <v>306001</v>
      </c>
      <c r="AAE28" s="50">
        <v>8976247</v>
      </c>
      <c r="AAF28" s="1">
        <v>4926760</v>
      </c>
      <c r="AAG28" s="1">
        <v>396939</v>
      </c>
      <c r="AAH28" s="1">
        <v>1158918</v>
      </c>
      <c r="AAI28" s="1">
        <v>2928046</v>
      </c>
      <c r="AAJ28" s="50">
        <v>9171076</v>
      </c>
      <c r="AAK28" s="1"/>
      <c r="AAL28" s="1"/>
      <c r="AAM28" s="1"/>
      <c r="AAN28" s="1"/>
      <c r="AAO28" s="68">
        <v>9428484</v>
      </c>
      <c r="AAP28" s="37">
        <v>5011778</v>
      </c>
      <c r="AAQ28" s="37">
        <v>426626</v>
      </c>
      <c r="AAR28" s="37">
        <v>1315780</v>
      </c>
      <c r="AAS28" s="37">
        <v>3145352</v>
      </c>
      <c r="AAT28" s="68">
        <v>9737817</v>
      </c>
      <c r="AAU28" s="37">
        <v>4922329</v>
      </c>
      <c r="AAV28" s="37">
        <v>421317</v>
      </c>
      <c r="AAW28" s="37">
        <v>1500196</v>
      </c>
      <c r="AAX28" s="37">
        <v>4154565</v>
      </c>
      <c r="AAY28" s="1">
        <v>2438033</v>
      </c>
      <c r="AAZ28" s="1">
        <v>20685</v>
      </c>
      <c r="ABA28" s="1">
        <v>58563</v>
      </c>
      <c r="ABB28" s="1">
        <v>1058014</v>
      </c>
      <c r="ABC28" s="1">
        <v>579270</v>
      </c>
      <c r="ABD28" s="10">
        <v>2029809</v>
      </c>
      <c r="ABE28" s="3">
        <v>1517032</v>
      </c>
      <c r="ABF28" s="3">
        <v>76882</v>
      </c>
      <c r="ABG28" s="3">
        <v>141952</v>
      </c>
      <c r="ABH28" s="3">
        <v>435895</v>
      </c>
      <c r="ABI28" s="10">
        <v>2395589</v>
      </c>
      <c r="ABJ28" s="3">
        <v>1598747</v>
      </c>
      <c r="ABK28" s="3">
        <v>96219</v>
      </c>
      <c r="ABL28" s="3">
        <v>191385</v>
      </c>
      <c r="ABM28" s="3">
        <v>589538</v>
      </c>
      <c r="ABN28" s="10">
        <v>2591543</v>
      </c>
      <c r="ABO28" s="3">
        <v>1817825</v>
      </c>
      <c r="ABP28" s="3">
        <v>105376</v>
      </c>
      <c r="ABQ28" s="3">
        <v>221472</v>
      </c>
      <c r="ABR28" s="3">
        <v>668342</v>
      </c>
      <c r="ABS28" s="10">
        <v>2628455.4300000002</v>
      </c>
      <c r="ABT28" s="3">
        <v>1846261.5120000001</v>
      </c>
      <c r="ABU28" s="3">
        <v>108551.10399999999</v>
      </c>
      <c r="ABV28" s="3">
        <v>226298.94</v>
      </c>
      <c r="ABW28" s="8">
        <v>673642.81400000001</v>
      </c>
      <c r="ABX28" s="1">
        <v>2717291</v>
      </c>
      <c r="ABY28" s="1">
        <v>1711941</v>
      </c>
      <c r="ABZ28" s="1">
        <v>109818</v>
      </c>
      <c r="ACA28" s="1">
        <v>241518</v>
      </c>
      <c r="ACB28" s="49">
        <v>730142</v>
      </c>
      <c r="ACC28" s="1">
        <v>2805027</v>
      </c>
      <c r="ACD28" s="1">
        <v>1755493</v>
      </c>
      <c r="ACE28" s="1">
        <v>113157</v>
      </c>
      <c r="ACF28" s="1">
        <v>248059</v>
      </c>
      <c r="ACG28" s="1">
        <v>763807</v>
      </c>
      <c r="ACH28" s="1">
        <v>3016508</v>
      </c>
      <c r="ACI28" s="1">
        <v>1842052</v>
      </c>
      <c r="ACJ28" s="1">
        <v>123971</v>
      </c>
      <c r="ACK28" s="1">
        <v>280821</v>
      </c>
      <c r="ACL28" s="1">
        <v>854877</v>
      </c>
      <c r="ACM28" s="1">
        <v>3129936</v>
      </c>
      <c r="ACN28" s="1">
        <v>1881607</v>
      </c>
      <c r="ACO28" s="1">
        <v>141508</v>
      </c>
      <c r="ACP28" s="1">
        <v>286579</v>
      </c>
      <c r="ACQ28" s="1">
        <v>908125</v>
      </c>
      <c r="ACR28" s="1">
        <v>3234306</v>
      </c>
      <c r="ACS28" s="1">
        <v>1930126</v>
      </c>
      <c r="ACT28" s="1">
        <v>133917</v>
      </c>
      <c r="ACU28" s="1">
        <v>306116</v>
      </c>
      <c r="ACV28" s="1">
        <v>968688</v>
      </c>
      <c r="ADB28" s="50">
        <v>3359798</v>
      </c>
      <c r="ADC28" s="1">
        <v>1963498</v>
      </c>
      <c r="ADD28" s="1">
        <v>141950</v>
      </c>
      <c r="ADE28" s="1">
        <v>334059</v>
      </c>
      <c r="ADF28" s="1">
        <v>1034575</v>
      </c>
      <c r="ADG28" s="50">
        <v>3466224</v>
      </c>
      <c r="ADL28" s="50">
        <v>3538760</v>
      </c>
      <c r="ADM28" s="1">
        <v>2005230</v>
      </c>
      <c r="ADN28" s="1">
        <v>155836</v>
      </c>
      <c r="ADO28" s="1">
        <v>370066</v>
      </c>
      <c r="ADP28" s="1">
        <v>1123079</v>
      </c>
      <c r="ADQ28" s="50">
        <v>3779787</v>
      </c>
      <c r="ADR28" s="1">
        <v>2021963</v>
      </c>
      <c r="ADS28" s="1">
        <v>160996</v>
      </c>
      <c r="ADT28" s="1">
        <v>453692</v>
      </c>
      <c r="ADU28" s="1">
        <v>1519303</v>
      </c>
      <c r="ADV28" s="1">
        <v>965475</v>
      </c>
      <c r="ADW28" s="1">
        <v>6192</v>
      </c>
      <c r="ADX28" s="1">
        <v>18533</v>
      </c>
      <c r="ADY28" s="1">
        <v>370779</v>
      </c>
      <c r="ADZ28" s="1">
        <v>158324</v>
      </c>
    </row>
    <row r="29" spans="1:806" ht="14.1">
      <c r="A29" s="138" t="s">
        <v>28</v>
      </c>
      <c r="B29" s="174" t="s">
        <v>221</v>
      </c>
      <c r="C29" s="175" t="s">
        <v>221</v>
      </c>
      <c r="D29" s="175" t="s">
        <v>221</v>
      </c>
      <c r="E29" s="175" t="s">
        <v>221</v>
      </c>
      <c r="F29" s="176" t="s">
        <v>221</v>
      </c>
      <c r="G29" s="3">
        <v>118252</v>
      </c>
      <c r="H29" s="3">
        <v>90878</v>
      </c>
      <c r="I29" s="3">
        <v>3396</v>
      </c>
      <c r="J29" s="3">
        <v>43921</v>
      </c>
      <c r="K29" s="8">
        <v>23978</v>
      </c>
      <c r="L29" s="3">
        <v>134348</v>
      </c>
      <c r="M29" s="3">
        <v>81015</v>
      </c>
      <c r="N29" s="3">
        <v>2710</v>
      </c>
      <c r="O29" s="3">
        <v>82601</v>
      </c>
      <c r="P29" s="8">
        <v>50623</v>
      </c>
      <c r="Q29" s="3">
        <v>140783</v>
      </c>
      <c r="R29" s="3">
        <v>31795</v>
      </c>
      <c r="S29" s="3">
        <v>3043</v>
      </c>
      <c r="T29" s="3">
        <v>98003</v>
      </c>
      <c r="U29" s="8">
        <v>44195</v>
      </c>
      <c r="V29" s="5">
        <v>146741</v>
      </c>
      <c r="W29" s="5">
        <v>99185</v>
      </c>
      <c r="X29" s="5">
        <v>6454</v>
      </c>
      <c r="Y29" s="5">
        <v>101512</v>
      </c>
      <c r="Z29" s="408">
        <v>41102</v>
      </c>
      <c r="AA29" s="5">
        <v>138565</v>
      </c>
      <c r="AB29" s="5">
        <v>25662</v>
      </c>
      <c r="AC29" s="5">
        <v>5885</v>
      </c>
      <c r="AD29" s="5">
        <v>97079</v>
      </c>
      <c r="AE29" s="5">
        <v>42956</v>
      </c>
      <c r="AF29" s="399">
        <v>134605</v>
      </c>
      <c r="AG29" s="5">
        <v>25092</v>
      </c>
      <c r="AH29" s="5">
        <v>5745</v>
      </c>
      <c r="AI29" s="5">
        <v>93407</v>
      </c>
      <c r="AJ29" s="490">
        <v>39322</v>
      </c>
      <c r="AK29" s="490">
        <v>148162</v>
      </c>
      <c r="AL29" s="490">
        <v>28737</v>
      </c>
      <c r="AM29" s="685">
        <v>3997</v>
      </c>
      <c r="AN29" s="685">
        <v>104948</v>
      </c>
      <c r="AO29" s="490">
        <v>37848</v>
      </c>
      <c r="AP29" s="394">
        <v>135573</v>
      </c>
      <c r="AQ29" s="394">
        <v>25092</v>
      </c>
      <c r="AR29" s="394">
        <v>3412</v>
      </c>
      <c r="AS29" s="394">
        <v>95562</v>
      </c>
      <c r="AT29" s="394">
        <v>35065</v>
      </c>
      <c r="AU29" s="393">
        <v>128209</v>
      </c>
      <c r="AV29" s="394">
        <v>21143</v>
      </c>
      <c r="AW29" s="394">
        <v>6129</v>
      </c>
      <c r="AX29" s="394">
        <v>89940</v>
      </c>
      <c r="AY29" s="394">
        <v>35071</v>
      </c>
      <c r="AZ29" s="1">
        <v>9746</v>
      </c>
      <c r="BA29" s="1">
        <v>149</v>
      </c>
      <c r="BB29" s="1">
        <v>2290</v>
      </c>
      <c r="BC29" s="1">
        <v>1946</v>
      </c>
      <c r="BD29" s="1">
        <v>20940</v>
      </c>
      <c r="BE29" s="393">
        <v>129351</v>
      </c>
      <c r="BF29" s="394">
        <v>23697</v>
      </c>
      <c r="BG29" s="394">
        <v>4333</v>
      </c>
      <c r="BH29" s="394">
        <v>87262</v>
      </c>
      <c r="BI29" s="394">
        <v>39002</v>
      </c>
      <c r="BJ29" s="393">
        <v>127663</v>
      </c>
      <c r="BK29" s="394"/>
      <c r="BL29" s="394"/>
      <c r="BM29" s="394"/>
      <c r="BN29" s="394"/>
      <c r="BO29" s="393">
        <v>127702</v>
      </c>
      <c r="BP29" s="394">
        <v>21246</v>
      </c>
      <c r="BQ29" s="394">
        <v>6014</v>
      </c>
      <c r="BR29" s="394">
        <v>90608</v>
      </c>
      <c r="BS29" s="394">
        <v>31870</v>
      </c>
      <c r="BT29" s="393">
        <v>135031</v>
      </c>
      <c r="BU29" s="394">
        <v>24337</v>
      </c>
      <c r="BV29" s="394">
        <v>4578</v>
      </c>
      <c r="BW29" s="394">
        <v>90457</v>
      </c>
      <c r="BX29" s="394">
        <v>12879</v>
      </c>
      <c r="BY29" s="1">
        <v>405</v>
      </c>
      <c r="BZ29" s="1">
        <v>3647</v>
      </c>
      <c r="CA29" s="1">
        <v>38641</v>
      </c>
      <c r="CB29" s="1">
        <v>36549</v>
      </c>
      <c r="CC29" s="10">
        <v>209804</v>
      </c>
      <c r="CD29" s="3">
        <v>173693</v>
      </c>
      <c r="CE29" s="3">
        <v>10778</v>
      </c>
      <c r="CF29" s="3">
        <v>90457</v>
      </c>
      <c r="CG29" s="8">
        <v>25333</v>
      </c>
      <c r="CH29" s="3">
        <v>228691</v>
      </c>
      <c r="CI29" s="3">
        <v>168023</v>
      </c>
      <c r="CJ29" s="3">
        <v>12107</v>
      </c>
      <c r="CK29" s="3">
        <v>75323</v>
      </c>
      <c r="CL29" s="8">
        <v>48561</v>
      </c>
      <c r="CM29" s="1">
        <v>225360</v>
      </c>
      <c r="CN29" s="3">
        <v>111637</v>
      </c>
      <c r="CO29" s="3">
        <v>10612</v>
      </c>
      <c r="CP29" s="3">
        <v>91665</v>
      </c>
      <c r="CQ29" s="8">
        <v>47354</v>
      </c>
      <c r="CR29" s="3">
        <v>197220</v>
      </c>
      <c r="CS29" s="3">
        <v>148482</v>
      </c>
      <c r="CT29" s="3">
        <v>9195</v>
      </c>
      <c r="CU29" s="3">
        <v>88426</v>
      </c>
      <c r="CV29" s="8">
        <v>39543</v>
      </c>
      <c r="CW29" s="3">
        <v>194918</v>
      </c>
      <c r="CX29" s="3">
        <v>85871</v>
      </c>
      <c r="CY29" s="3">
        <v>9594</v>
      </c>
      <c r="CZ29" s="3">
        <v>89629</v>
      </c>
      <c r="DA29" s="3">
        <v>39466</v>
      </c>
      <c r="DB29" s="3">
        <v>195528</v>
      </c>
      <c r="DC29" s="3">
        <v>86383</v>
      </c>
      <c r="DD29" s="3">
        <v>9246</v>
      </c>
      <c r="DE29" s="3">
        <v>90701</v>
      </c>
      <c r="DF29" s="39">
        <v>36474</v>
      </c>
      <c r="DG29" s="39">
        <v>190720</v>
      </c>
      <c r="DH29" s="39">
        <v>84685</v>
      </c>
      <c r="DI29" s="39">
        <v>8986</v>
      </c>
      <c r="DJ29" s="39">
        <v>84664</v>
      </c>
      <c r="DK29" s="39">
        <v>35395</v>
      </c>
      <c r="DL29" s="39">
        <v>188280</v>
      </c>
      <c r="DM29" s="39">
        <v>71967</v>
      </c>
      <c r="DN29" s="39">
        <v>10673</v>
      </c>
      <c r="DO29" s="39">
        <v>94637</v>
      </c>
      <c r="DP29" s="39">
        <v>37272</v>
      </c>
      <c r="DQ29" s="39">
        <v>192377</v>
      </c>
      <c r="DR29" s="39">
        <v>75523</v>
      </c>
      <c r="DS29" s="39">
        <v>9649</v>
      </c>
      <c r="DT29" s="39">
        <v>97248</v>
      </c>
      <c r="DU29" s="39">
        <v>35273</v>
      </c>
      <c r="DV29" s="118">
        <v>190285</v>
      </c>
      <c r="DW29" s="39">
        <v>79010</v>
      </c>
      <c r="DX29" s="39">
        <v>8862</v>
      </c>
      <c r="DY29" s="39">
        <v>91618</v>
      </c>
      <c r="DZ29" s="39">
        <v>34082</v>
      </c>
      <c r="EA29" s="118">
        <v>189453</v>
      </c>
      <c r="EB29" s="39"/>
      <c r="EC29" s="39"/>
      <c r="ED29" s="39"/>
      <c r="EE29" s="39"/>
      <c r="EF29" s="118">
        <v>174518</v>
      </c>
      <c r="EG29" s="39">
        <v>72220</v>
      </c>
      <c r="EH29" s="39">
        <v>5906</v>
      </c>
      <c r="EI29" s="39">
        <v>86022</v>
      </c>
      <c r="EJ29" s="39">
        <v>30886</v>
      </c>
      <c r="EK29" s="118">
        <v>174518</v>
      </c>
      <c r="EL29" s="39">
        <v>72220</v>
      </c>
      <c r="EM29" s="39">
        <v>5906</v>
      </c>
      <c r="EN29" s="39">
        <v>86022</v>
      </c>
      <c r="EO29" s="39">
        <v>30886</v>
      </c>
      <c r="EP29" s="118">
        <v>170943</v>
      </c>
      <c r="EQ29" s="39">
        <v>64733</v>
      </c>
      <c r="ER29" s="39">
        <v>9349</v>
      </c>
      <c r="ES29" s="39">
        <v>85191</v>
      </c>
      <c r="ET29" s="1">
        <v>6342</v>
      </c>
      <c r="EU29" s="1">
        <v>183</v>
      </c>
      <c r="EV29" s="1">
        <v>4140</v>
      </c>
      <c r="EW29" s="1">
        <v>41913</v>
      </c>
      <c r="EX29" s="1">
        <v>29383</v>
      </c>
      <c r="EY29" s="10">
        <v>339527</v>
      </c>
      <c r="EZ29" s="3">
        <v>241651</v>
      </c>
      <c r="FA29" s="3">
        <v>14956</v>
      </c>
      <c r="FB29" s="3">
        <v>189256</v>
      </c>
      <c r="FC29" s="201">
        <f t="shared" si="497"/>
        <v>82920</v>
      </c>
      <c r="FD29" s="174" t="s">
        <v>221</v>
      </c>
      <c r="FE29" s="175" t="s">
        <v>221</v>
      </c>
      <c r="FF29" s="175" t="s">
        <v>221</v>
      </c>
      <c r="FG29" s="175" t="s">
        <v>221</v>
      </c>
      <c r="FH29" s="174" t="s">
        <v>221</v>
      </c>
      <c r="FI29" s="175" t="s">
        <v>221</v>
      </c>
      <c r="FJ29" s="175" t="s">
        <v>221</v>
      </c>
      <c r="FK29" s="175" t="s">
        <v>221</v>
      </c>
      <c r="FL29" s="176" t="s">
        <v>221</v>
      </c>
      <c r="FM29" s="3">
        <v>1779016</v>
      </c>
      <c r="FN29" s="3">
        <v>1634189</v>
      </c>
      <c r="FO29" s="3">
        <v>59517</v>
      </c>
      <c r="FP29" s="3">
        <v>127088</v>
      </c>
      <c r="FQ29" s="8">
        <v>85310</v>
      </c>
      <c r="FR29" s="3">
        <v>2413593</v>
      </c>
      <c r="FS29" s="3">
        <v>2132617</v>
      </c>
      <c r="FT29" s="3">
        <v>80037</v>
      </c>
      <c r="FU29" s="3">
        <v>218902</v>
      </c>
      <c r="FV29" s="3">
        <v>200939</v>
      </c>
      <c r="FW29" s="127">
        <v>2764064</v>
      </c>
      <c r="FX29" s="3">
        <v>2233580</v>
      </c>
      <c r="FY29" s="3">
        <v>100125</v>
      </c>
      <c r="FZ29" s="3">
        <v>406558</v>
      </c>
      <c r="GA29" s="3">
        <v>314893</v>
      </c>
      <c r="GB29" s="10">
        <v>2824971</v>
      </c>
      <c r="GC29" s="3">
        <v>2478074</v>
      </c>
      <c r="GD29" s="3">
        <v>96943</v>
      </c>
      <c r="GE29" s="3">
        <v>249954</v>
      </c>
      <c r="GF29" s="3">
        <v>329718</v>
      </c>
      <c r="GG29" s="42">
        <v>2875287</v>
      </c>
      <c r="GH29" s="40">
        <v>2536735</v>
      </c>
      <c r="GI29" s="40">
        <v>99335</v>
      </c>
      <c r="GJ29" s="40">
        <v>239217</v>
      </c>
      <c r="GK29" s="40">
        <v>330689</v>
      </c>
      <c r="GL29" s="10">
        <v>2924059</v>
      </c>
      <c r="GM29" s="3">
        <v>2577536</v>
      </c>
      <c r="GN29" s="3">
        <v>103966</v>
      </c>
      <c r="GO29" s="3">
        <v>341256</v>
      </c>
      <c r="GP29" s="3">
        <v>187398</v>
      </c>
      <c r="GQ29" s="10">
        <v>2989168.11</v>
      </c>
      <c r="GR29" s="3">
        <v>2632270.17</v>
      </c>
      <c r="GS29" s="3">
        <v>108644.40000000001</v>
      </c>
      <c r="GT29" s="3">
        <v>357726.228</v>
      </c>
      <c r="GU29" s="373">
        <f t="shared" si="498"/>
        <v>248253.53999999992</v>
      </c>
      <c r="GV29" s="3">
        <v>3054940</v>
      </c>
      <c r="GW29" s="3">
        <v>2425329</v>
      </c>
      <c r="GX29" s="3">
        <v>111190</v>
      </c>
      <c r="GY29" s="3">
        <v>375810</v>
      </c>
      <c r="GZ29" s="3">
        <v>251323</v>
      </c>
      <c r="HA29" s="3">
        <v>3119219</v>
      </c>
      <c r="HB29" s="3">
        <v>2464298</v>
      </c>
      <c r="HC29" s="3">
        <v>114824</v>
      </c>
      <c r="HD29" s="3">
        <v>390925</v>
      </c>
      <c r="HE29" s="3">
        <v>258254</v>
      </c>
      <c r="HF29" s="3">
        <v>3245581</v>
      </c>
      <c r="HG29" s="3">
        <v>2539673</v>
      </c>
      <c r="HH29" s="3">
        <v>120530</v>
      </c>
      <c r="HI29" s="3">
        <v>421644</v>
      </c>
      <c r="HJ29" s="3">
        <v>270529</v>
      </c>
      <c r="HK29" s="3">
        <v>3348000</v>
      </c>
      <c r="HL29" s="3">
        <v>2607259</v>
      </c>
      <c r="HM29" s="3">
        <v>127670</v>
      </c>
      <c r="HN29" s="3">
        <v>442962</v>
      </c>
      <c r="HO29" s="3">
        <v>276626</v>
      </c>
      <c r="HP29" s="10">
        <v>3424920</v>
      </c>
      <c r="HQ29" s="3">
        <v>2658733</v>
      </c>
      <c r="HR29" s="3">
        <v>129727</v>
      </c>
      <c r="HS29" s="3">
        <v>459621</v>
      </c>
      <c r="HT29" s="3">
        <v>300688</v>
      </c>
      <c r="HU29" s="394">
        <v>103431</v>
      </c>
      <c r="HV29" s="1">
        <v>4526</v>
      </c>
      <c r="HW29" s="1">
        <v>28687</v>
      </c>
      <c r="HX29" s="1">
        <v>71924</v>
      </c>
      <c r="HY29" s="1">
        <v>92120</v>
      </c>
      <c r="HZ29" s="10">
        <v>3502432</v>
      </c>
      <c r="IA29" s="3">
        <v>2694144</v>
      </c>
      <c r="IB29" s="3">
        <v>132871</v>
      </c>
      <c r="IC29" s="3">
        <v>491234</v>
      </c>
      <c r="ID29" s="3">
        <v>305255</v>
      </c>
      <c r="IE29" s="399">
        <v>3583171</v>
      </c>
      <c r="IF29" s="5"/>
      <c r="IG29" s="5"/>
      <c r="IH29" s="5"/>
      <c r="II29" s="5"/>
      <c r="IJ29" s="399">
        <v>3672723</v>
      </c>
      <c r="IK29" s="5">
        <v>2784448</v>
      </c>
      <c r="IL29" s="5">
        <v>143961</v>
      </c>
      <c r="IM29" s="5">
        <v>535637</v>
      </c>
      <c r="IN29" s="5">
        <v>344279</v>
      </c>
      <c r="IO29" s="399">
        <v>3738208</v>
      </c>
      <c r="IP29" s="5">
        <v>2742259</v>
      </c>
      <c r="IQ29" s="5">
        <v>135390</v>
      </c>
      <c r="IR29" s="5">
        <v>567322</v>
      </c>
      <c r="IS29" s="5">
        <v>716697</v>
      </c>
      <c r="IT29" s="1">
        <v>116220</v>
      </c>
      <c r="IU29" s="1">
        <v>0</v>
      </c>
      <c r="IV29" s="1">
        <v>33948</v>
      </c>
      <c r="IW29" s="1">
        <v>404911</v>
      </c>
      <c r="IX29" s="1">
        <v>161618</v>
      </c>
      <c r="IY29" s="380" t="s">
        <v>221</v>
      </c>
      <c r="IZ29" s="188" t="s">
        <v>221</v>
      </c>
      <c r="JA29" s="188" t="s">
        <v>221</v>
      </c>
      <c r="JB29" s="188" t="s">
        <v>221</v>
      </c>
      <c r="JC29" s="635" t="s">
        <v>221</v>
      </c>
      <c r="JD29" s="5">
        <v>652448</v>
      </c>
      <c r="JE29" s="5">
        <v>594007</v>
      </c>
      <c r="JF29" s="5">
        <v>27150</v>
      </c>
      <c r="JG29" s="5">
        <v>48139</v>
      </c>
      <c r="JH29" s="408">
        <v>31291</v>
      </c>
      <c r="JI29" s="5">
        <v>861478</v>
      </c>
      <c r="JJ29" s="5">
        <v>752728</v>
      </c>
      <c r="JK29" s="5">
        <v>36067</v>
      </c>
      <c r="JL29" s="5">
        <v>81748</v>
      </c>
      <c r="JM29" s="408">
        <v>72683</v>
      </c>
      <c r="JN29" s="5">
        <v>909927</v>
      </c>
      <c r="JO29" s="5">
        <v>730617</v>
      </c>
      <c r="JP29" s="5">
        <v>40132</v>
      </c>
      <c r="JQ29" s="5">
        <v>104328</v>
      </c>
      <c r="JR29" s="5">
        <v>80863</v>
      </c>
      <c r="JS29" s="5">
        <v>1000718</v>
      </c>
      <c r="JT29" s="5">
        <v>868482</v>
      </c>
      <c r="JU29" s="5">
        <v>44073</v>
      </c>
      <c r="JV29" s="5">
        <v>127818</v>
      </c>
      <c r="JW29" s="408">
        <v>88163</v>
      </c>
      <c r="JX29" s="5">
        <v>1025238.0599999999</v>
      </c>
      <c r="JY29" s="5">
        <v>888930.58199999994</v>
      </c>
      <c r="JZ29" s="5">
        <v>46968</v>
      </c>
      <c r="KA29" s="5">
        <v>134010.59</v>
      </c>
      <c r="KB29" s="408">
        <v>89339.478000000003</v>
      </c>
      <c r="KC29" s="5">
        <v>1049462</v>
      </c>
      <c r="KD29" s="5">
        <v>811563</v>
      </c>
      <c r="KE29" s="5">
        <v>48357</v>
      </c>
      <c r="KF29" s="5">
        <v>143754</v>
      </c>
      <c r="KG29" s="439">
        <v>89279</v>
      </c>
      <c r="KH29" s="439">
        <v>1073304</v>
      </c>
      <c r="KI29" s="439">
        <v>824814</v>
      </c>
      <c r="KJ29" s="439">
        <v>50160</v>
      </c>
      <c r="KK29" s="439">
        <v>150862</v>
      </c>
      <c r="KL29" s="439">
        <v>90928</v>
      </c>
      <c r="KM29" s="439">
        <v>1087553</v>
      </c>
      <c r="KN29" s="439">
        <v>825814</v>
      </c>
      <c r="KO29" s="439">
        <v>53780</v>
      </c>
      <c r="KP29" s="439">
        <v>159334</v>
      </c>
      <c r="KQ29" s="439">
        <v>92914</v>
      </c>
      <c r="KR29" s="439">
        <v>1110240</v>
      </c>
      <c r="KS29" s="439">
        <v>836138</v>
      </c>
      <c r="KT29" s="439">
        <v>58880</v>
      </c>
      <c r="KU29" s="439">
        <v>166655</v>
      </c>
      <c r="KV29" s="439">
        <v>90284</v>
      </c>
      <c r="KW29" s="630">
        <v>1109895</v>
      </c>
      <c r="KX29" s="439">
        <v>848048</v>
      </c>
      <c r="KY29" s="439">
        <v>54644</v>
      </c>
      <c r="KZ29" s="439">
        <v>155998</v>
      </c>
      <c r="LA29" s="439">
        <v>91906</v>
      </c>
      <c r="LB29" s="652">
        <v>1112140</v>
      </c>
      <c r="LC29" s="653">
        <v>831670</v>
      </c>
      <c r="LD29" s="653">
        <v>49019</v>
      </c>
      <c r="LE29" s="653">
        <v>177275</v>
      </c>
      <c r="LF29" s="653">
        <v>99870</v>
      </c>
      <c r="LG29" s="652">
        <v>1145007</v>
      </c>
      <c r="LH29" s="653"/>
      <c r="LI29" s="439"/>
      <c r="LJ29" s="439"/>
      <c r="LK29" s="439"/>
      <c r="LL29" s="652">
        <v>1140531</v>
      </c>
      <c r="LM29" s="653">
        <v>838397</v>
      </c>
      <c r="LN29" s="653">
        <v>59381</v>
      </c>
      <c r="LO29" s="653">
        <v>185275</v>
      </c>
      <c r="LP29" s="653">
        <v>105580</v>
      </c>
      <c r="LQ29" s="652">
        <v>1127595</v>
      </c>
      <c r="LR29" s="653">
        <v>793803</v>
      </c>
      <c r="LS29" s="653">
        <v>54611</v>
      </c>
      <c r="LT29" s="653">
        <v>194116</v>
      </c>
      <c r="LU29" s="653">
        <v>231040</v>
      </c>
      <c r="LV29" s="1">
        <v>24755</v>
      </c>
      <c r="LW29" s="1">
        <v>2071</v>
      </c>
      <c r="LX29" s="1">
        <v>13577</v>
      </c>
      <c r="LY29" s="1">
        <v>135730</v>
      </c>
      <c r="LZ29" s="1">
        <v>54907</v>
      </c>
      <c r="MA29" s="10">
        <v>146411</v>
      </c>
      <c r="MB29" s="3">
        <v>133823</v>
      </c>
      <c r="MC29" s="3">
        <v>5097</v>
      </c>
      <c r="MD29" s="3">
        <v>10763</v>
      </c>
      <c r="ME29" s="8">
        <v>7491</v>
      </c>
      <c r="MF29" s="3">
        <v>193868</v>
      </c>
      <c r="MG29" s="3">
        <v>168336</v>
      </c>
      <c r="MH29" s="3">
        <v>8373</v>
      </c>
      <c r="MI29" s="3">
        <v>17248</v>
      </c>
      <c r="MJ29" s="8">
        <v>17159</v>
      </c>
      <c r="MK29" s="3">
        <v>236444</v>
      </c>
      <c r="ML29" s="3">
        <v>189826</v>
      </c>
      <c r="MM29" s="3">
        <v>10691</v>
      </c>
      <c r="MN29" s="3">
        <v>26324</v>
      </c>
      <c r="MO29" s="3">
        <v>20995</v>
      </c>
      <c r="MP29" s="10">
        <v>254123</v>
      </c>
      <c r="MQ29" s="3">
        <v>221638</v>
      </c>
      <c r="MR29" s="3">
        <v>11189</v>
      </c>
      <c r="MS29" s="3">
        <v>28511</v>
      </c>
      <c r="MT29" s="3">
        <v>21296</v>
      </c>
      <c r="MU29" s="10"/>
      <c r="MV29" s="3"/>
      <c r="MW29" s="3"/>
      <c r="MX29" s="3"/>
      <c r="MY29" s="8"/>
      <c r="MZ29" s="3">
        <v>275976</v>
      </c>
      <c r="NA29" s="3">
        <v>216669</v>
      </c>
      <c r="NB29" s="3">
        <v>12711</v>
      </c>
      <c r="NC29" s="3">
        <v>33799</v>
      </c>
      <c r="ND29" s="3">
        <v>22257</v>
      </c>
      <c r="NE29" s="3">
        <v>285564</v>
      </c>
      <c r="NF29" s="3">
        <v>225376</v>
      </c>
      <c r="NG29" s="3">
        <v>11474</v>
      </c>
      <c r="NH29" s="3">
        <v>35061</v>
      </c>
      <c r="NI29" s="3">
        <v>23151</v>
      </c>
      <c r="NJ29" s="3">
        <v>294629</v>
      </c>
      <c r="NK29" s="3">
        <v>226947</v>
      </c>
      <c r="NL29" s="3">
        <v>14089</v>
      </c>
      <c r="NM29" s="3">
        <v>39703</v>
      </c>
      <c r="NN29" s="3">
        <v>126872</v>
      </c>
      <c r="NO29" s="3">
        <v>301203</v>
      </c>
      <c r="NP29" s="3">
        <v>230629</v>
      </c>
      <c r="NQ29" s="3">
        <v>14585</v>
      </c>
      <c r="NR29" s="3">
        <v>41514</v>
      </c>
      <c r="NS29" s="3">
        <v>26766</v>
      </c>
      <c r="NT29" s="3">
        <v>322529</v>
      </c>
      <c r="NU29" s="3">
        <v>245025</v>
      </c>
      <c r="NV29" s="3">
        <v>18227</v>
      </c>
      <c r="NW29" s="3">
        <v>43156</v>
      </c>
      <c r="NX29" s="3">
        <v>28337</v>
      </c>
      <c r="NY29" s="10">
        <v>313309</v>
      </c>
      <c r="NZ29" s="3">
        <v>236232</v>
      </c>
      <c r="OA29" s="3">
        <v>14673</v>
      </c>
      <c r="OB29" s="3">
        <v>46892</v>
      </c>
      <c r="OC29" s="3">
        <v>27083</v>
      </c>
      <c r="OD29" s="10">
        <v>329255</v>
      </c>
      <c r="OE29" s="3"/>
      <c r="OF29" s="3"/>
      <c r="OG29" s="3"/>
      <c r="OH29" s="3"/>
      <c r="OI29" s="10">
        <v>334961</v>
      </c>
      <c r="OJ29" s="3">
        <v>251418</v>
      </c>
      <c r="OK29" s="3">
        <v>15489</v>
      </c>
      <c r="OL29" s="3">
        <v>50289</v>
      </c>
      <c r="OM29" s="3">
        <v>30088</v>
      </c>
      <c r="ON29" s="10">
        <v>334157</v>
      </c>
      <c r="OO29" s="3">
        <v>240013</v>
      </c>
      <c r="OP29" s="3">
        <v>16398</v>
      </c>
      <c r="OQ29" s="3">
        <v>51691</v>
      </c>
      <c r="OR29" s="3">
        <v>15758</v>
      </c>
      <c r="OS29" s="1">
        <v>8070</v>
      </c>
      <c r="OT29" s="1">
        <v>965</v>
      </c>
      <c r="OU29" s="1">
        <v>4325</v>
      </c>
      <c r="OV29" s="1">
        <v>35387</v>
      </c>
      <c r="OW29" s="1">
        <v>15758</v>
      </c>
      <c r="OX29" s="402">
        <f t="shared" si="499"/>
        <v>598537</v>
      </c>
      <c r="OY29" s="382">
        <f t="shared" si="500"/>
        <v>492407</v>
      </c>
      <c r="OZ29" s="382">
        <f t="shared" si="501"/>
        <v>21877</v>
      </c>
      <c r="PA29" s="382">
        <f t="shared" si="502"/>
        <v>170946</v>
      </c>
      <c r="PB29" s="382">
        <f t="shared" si="503"/>
        <v>61626</v>
      </c>
      <c r="PC29" s="402">
        <f t="shared" si="504"/>
        <v>1101623</v>
      </c>
      <c r="PD29" s="382">
        <f t="shared" si="505"/>
        <v>1001890</v>
      </c>
      <c r="PE29" s="382">
        <f t="shared" si="506"/>
        <v>27789</v>
      </c>
      <c r="PF29" s="382">
        <f t="shared" si="507"/>
        <v>56583</v>
      </c>
      <c r="PG29" s="382">
        <f t="shared" si="508"/>
        <v>71944</v>
      </c>
      <c r="PH29" s="10">
        <v>1231846</v>
      </c>
      <c r="PI29" s="3">
        <v>1115430</v>
      </c>
      <c r="PJ29" s="3">
        <v>32227</v>
      </c>
      <c r="PK29" s="3">
        <v>82944</v>
      </c>
      <c r="PL29" s="3">
        <v>84189</v>
      </c>
      <c r="PM29" s="3">
        <v>1320677</v>
      </c>
      <c r="PN29" s="3">
        <v>1137905</v>
      </c>
      <c r="PO29" s="3">
        <v>34882</v>
      </c>
      <c r="PP29" s="3">
        <v>83813</v>
      </c>
      <c r="PQ29" s="3">
        <v>97710</v>
      </c>
      <c r="PR29" s="399"/>
      <c r="PS29" s="5"/>
      <c r="PT29" s="5"/>
      <c r="PU29" s="5"/>
      <c r="PV29" s="5"/>
      <c r="PW29" s="5">
        <v>1523482</v>
      </c>
      <c r="PX29" s="5">
        <v>1300552</v>
      </c>
      <c r="PY29" s="5">
        <v>41298</v>
      </c>
      <c r="PZ29" s="5">
        <v>103493</v>
      </c>
      <c r="QA29" s="408">
        <v>103487</v>
      </c>
      <c r="QB29" s="5">
        <v>1573554</v>
      </c>
      <c r="QC29" s="5">
        <v>1338761</v>
      </c>
      <c r="QD29" s="5">
        <v>41787</v>
      </c>
      <c r="QE29" s="5">
        <v>108590</v>
      </c>
      <c r="QF29" s="5">
        <v>110556</v>
      </c>
      <c r="QG29" s="5">
        <v>1668841</v>
      </c>
      <c r="QH29" s="5">
        <v>1404634</v>
      </c>
      <c r="QI29" s="5">
        <v>45012</v>
      </c>
      <c r="QJ29" s="5">
        <v>122638</v>
      </c>
      <c r="QK29" s="5">
        <v>126872</v>
      </c>
      <c r="QL29" s="399">
        <v>1741979</v>
      </c>
      <c r="QM29" s="5">
        <v>1464127</v>
      </c>
      <c r="QN29" s="5">
        <v>48987</v>
      </c>
      <c r="QO29" s="5">
        <v>131614</v>
      </c>
      <c r="QP29" s="5">
        <v>129326</v>
      </c>
      <c r="QQ29" s="399">
        <v>1815410</v>
      </c>
      <c r="QR29" s="5">
        <v>1511434</v>
      </c>
      <c r="QS29" s="5">
        <v>53972</v>
      </c>
      <c r="QT29" s="5">
        <v>144686</v>
      </c>
      <c r="QU29" s="5">
        <v>140871</v>
      </c>
      <c r="QV29" s="399">
        <v>1888006</v>
      </c>
      <c r="QW29" s="5">
        <v>1564173</v>
      </c>
      <c r="QX29" s="5">
        <v>55860</v>
      </c>
      <c r="QY29" s="5">
        <v>154514</v>
      </c>
      <c r="QZ29" s="5">
        <v>147291</v>
      </c>
      <c r="RA29" s="399">
        <v>1954804</v>
      </c>
      <c r="RB29" s="5"/>
      <c r="RC29" s="5"/>
      <c r="RD29" s="5"/>
      <c r="RE29" s="5"/>
      <c r="RF29" s="5">
        <v>2030563</v>
      </c>
      <c r="RG29" s="5">
        <v>1661695</v>
      </c>
      <c r="RH29" s="5">
        <v>58566</v>
      </c>
      <c r="RI29" s="5">
        <v>182020</v>
      </c>
      <c r="RJ29" s="5">
        <v>171684</v>
      </c>
      <c r="RK29" s="5">
        <v>2130397</v>
      </c>
      <c r="RL29" s="5">
        <v>1677482</v>
      </c>
      <c r="RM29" s="5">
        <v>61165</v>
      </c>
      <c r="RN29" s="5">
        <v>210698</v>
      </c>
      <c r="RO29" s="5">
        <v>334469</v>
      </c>
      <c r="RP29" s="1">
        <v>81046</v>
      </c>
      <c r="RQ29" s="1">
        <v>0</v>
      </c>
      <c r="RR29" s="1">
        <v>12197</v>
      </c>
      <c r="RS29" s="1">
        <v>182991</v>
      </c>
      <c r="RT29" s="1">
        <v>58235</v>
      </c>
      <c r="RU29" s="10">
        <v>379150</v>
      </c>
      <c r="RV29" s="3">
        <v>358584</v>
      </c>
      <c r="RW29" s="3">
        <v>8908</v>
      </c>
      <c r="RX29" s="3">
        <v>12579</v>
      </c>
      <c r="RY29" s="3">
        <v>11658</v>
      </c>
      <c r="RZ29" s="10">
        <v>599028</v>
      </c>
      <c r="SA29" s="3">
        <v>550595</v>
      </c>
      <c r="SB29" s="3">
        <v>13095</v>
      </c>
      <c r="SC29" s="3">
        <v>26994</v>
      </c>
      <c r="SD29" s="3">
        <v>35338</v>
      </c>
      <c r="SE29" s="10">
        <v>700536</v>
      </c>
      <c r="SF29" s="3">
        <v>612426</v>
      </c>
      <c r="SG29" s="3">
        <v>15658</v>
      </c>
      <c r="SH29" s="3">
        <v>40466</v>
      </c>
      <c r="SI29" s="3">
        <v>48416</v>
      </c>
      <c r="SJ29" s="10">
        <v>758515</v>
      </c>
      <c r="SK29" s="3">
        <v>694442</v>
      </c>
      <c r="SL29" s="3">
        <v>16436</v>
      </c>
      <c r="SM29" s="3">
        <v>44637</v>
      </c>
      <c r="SN29" s="3">
        <v>47637</v>
      </c>
      <c r="SO29" s="10">
        <v>775585.93500000006</v>
      </c>
      <c r="SP29" s="3">
        <v>710569.10600000003</v>
      </c>
      <c r="SQ29" s="3">
        <v>17427.599999999999</v>
      </c>
      <c r="SR29" s="3">
        <v>47040.451999999997</v>
      </c>
      <c r="SS29" s="3">
        <v>47589.229000000028</v>
      </c>
      <c r="ST29" s="10">
        <v>794680</v>
      </c>
      <c r="SU29" s="3">
        <v>690938</v>
      </c>
      <c r="SV29" s="3">
        <v>18134</v>
      </c>
      <c r="SW29" s="3">
        <v>46827</v>
      </c>
      <c r="SX29" s="3">
        <v>49471</v>
      </c>
      <c r="SY29" s="3">
        <v>815551</v>
      </c>
      <c r="SZ29" s="3">
        <v>706154</v>
      </c>
      <c r="TA29" s="3">
        <v>18937</v>
      </c>
      <c r="TB29" s="3">
        <v>49195</v>
      </c>
      <c r="TC29" s="3">
        <v>52275</v>
      </c>
      <c r="TD29" s="3">
        <v>862158</v>
      </c>
      <c r="TE29" s="3">
        <v>736689</v>
      </c>
      <c r="TF29" s="3">
        <v>18902</v>
      </c>
      <c r="TG29" s="3">
        <v>56264</v>
      </c>
      <c r="TH29" s="3">
        <v>63010</v>
      </c>
      <c r="TI29" s="3">
        <v>909032</v>
      </c>
      <c r="TJ29" s="3">
        <v>775483</v>
      </c>
      <c r="TK29" s="3">
        <v>23714</v>
      </c>
      <c r="TL29" s="3">
        <v>61964</v>
      </c>
      <c r="TM29" s="3">
        <v>60867</v>
      </c>
      <c r="TN29" s="3">
        <v>934273</v>
      </c>
      <c r="TO29" s="3">
        <v>789388</v>
      </c>
      <c r="TP29" s="3">
        <v>23176</v>
      </c>
      <c r="TQ29" s="3">
        <v>71143</v>
      </c>
      <c r="TR29" s="3">
        <v>67929</v>
      </c>
      <c r="TS29" s="10">
        <v>994894</v>
      </c>
      <c r="TT29" s="3">
        <v>836671</v>
      </c>
      <c r="TU29" s="3">
        <v>27108</v>
      </c>
      <c r="TV29" s="3">
        <v>75570</v>
      </c>
      <c r="TW29" s="3">
        <v>70683</v>
      </c>
      <c r="TX29" s="10">
        <v>1013989</v>
      </c>
      <c r="TY29" s="3"/>
      <c r="TZ29" s="3"/>
      <c r="UA29" s="3"/>
      <c r="UB29" s="3"/>
      <c r="UC29" s="10">
        <v>1057825</v>
      </c>
      <c r="UD29" s="3">
        <v>880398</v>
      </c>
      <c r="UE29" s="3">
        <v>26525</v>
      </c>
      <c r="UF29" s="3">
        <v>89710</v>
      </c>
      <c r="UG29" s="3">
        <v>83555</v>
      </c>
      <c r="UH29" s="10">
        <v>1107309</v>
      </c>
      <c r="UI29" s="3">
        <v>882234</v>
      </c>
      <c r="UJ29" s="3">
        <v>26906</v>
      </c>
      <c r="UK29" s="3">
        <v>106497</v>
      </c>
      <c r="UL29" s="3">
        <v>168322</v>
      </c>
      <c r="UM29" s="1">
        <v>39126</v>
      </c>
      <c r="UN29" s="1">
        <v>784</v>
      </c>
      <c r="UO29" s="1">
        <v>5160</v>
      </c>
      <c r="UP29" s="1">
        <v>94468</v>
      </c>
      <c r="UQ29" s="1">
        <v>42477</v>
      </c>
      <c r="UR29" s="588">
        <f t="shared" si="509"/>
        <v>98738</v>
      </c>
      <c r="US29" s="40">
        <v>58354</v>
      </c>
      <c r="UT29" s="40">
        <v>40384</v>
      </c>
      <c r="UU29" s="588">
        <f t="shared" si="510"/>
        <v>1979</v>
      </c>
      <c r="UV29" s="40">
        <v>1117</v>
      </c>
      <c r="UW29" s="40">
        <v>862</v>
      </c>
      <c r="UX29" s="42">
        <v>174247</v>
      </c>
      <c r="UY29" s="588">
        <f t="shared" si="511"/>
        <v>103484</v>
      </c>
      <c r="UZ29" s="588">
        <f t="shared" si="512"/>
        <v>70763</v>
      </c>
      <c r="VA29" s="588">
        <f t="shared" si="513"/>
        <v>166585</v>
      </c>
      <c r="VB29" s="40">
        <v>98801</v>
      </c>
      <c r="VC29" s="40">
        <v>67784</v>
      </c>
      <c r="VD29" s="588">
        <f t="shared" si="514"/>
        <v>2118</v>
      </c>
      <c r="VE29" s="40">
        <v>1127</v>
      </c>
      <c r="VF29" s="40">
        <v>991</v>
      </c>
      <c r="VG29" s="588">
        <f t="shared" si="515"/>
        <v>5544</v>
      </c>
      <c r="VH29" s="40">
        <v>3556</v>
      </c>
      <c r="VI29" s="40">
        <v>1988</v>
      </c>
      <c r="VJ29" s="42">
        <v>382013</v>
      </c>
      <c r="VK29" s="588">
        <f t="shared" si="516"/>
        <v>225044</v>
      </c>
      <c r="VL29" s="588">
        <f t="shared" si="517"/>
        <v>156969</v>
      </c>
      <c r="VM29" s="240">
        <f t="shared" si="518"/>
        <v>358334</v>
      </c>
      <c r="VN29" s="40">
        <v>210434</v>
      </c>
      <c r="VO29" s="40">
        <v>147900</v>
      </c>
      <c r="VP29" s="40">
        <v>14610</v>
      </c>
      <c r="VQ29" s="40">
        <v>9069</v>
      </c>
      <c r="VR29" s="240">
        <f t="shared" si="519"/>
        <v>6685</v>
      </c>
      <c r="VS29" s="40">
        <v>3909</v>
      </c>
      <c r="VT29" s="40">
        <v>2776</v>
      </c>
      <c r="VU29" s="240">
        <f t="shared" si="520"/>
        <v>10529</v>
      </c>
      <c r="VV29" s="40">
        <v>6573</v>
      </c>
      <c r="VW29" s="40">
        <v>3956</v>
      </c>
      <c r="VX29" s="233">
        <f t="shared" si="521"/>
        <v>6465</v>
      </c>
      <c r="VY29" s="233">
        <f t="shared" si="522"/>
        <v>4128</v>
      </c>
      <c r="VZ29" s="233">
        <f t="shared" si="523"/>
        <v>2337</v>
      </c>
      <c r="WA29" s="234">
        <f t="shared" si="524"/>
        <v>372</v>
      </c>
      <c r="WB29" s="234">
        <f t="shared" si="525"/>
        <v>236</v>
      </c>
      <c r="WC29" s="234">
        <f t="shared" si="526"/>
        <v>136</v>
      </c>
      <c r="WD29" s="40">
        <v>6093</v>
      </c>
      <c r="WE29" s="40">
        <v>3892</v>
      </c>
      <c r="WF29" s="40">
        <v>2201</v>
      </c>
      <c r="WG29" s="12">
        <f t="shared" si="527"/>
        <v>452126</v>
      </c>
      <c r="WH29" s="588">
        <f t="shared" si="528"/>
        <v>313266</v>
      </c>
      <c r="WI29" s="588">
        <f t="shared" si="529"/>
        <v>254990</v>
      </c>
      <c r="WJ29" s="11">
        <f t="shared" si="530"/>
        <v>358584</v>
      </c>
      <c r="WK29" s="90">
        <f t="shared" si="531"/>
        <v>524660</v>
      </c>
      <c r="WL29" s="40">
        <v>289073</v>
      </c>
      <c r="WM29" s="40">
        <v>235587</v>
      </c>
      <c r="WN29" s="40">
        <v>24193</v>
      </c>
      <c r="WO29" s="40">
        <v>19403</v>
      </c>
      <c r="WP29" s="11">
        <f t="shared" si="532"/>
        <v>16780</v>
      </c>
      <c r="WQ29" s="90">
        <f t="shared" si="533"/>
        <v>12444</v>
      </c>
      <c r="WR29" s="40">
        <v>6794</v>
      </c>
      <c r="WS29" s="40">
        <v>5650</v>
      </c>
      <c r="WT29" s="11">
        <f t="shared" si="534"/>
        <v>18650</v>
      </c>
      <c r="WU29" s="40">
        <v>10655</v>
      </c>
      <c r="WV29" s="40">
        <v>7995</v>
      </c>
      <c r="WW29" s="9">
        <f t="shared" si="535"/>
        <v>54135</v>
      </c>
      <c r="WX29" s="235">
        <f t="shared" si="536"/>
        <v>6744</v>
      </c>
      <c r="WY29" s="235">
        <f t="shared" si="537"/>
        <v>5758</v>
      </c>
      <c r="WZ29" s="236">
        <f t="shared" si="538"/>
        <v>124</v>
      </c>
      <c r="XA29" s="236">
        <f t="shared" si="539"/>
        <v>43</v>
      </c>
      <c r="XB29" s="236">
        <f t="shared" si="540"/>
        <v>81</v>
      </c>
      <c r="XC29" s="589">
        <f t="shared" si="541"/>
        <v>12378</v>
      </c>
      <c r="XD29" s="589">
        <f t="shared" si="542"/>
        <v>6701</v>
      </c>
      <c r="XE29" s="589">
        <f t="shared" si="543"/>
        <v>5677</v>
      </c>
      <c r="XF29" s="40">
        <v>852</v>
      </c>
      <c r="XG29" s="40">
        <v>835</v>
      </c>
      <c r="XH29" s="40">
        <v>5849</v>
      </c>
      <c r="XI29" s="40">
        <v>4842</v>
      </c>
      <c r="XJ29" s="590">
        <v>907755</v>
      </c>
      <c r="XK29" s="40">
        <v>474911</v>
      </c>
      <c r="XL29" s="40">
        <v>432844</v>
      </c>
      <c r="XM29" s="5">
        <f t="shared" si="544"/>
        <v>833554</v>
      </c>
      <c r="XN29" s="5">
        <v>436751</v>
      </c>
      <c r="XO29" s="5">
        <v>396803</v>
      </c>
      <c r="XP29" s="84">
        <f t="shared" si="545"/>
        <v>809119</v>
      </c>
      <c r="XQ29" s="40">
        <v>424477</v>
      </c>
      <c r="XR29" s="40">
        <v>384642</v>
      </c>
      <c r="XS29" s="5">
        <f t="shared" si="546"/>
        <v>19416</v>
      </c>
      <c r="XT29" s="40">
        <v>10276</v>
      </c>
      <c r="XU29" s="40">
        <v>9140</v>
      </c>
      <c r="XV29" s="5">
        <f t="shared" si="547"/>
        <v>39335</v>
      </c>
      <c r="XW29" s="40">
        <v>19648</v>
      </c>
      <c r="XX29" s="40">
        <v>19687</v>
      </c>
      <c r="XY29" s="84">
        <f t="shared" si="548"/>
        <v>54785</v>
      </c>
      <c r="XZ29" s="84">
        <f t="shared" si="549"/>
        <v>27884</v>
      </c>
      <c r="YA29" s="84">
        <f t="shared" si="550"/>
        <v>26901</v>
      </c>
      <c r="YB29" s="587">
        <v>1084233</v>
      </c>
      <c r="YC29" s="40">
        <v>948079</v>
      </c>
      <c r="YD29" s="40">
        <v>24191</v>
      </c>
      <c r="YE29" s="40">
        <v>57489</v>
      </c>
      <c r="YF29" s="5">
        <v>76715</v>
      </c>
      <c r="YG29" s="10">
        <v>1116029</v>
      </c>
      <c r="YH29" s="3">
        <v>1013252</v>
      </c>
      <c r="YI29" s="3">
        <v>24782</v>
      </c>
      <c r="YJ29" s="3">
        <v>77995</v>
      </c>
      <c r="YK29" s="3">
        <v>60337</v>
      </c>
      <c r="YL29" s="10">
        <v>1150604</v>
      </c>
      <c r="YM29" s="3">
        <v>1047961</v>
      </c>
      <c r="YN29" s="3">
        <v>25585</v>
      </c>
      <c r="YO29" s="3">
        <v>77058</v>
      </c>
      <c r="YP29" s="3">
        <v>63131</v>
      </c>
      <c r="YQ29" s="10">
        <v>1182070</v>
      </c>
      <c r="YR29" s="3">
        <v>1079946</v>
      </c>
      <c r="YS29" s="3">
        <v>25352</v>
      </c>
      <c r="YT29" s="3">
        <v>76772</v>
      </c>
      <c r="YU29" s="3">
        <v>64422</v>
      </c>
      <c r="YV29" s="10">
        <v>1211644.98</v>
      </c>
      <c r="YW29" s="3">
        <v>1107567.23</v>
      </c>
      <c r="YX29" s="3">
        <v>26326.799999999999</v>
      </c>
      <c r="YY29" s="3">
        <v>68372.75</v>
      </c>
      <c r="YZ29" s="3">
        <v>77750.95</v>
      </c>
      <c r="ZA29" s="3">
        <v>1247506</v>
      </c>
      <c r="ZB29" s="3">
        <v>1083883</v>
      </c>
      <c r="ZC29" s="3">
        <v>28587</v>
      </c>
      <c r="ZD29" s="3">
        <v>69694</v>
      </c>
      <c r="ZE29" s="1">
        <v>81230</v>
      </c>
      <c r="ZF29" s="1">
        <v>1287990</v>
      </c>
      <c r="ZG29" s="1">
        <v>1113385</v>
      </c>
      <c r="ZH29" s="1">
        <v>30313</v>
      </c>
      <c r="ZI29" s="1">
        <v>73529</v>
      </c>
      <c r="ZJ29" s="1">
        <v>87405</v>
      </c>
      <c r="ZK29" s="1">
        <v>1374212</v>
      </c>
      <c r="ZL29" s="1">
        <v>1177687</v>
      </c>
      <c r="ZM29" s="1">
        <v>30923</v>
      </c>
      <c r="ZN29" s="1">
        <v>82935</v>
      </c>
      <c r="ZO29" s="1">
        <v>101361</v>
      </c>
      <c r="ZP29" s="1">
        <v>1440776</v>
      </c>
      <c r="ZQ29" s="1">
        <v>1233498</v>
      </c>
      <c r="ZR29" s="1">
        <v>34402</v>
      </c>
      <c r="ZS29" s="1">
        <v>90100</v>
      </c>
      <c r="ZT29" s="1">
        <v>102560</v>
      </c>
      <c r="ZU29" s="1">
        <v>1492881</v>
      </c>
      <c r="ZV29" s="1">
        <v>1266409</v>
      </c>
      <c r="ZW29" s="1">
        <v>35745</v>
      </c>
      <c r="ZX29" s="1">
        <v>101530</v>
      </c>
      <c r="ZY29" s="1">
        <v>112534</v>
      </c>
      <c r="ZZ29" s="394">
        <v>60252</v>
      </c>
      <c r="AAA29" s="1">
        <v>527</v>
      </c>
      <c r="AAB29" s="1">
        <v>6299</v>
      </c>
      <c r="AAC29" s="1">
        <v>29144</v>
      </c>
      <c r="AAD29" s="1">
        <v>16011</v>
      </c>
      <c r="AAE29" s="50">
        <v>1574697</v>
      </c>
      <c r="AAF29" s="1">
        <v>1327941</v>
      </c>
      <c r="AAG29" s="1">
        <v>41187</v>
      </c>
      <c r="AAH29" s="1">
        <v>107622</v>
      </c>
      <c r="AAI29" s="1">
        <v>120208</v>
      </c>
      <c r="AAJ29" s="50">
        <v>1625549</v>
      </c>
      <c r="AAK29" s="1"/>
      <c r="AAL29" s="1"/>
      <c r="AAM29" s="1"/>
      <c r="AAN29" s="1"/>
      <c r="AAO29" s="68">
        <v>1695602</v>
      </c>
      <c r="AAP29" s="37">
        <v>1410277</v>
      </c>
      <c r="AAQ29" s="37">
        <v>43077</v>
      </c>
      <c r="AAR29" s="37">
        <v>131731</v>
      </c>
      <c r="AAS29" s="37">
        <v>141596</v>
      </c>
      <c r="AAT29" s="68">
        <v>1796240</v>
      </c>
      <c r="AAU29" s="37">
        <v>1437469</v>
      </c>
      <c r="AAV29" s="37">
        <v>44767</v>
      </c>
      <c r="AAW29" s="37">
        <v>159007</v>
      </c>
      <c r="AAX29" s="37">
        <v>270929</v>
      </c>
      <c r="AAY29" s="1">
        <v>72976</v>
      </c>
      <c r="AAZ29" s="1">
        <v>0</v>
      </c>
      <c r="ABA29" s="1">
        <v>7872</v>
      </c>
      <c r="ABB29" s="1">
        <v>147604</v>
      </c>
      <c r="ABC29" s="1">
        <v>42477</v>
      </c>
      <c r="ABD29" s="10">
        <v>308727</v>
      </c>
      <c r="ABE29" s="3">
        <v>282959</v>
      </c>
      <c r="ABF29" s="3">
        <v>6321</v>
      </c>
      <c r="ABG29" s="3">
        <v>12341</v>
      </c>
      <c r="ABH29" s="3">
        <v>19447</v>
      </c>
      <c r="ABI29" s="10">
        <v>383697</v>
      </c>
      <c r="ABJ29" s="3">
        <v>335653</v>
      </c>
      <c r="ABK29" s="3">
        <v>8533</v>
      </c>
      <c r="ABL29" s="3">
        <v>17023</v>
      </c>
      <c r="ABM29" s="3">
        <v>28299</v>
      </c>
      <c r="ABN29" s="10">
        <v>423555</v>
      </c>
      <c r="ABO29" s="3">
        <v>385504</v>
      </c>
      <c r="ABP29" s="3">
        <v>8916</v>
      </c>
      <c r="ABQ29" s="3">
        <v>19785</v>
      </c>
      <c r="ABR29" s="3">
        <v>29135</v>
      </c>
      <c r="ABS29" s="10">
        <v>436059.04500000004</v>
      </c>
      <c r="ABT29" s="3">
        <v>396998.12400000001</v>
      </c>
      <c r="ABU29" s="3">
        <v>8899.2000000000007</v>
      </c>
      <c r="ABV29" s="3">
        <v>21332.297999999999</v>
      </c>
      <c r="ABW29" s="8">
        <v>30161.72100000003</v>
      </c>
      <c r="ABX29" s="1">
        <v>452826</v>
      </c>
      <c r="ABY29" s="1">
        <v>392945</v>
      </c>
      <c r="ABZ29" s="1">
        <v>10453</v>
      </c>
      <c r="ACA29" s="1">
        <v>22867</v>
      </c>
      <c r="ACB29" s="49">
        <v>31759</v>
      </c>
      <c r="ACC29" s="1">
        <v>472439</v>
      </c>
      <c r="ACD29" s="1">
        <v>407231</v>
      </c>
      <c r="ACE29" s="1">
        <v>11376</v>
      </c>
      <c r="ACF29" s="1">
        <v>24334</v>
      </c>
      <c r="ACG29" s="1">
        <v>35130</v>
      </c>
      <c r="ACH29" s="1">
        <v>512054</v>
      </c>
      <c r="ACI29" s="1">
        <v>440998</v>
      </c>
      <c r="ACJ29" s="1">
        <v>12021</v>
      </c>
      <c r="ACK29" s="1">
        <v>26671</v>
      </c>
      <c r="ACL29" s="1">
        <v>38351</v>
      </c>
      <c r="ACM29" s="1">
        <v>531744</v>
      </c>
      <c r="ACN29" s="1">
        <v>458015</v>
      </c>
      <c r="ACO29" s="1">
        <v>10688</v>
      </c>
      <c r="ACP29" s="1">
        <v>28136</v>
      </c>
      <c r="ACQ29" s="1">
        <v>41693</v>
      </c>
      <c r="ACR29" s="1">
        <v>558608</v>
      </c>
      <c r="ACS29" s="1">
        <v>477021</v>
      </c>
      <c r="ACT29" s="1">
        <v>12569</v>
      </c>
      <c r="ACU29" s="1">
        <v>30387</v>
      </c>
      <c r="ACV29" s="1">
        <v>44605</v>
      </c>
      <c r="ADB29" s="50">
        <v>579803</v>
      </c>
      <c r="ADC29" s="1">
        <v>491270</v>
      </c>
      <c r="ADD29" s="1">
        <v>14079</v>
      </c>
      <c r="ADE29" s="1">
        <v>32052</v>
      </c>
      <c r="ADF29" s="1">
        <v>49525</v>
      </c>
      <c r="ADG29" s="50">
        <v>611560</v>
      </c>
      <c r="ADL29" s="50">
        <v>637777</v>
      </c>
      <c r="ADM29" s="1">
        <v>529879</v>
      </c>
      <c r="ADN29" s="1">
        <v>16552</v>
      </c>
      <c r="ADO29" s="1">
        <v>42021</v>
      </c>
      <c r="ADP29" s="1">
        <v>58041</v>
      </c>
      <c r="ADQ29" s="50">
        <v>688931</v>
      </c>
      <c r="ADR29" s="1">
        <v>555235</v>
      </c>
      <c r="ADS29" s="1">
        <v>17861</v>
      </c>
      <c r="ADT29" s="1">
        <v>52510</v>
      </c>
      <c r="ADU29" s="1">
        <v>103473</v>
      </c>
      <c r="ADV29" s="1">
        <v>33850</v>
      </c>
      <c r="ADW29" s="1">
        <v>82</v>
      </c>
      <c r="ADX29" s="1">
        <v>2712</v>
      </c>
      <c r="ADY29" s="1">
        <v>53136</v>
      </c>
      <c r="ADZ29" s="1">
        <v>13693</v>
      </c>
    </row>
    <row r="30" spans="1:806" ht="14.1">
      <c r="A30" s="138" t="s">
        <v>29</v>
      </c>
      <c r="B30" s="174" t="s">
        <v>221</v>
      </c>
      <c r="C30" s="175" t="s">
        <v>221</v>
      </c>
      <c r="D30" s="175" t="s">
        <v>221</v>
      </c>
      <c r="E30" s="175" t="s">
        <v>221</v>
      </c>
      <c r="F30" s="176" t="s">
        <v>221</v>
      </c>
      <c r="G30" s="3">
        <v>71806</v>
      </c>
      <c r="H30" s="3">
        <v>8649</v>
      </c>
      <c r="I30" s="3">
        <v>157</v>
      </c>
      <c r="J30" s="3">
        <v>4406</v>
      </c>
      <c r="K30" s="8">
        <v>63000</v>
      </c>
      <c r="L30" s="3">
        <v>57805</v>
      </c>
      <c r="M30" s="3">
        <v>4464</v>
      </c>
      <c r="N30" s="3">
        <v>205</v>
      </c>
      <c r="O30" s="3">
        <v>2508</v>
      </c>
      <c r="P30" s="8">
        <v>53136</v>
      </c>
      <c r="Q30" s="3">
        <v>46148</v>
      </c>
      <c r="R30" s="3">
        <v>3031</v>
      </c>
      <c r="S30" s="3">
        <v>219</v>
      </c>
      <c r="T30" s="3">
        <v>2512</v>
      </c>
      <c r="U30" s="8">
        <v>42003</v>
      </c>
      <c r="V30" s="5">
        <v>43005</v>
      </c>
      <c r="W30" s="5">
        <v>3492</v>
      </c>
      <c r="X30" s="5">
        <v>72</v>
      </c>
      <c r="Y30" s="5">
        <v>2656</v>
      </c>
      <c r="Z30" s="408">
        <v>39441</v>
      </c>
      <c r="AA30" s="5">
        <v>42786</v>
      </c>
      <c r="AB30" s="5">
        <v>2539</v>
      </c>
      <c r="AC30" s="5">
        <v>123</v>
      </c>
      <c r="AD30" s="5">
        <v>3150</v>
      </c>
      <c r="AE30" s="5">
        <v>39105</v>
      </c>
      <c r="AF30" s="399">
        <v>39867</v>
      </c>
      <c r="AG30" s="5">
        <v>2151</v>
      </c>
      <c r="AH30" s="5">
        <v>243</v>
      </c>
      <c r="AI30" s="5">
        <v>2881</v>
      </c>
      <c r="AJ30" s="490">
        <v>36684</v>
      </c>
      <c r="AK30" s="490">
        <v>39436</v>
      </c>
      <c r="AL30" s="490">
        <v>2487</v>
      </c>
      <c r="AM30" s="685">
        <v>0</v>
      </c>
      <c r="AN30" s="685">
        <v>1851</v>
      </c>
      <c r="AO30" s="490">
        <v>36198</v>
      </c>
      <c r="AP30" s="394">
        <v>39945</v>
      </c>
      <c r="AQ30" s="394">
        <v>1999</v>
      </c>
      <c r="AR30" s="394">
        <v>187</v>
      </c>
      <c r="AS30" s="394">
        <v>2745</v>
      </c>
      <c r="AT30" s="394">
        <v>36421</v>
      </c>
      <c r="AU30" s="393">
        <v>36083</v>
      </c>
      <c r="AV30" s="394">
        <v>2288</v>
      </c>
      <c r="AW30" s="394">
        <v>670</v>
      </c>
      <c r="AX30" s="394">
        <v>2080</v>
      </c>
      <c r="AY30" s="394">
        <v>32137</v>
      </c>
      <c r="AZ30" s="1">
        <v>26666</v>
      </c>
      <c r="BA30" s="1">
        <v>3517</v>
      </c>
      <c r="BB30" s="1">
        <v>0</v>
      </c>
      <c r="BC30" s="1">
        <v>1621</v>
      </c>
      <c r="BD30" s="1">
        <v>333</v>
      </c>
      <c r="BE30" s="393">
        <v>34495</v>
      </c>
      <c r="BF30" s="394">
        <v>1404</v>
      </c>
      <c r="BG30" s="394">
        <v>112</v>
      </c>
      <c r="BH30" s="394">
        <v>2684</v>
      </c>
      <c r="BI30" s="394">
        <v>31701</v>
      </c>
      <c r="BJ30" s="393">
        <v>38532</v>
      </c>
      <c r="BK30" s="394"/>
      <c r="BL30" s="394"/>
      <c r="BM30" s="394"/>
      <c r="BN30" s="394"/>
      <c r="BO30" s="393">
        <v>36278</v>
      </c>
      <c r="BP30" s="394">
        <v>2001</v>
      </c>
      <c r="BQ30" s="394">
        <v>43</v>
      </c>
      <c r="BR30" s="394">
        <v>2466</v>
      </c>
      <c r="BS30" s="394">
        <v>33769</v>
      </c>
      <c r="BT30" s="393">
        <v>33927</v>
      </c>
      <c r="BU30" s="394">
        <v>1842</v>
      </c>
      <c r="BV30" s="394">
        <v>309</v>
      </c>
      <c r="BW30" s="394">
        <v>940</v>
      </c>
      <c r="BX30" s="394">
        <v>24021</v>
      </c>
      <c r="BY30" s="1">
        <v>4425</v>
      </c>
      <c r="BZ30" s="1">
        <v>0</v>
      </c>
      <c r="CA30" s="1">
        <v>2605</v>
      </c>
      <c r="CB30" s="1">
        <v>399</v>
      </c>
      <c r="CC30" s="10">
        <v>69700</v>
      </c>
      <c r="CD30" s="3">
        <v>17322</v>
      </c>
      <c r="CE30" s="3">
        <v>565</v>
      </c>
      <c r="CF30" s="3">
        <v>940</v>
      </c>
      <c r="CG30" s="8">
        <v>51813</v>
      </c>
      <c r="CH30" s="3">
        <v>66006</v>
      </c>
      <c r="CI30" s="3">
        <v>11438</v>
      </c>
      <c r="CJ30" s="3">
        <v>653</v>
      </c>
      <c r="CK30" s="3">
        <v>5068</v>
      </c>
      <c r="CL30" s="8">
        <v>53915</v>
      </c>
      <c r="CM30" s="1">
        <v>51986</v>
      </c>
      <c r="CN30" s="3">
        <v>8896</v>
      </c>
      <c r="CO30" s="3">
        <v>365</v>
      </c>
      <c r="CP30" s="3">
        <v>4298</v>
      </c>
      <c r="CQ30" s="8">
        <v>41580</v>
      </c>
      <c r="CR30" s="3">
        <v>47251</v>
      </c>
      <c r="CS30" s="3">
        <v>8416</v>
      </c>
      <c r="CT30" s="3">
        <v>492</v>
      </c>
      <c r="CU30" s="3">
        <v>5258</v>
      </c>
      <c r="CV30" s="8">
        <v>38343</v>
      </c>
      <c r="CW30" s="3">
        <v>49367</v>
      </c>
      <c r="CX30" s="3">
        <v>6324</v>
      </c>
      <c r="CY30" s="3">
        <v>710</v>
      </c>
      <c r="CZ30" s="3">
        <v>5547</v>
      </c>
      <c r="DA30" s="3">
        <v>40963</v>
      </c>
      <c r="DB30" s="3">
        <v>48983</v>
      </c>
      <c r="DC30" s="3">
        <v>5992</v>
      </c>
      <c r="DD30" s="3">
        <v>399</v>
      </c>
      <c r="DE30" s="3">
        <v>4827</v>
      </c>
      <c r="DF30" s="39">
        <v>41257</v>
      </c>
      <c r="DG30" s="39">
        <v>41453</v>
      </c>
      <c r="DH30" s="39">
        <v>5656</v>
      </c>
      <c r="DI30" s="39">
        <v>399</v>
      </c>
      <c r="DJ30" s="39">
        <v>5492</v>
      </c>
      <c r="DK30" s="39">
        <v>33596</v>
      </c>
      <c r="DL30" s="39">
        <v>50050</v>
      </c>
      <c r="DM30" s="39">
        <v>8545</v>
      </c>
      <c r="DN30" s="39">
        <v>840</v>
      </c>
      <c r="DO30" s="39">
        <v>5140</v>
      </c>
      <c r="DP30" s="39">
        <v>39971</v>
      </c>
      <c r="DQ30" s="39">
        <v>43580</v>
      </c>
      <c r="DR30" s="39">
        <v>5353</v>
      </c>
      <c r="DS30" s="39">
        <v>123</v>
      </c>
      <c r="DT30" s="39">
        <v>4546</v>
      </c>
      <c r="DU30" s="39">
        <v>37158</v>
      </c>
      <c r="DV30" s="118">
        <v>42636</v>
      </c>
      <c r="DW30" s="39">
        <v>5313</v>
      </c>
      <c r="DX30" s="39">
        <v>690</v>
      </c>
      <c r="DY30" s="39">
        <v>4704</v>
      </c>
      <c r="DZ30" s="39">
        <v>35345</v>
      </c>
      <c r="EA30" s="118">
        <v>41547</v>
      </c>
      <c r="EB30" s="39"/>
      <c r="EC30" s="39"/>
      <c r="ED30" s="39"/>
      <c r="EE30" s="39"/>
      <c r="EF30" s="118">
        <v>39700</v>
      </c>
      <c r="EG30" s="39">
        <v>4283</v>
      </c>
      <c r="EH30" s="39">
        <v>258</v>
      </c>
      <c r="EI30" s="39">
        <v>4409</v>
      </c>
      <c r="EJ30" s="39">
        <v>32743</v>
      </c>
      <c r="EK30" s="118">
        <v>39700</v>
      </c>
      <c r="EL30" s="39">
        <v>4283</v>
      </c>
      <c r="EM30" s="39">
        <v>258</v>
      </c>
      <c r="EN30" s="39">
        <v>4409</v>
      </c>
      <c r="EO30" s="39">
        <v>32743</v>
      </c>
      <c r="EP30" s="118">
        <v>38284</v>
      </c>
      <c r="EQ30" s="39">
        <v>4713</v>
      </c>
      <c r="ER30" s="39">
        <v>358</v>
      </c>
      <c r="ES30" s="39">
        <v>4470</v>
      </c>
      <c r="ET30" s="1">
        <v>16692</v>
      </c>
      <c r="EU30" s="1">
        <v>4456</v>
      </c>
      <c r="EV30" s="1">
        <v>0</v>
      </c>
      <c r="EW30" s="1">
        <v>10064</v>
      </c>
      <c r="EX30" s="1">
        <v>1106</v>
      </c>
      <c r="EY30" s="10">
        <v>90951</v>
      </c>
      <c r="EZ30" s="3">
        <v>12287</v>
      </c>
      <c r="FA30" s="3">
        <v>753</v>
      </c>
      <c r="FB30" s="3">
        <v>8107</v>
      </c>
      <c r="FC30" s="201">
        <f t="shared" si="497"/>
        <v>77911</v>
      </c>
      <c r="FD30" s="174" t="s">
        <v>221</v>
      </c>
      <c r="FE30" s="175" t="s">
        <v>221</v>
      </c>
      <c r="FF30" s="175" t="s">
        <v>221</v>
      </c>
      <c r="FG30" s="175" t="s">
        <v>221</v>
      </c>
      <c r="FH30" s="174" t="s">
        <v>221</v>
      </c>
      <c r="FI30" s="175" t="s">
        <v>221</v>
      </c>
      <c r="FJ30" s="175" t="s">
        <v>221</v>
      </c>
      <c r="FK30" s="175" t="s">
        <v>221</v>
      </c>
      <c r="FL30" s="176" t="s">
        <v>221</v>
      </c>
      <c r="FM30" s="3">
        <v>568314</v>
      </c>
      <c r="FN30" s="3">
        <v>216683</v>
      </c>
      <c r="FO30" s="3">
        <v>11756</v>
      </c>
      <c r="FP30" s="3">
        <v>28344</v>
      </c>
      <c r="FQ30" s="8">
        <v>339875</v>
      </c>
      <c r="FR30" s="3">
        <v>678666</v>
      </c>
      <c r="FS30" s="3">
        <v>200647</v>
      </c>
      <c r="FT30" s="3">
        <v>11261</v>
      </c>
      <c r="FU30" s="3">
        <v>33375</v>
      </c>
      <c r="FV30" s="3">
        <v>466758</v>
      </c>
      <c r="FW30" s="127">
        <v>769475</v>
      </c>
      <c r="FX30" s="3">
        <v>218098</v>
      </c>
      <c r="FY30" s="3">
        <v>16328</v>
      </c>
      <c r="FZ30" s="3">
        <v>49528</v>
      </c>
      <c r="GA30" s="3">
        <v>45230</v>
      </c>
      <c r="GB30" s="10">
        <v>777356</v>
      </c>
      <c r="GC30" s="3">
        <v>235684</v>
      </c>
      <c r="GD30" s="3">
        <v>16471</v>
      </c>
      <c r="GE30" s="3">
        <v>525201</v>
      </c>
      <c r="GF30" s="3">
        <v>47155</v>
      </c>
      <c r="GG30" s="42">
        <v>785496</v>
      </c>
      <c r="GH30" s="40">
        <v>237805</v>
      </c>
      <c r="GI30" s="40">
        <v>16503</v>
      </c>
      <c r="GJ30" s="40">
        <v>531188</v>
      </c>
      <c r="GK30" s="40">
        <v>48722</v>
      </c>
      <c r="GL30" s="10">
        <v>826124</v>
      </c>
      <c r="GM30" s="3">
        <v>242046</v>
      </c>
      <c r="GN30" s="3">
        <v>12413</v>
      </c>
      <c r="GO30" s="3">
        <v>51430</v>
      </c>
      <c r="GP30" s="3">
        <v>429750</v>
      </c>
      <c r="GQ30" s="10">
        <v>838049.01600000006</v>
      </c>
      <c r="GR30" s="3">
        <v>243692.96000000002</v>
      </c>
      <c r="GS30" s="3">
        <v>13204.020999999999</v>
      </c>
      <c r="GT30" s="3">
        <v>53373.979999999996</v>
      </c>
      <c r="GU30" s="373">
        <f t="shared" si="498"/>
        <v>581152.03500000015</v>
      </c>
      <c r="GV30" s="3">
        <v>848885</v>
      </c>
      <c r="GW30" s="3">
        <v>233178</v>
      </c>
      <c r="GX30" s="3">
        <v>13911</v>
      </c>
      <c r="GY30" s="3">
        <v>54635</v>
      </c>
      <c r="GZ30" s="3">
        <v>585871</v>
      </c>
      <c r="HA30" s="3">
        <v>860062</v>
      </c>
      <c r="HB30" s="3">
        <v>236798</v>
      </c>
      <c r="HC30" s="3">
        <v>15890</v>
      </c>
      <c r="HD30" s="3">
        <v>57995</v>
      </c>
      <c r="HE30" s="3">
        <v>589851</v>
      </c>
      <c r="HF30" s="3">
        <v>893697</v>
      </c>
      <c r="HG30" s="3">
        <v>242391</v>
      </c>
      <c r="HH30" s="3">
        <v>18541</v>
      </c>
      <c r="HI30" s="3">
        <v>64002</v>
      </c>
      <c r="HJ30" s="3">
        <v>612579</v>
      </c>
      <c r="HK30" s="3">
        <v>895919</v>
      </c>
      <c r="HL30" s="3">
        <v>241164</v>
      </c>
      <c r="HM30" s="3">
        <v>18445</v>
      </c>
      <c r="HN30" s="3">
        <v>66660</v>
      </c>
      <c r="HO30" s="3">
        <v>609700</v>
      </c>
      <c r="HP30" s="10">
        <v>911274</v>
      </c>
      <c r="HQ30" s="3">
        <v>236519</v>
      </c>
      <c r="HR30" s="3">
        <v>16049</v>
      </c>
      <c r="HS30" s="3">
        <v>66871</v>
      </c>
      <c r="HT30" s="3">
        <v>634584</v>
      </c>
      <c r="HU30" s="394">
        <v>380604</v>
      </c>
      <c r="HV30" s="1">
        <v>77932</v>
      </c>
      <c r="HW30" s="1">
        <v>0</v>
      </c>
      <c r="HX30" s="1">
        <v>169459</v>
      </c>
      <c r="HY30" s="1">
        <v>6589</v>
      </c>
      <c r="HZ30" s="10">
        <v>920613</v>
      </c>
      <c r="IA30" s="3">
        <v>235081</v>
      </c>
      <c r="IB30" s="3">
        <v>14851</v>
      </c>
      <c r="IC30" s="3">
        <v>69126</v>
      </c>
      <c r="ID30" s="3">
        <v>642632</v>
      </c>
      <c r="IE30" s="399">
        <v>915510</v>
      </c>
      <c r="IF30" s="5"/>
      <c r="IG30" s="5"/>
      <c r="IH30" s="5"/>
      <c r="II30" s="5"/>
      <c r="IJ30" s="399">
        <v>920690</v>
      </c>
      <c r="IK30" s="5">
        <v>230743</v>
      </c>
      <c r="IL30" s="5">
        <v>18096</v>
      </c>
      <c r="IM30" s="5">
        <v>71006</v>
      </c>
      <c r="IN30" s="5">
        <v>647948</v>
      </c>
      <c r="IO30" s="399">
        <v>949476</v>
      </c>
      <c r="IP30" s="5">
        <v>229416</v>
      </c>
      <c r="IQ30" s="5">
        <v>18595</v>
      </c>
      <c r="IR30" s="5">
        <v>77879</v>
      </c>
      <c r="IS30" s="5">
        <v>688139</v>
      </c>
      <c r="IT30" s="1">
        <v>386552</v>
      </c>
      <c r="IU30" s="1">
        <v>85242</v>
      </c>
      <c r="IV30" s="1">
        <v>0</v>
      </c>
      <c r="IW30" s="1">
        <v>199339</v>
      </c>
      <c r="IX30" s="1">
        <v>17006</v>
      </c>
      <c r="IY30" s="380" t="s">
        <v>221</v>
      </c>
      <c r="IZ30" s="188" t="s">
        <v>221</v>
      </c>
      <c r="JA30" s="188" t="s">
        <v>221</v>
      </c>
      <c r="JB30" s="188" t="s">
        <v>221</v>
      </c>
      <c r="JC30" s="635" t="s">
        <v>221</v>
      </c>
      <c r="JD30" s="5">
        <v>201997</v>
      </c>
      <c r="JE30" s="5">
        <v>84167</v>
      </c>
      <c r="JF30" s="5">
        <v>6062</v>
      </c>
      <c r="JG30" s="5">
        <v>11670</v>
      </c>
      <c r="JH30" s="408">
        <v>111768</v>
      </c>
      <c r="JI30" s="5">
        <v>239793</v>
      </c>
      <c r="JJ30" s="5">
        <v>75408</v>
      </c>
      <c r="JK30" s="5">
        <v>5713</v>
      </c>
      <c r="JL30" s="5">
        <v>13559</v>
      </c>
      <c r="JM30" s="408">
        <v>158672</v>
      </c>
      <c r="JN30" s="5">
        <v>260291</v>
      </c>
      <c r="JO30" s="5">
        <v>74642</v>
      </c>
      <c r="JP30" s="5">
        <v>7188</v>
      </c>
      <c r="JQ30" s="5">
        <v>16786</v>
      </c>
      <c r="JR30" s="5">
        <v>173472</v>
      </c>
      <c r="JS30" s="5">
        <v>293545</v>
      </c>
      <c r="JT30" s="5">
        <v>87472</v>
      </c>
      <c r="JU30" s="5">
        <v>6338</v>
      </c>
      <c r="JV30" s="5">
        <v>20460</v>
      </c>
      <c r="JW30" s="408">
        <v>199735</v>
      </c>
      <c r="JX30" s="5">
        <v>298839.18400000001</v>
      </c>
      <c r="JY30" s="5">
        <v>88825.060000000012</v>
      </c>
      <c r="JZ30" s="5">
        <v>7208.5309999999999</v>
      </c>
      <c r="KA30" s="5">
        <v>21435.579999999998</v>
      </c>
      <c r="KB30" s="408">
        <v>202805.59300000002</v>
      </c>
      <c r="KC30" s="5">
        <v>303741</v>
      </c>
      <c r="KD30" s="5">
        <v>85125</v>
      </c>
      <c r="KE30" s="5">
        <v>7473</v>
      </c>
      <c r="KF30" s="5">
        <v>22166</v>
      </c>
      <c r="KG30" s="439">
        <v>204944</v>
      </c>
      <c r="KH30" s="439">
        <v>308151</v>
      </c>
      <c r="KI30" s="439">
        <v>85335</v>
      </c>
      <c r="KJ30" s="439">
        <v>8386</v>
      </c>
      <c r="KK30" s="439">
        <v>23955</v>
      </c>
      <c r="KL30" s="439">
        <v>207340</v>
      </c>
      <c r="KM30" s="439">
        <v>313691</v>
      </c>
      <c r="KN30" s="439">
        <v>85278</v>
      </c>
      <c r="KO30" s="439">
        <v>10893</v>
      </c>
      <c r="KP30" s="439">
        <v>25247</v>
      </c>
      <c r="KQ30" s="439">
        <v>209457</v>
      </c>
      <c r="KR30" s="439">
        <v>319157</v>
      </c>
      <c r="KS30" s="439">
        <v>83561</v>
      </c>
      <c r="KT30" s="439">
        <v>8556</v>
      </c>
      <c r="KU30" s="439">
        <v>27511</v>
      </c>
      <c r="KV30" s="439">
        <v>216114</v>
      </c>
      <c r="KW30" s="630">
        <v>316938</v>
      </c>
      <c r="KX30" s="439">
        <v>83083</v>
      </c>
      <c r="KY30" s="439">
        <v>7513</v>
      </c>
      <c r="KZ30" s="439">
        <v>28868</v>
      </c>
      <c r="LA30" s="439">
        <v>215112</v>
      </c>
      <c r="LB30" s="652">
        <v>311439</v>
      </c>
      <c r="LC30" s="653">
        <v>76434</v>
      </c>
      <c r="LD30" s="653">
        <v>6470</v>
      </c>
      <c r="LE30" s="653">
        <v>28677</v>
      </c>
      <c r="LF30" s="653">
        <v>215757</v>
      </c>
      <c r="LG30" s="652">
        <v>315209</v>
      </c>
      <c r="LH30" s="653"/>
      <c r="LI30" s="439"/>
      <c r="LJ30" s="439"/>
      <c r="LK30" s="439"/>
      <c r="LL30" s="652">
        <v>312060</v>
      </c>
      <c r="LM30" s="653">
        <v>73799</v>
      </c>
      <c r="LN30" s="653">
        <v>9486</v>
      </c>
      <c r="LO30" s="653">
        <v>27175</v>
      </c>
      <c r="LP30" s="653">
        <v>219638</v>
      </c>
      <c r="LQ30" s="652">
        <v>319700</v>
      </c>
      <c r="LR30" s="653">
        <v>73531</v>
      </c>
      <c r="LS30" s="653">
        <v>8096</v>
      </c>
      <c r="LT30" s="653">
        <v>29184</v>
      </c>
      <c r="LU30" s="653">
        <v>234071</v>
      </c>
      <c r="LV30" s="1">
        <v>127365</v>
      </c>
      <c r="LW30" s="1">
        <v>27420</v>
      </c>
      <c r="LX30" s="1">
        <v>0</v>
      </c>
      <c r="LY30" s="1">
        <v>72948</v>
      </c>
      <c r="LZ30" s="1">
        <v>6338</v>
      </c>
      <c r="MA30" s="10">
        <v>59116</v>
      </c>
      <c r="MB30" s="3">
        <v>21117</v>
      </c>
      <c r="MC30" s="3">
        <v>1018</v>
      </c>
      <c r="MD30" s="3">
        <v>3076</v>
      </c>
      <c r="ME30" s="8">
        <v>36981</v>
      </c>
      <c r="MF30" s="3">
        <v>64701</v>
      </c>
      <c r="MG30" s="3">
        <v>17204</v>
      </c>
      <c r="MH30" s="3">
        <v>1307</v>
      </c>
      <c r="MI30" s="3">
        <v>3633</v>
      </c>
      <c r="MJ30" s="8">
        <v>46190</v>
      </c>
      <c r="MK30" s="3">
        <v>84804</v>
      </c>
      <c r="ML30" s="3">
        <v>20776</v>
      </c>
      <c r="MM30" s="3">
        <v>1941</v>
      </c>
      <c r="MN30" s="3">
        <v>4521</v>
      </c>
      <c r="MO30" s="3">
        <v>60739</v>
      </c>
      <c r="MP30" s="10">
        <v>88030</v>
      </c>
      <c r="MQ30" s="3">
        <v>23643</v>
      </c>
      <c r="MR30" s="3">
        <v>2075</v>
      </c>
      <c r="MS30" s="3">
        <v>5424</v>
      </c>
      <c r="MT30" s="3">
        <v>62312</v>
      </c>
      <c r="MU30" s="10"/>
      <c r="MV30" s="3"/>
      <c r="MW30" s="3"/>
      <c r="MX30" s="3"/>
      <c r="MY30" s="8"/>
      <c r="MZ30" s="3">
        <v>92020</v>
      </c>
      <c r="NA30" s="3">
        <v>23636</v>
      </c>
      <c r="NB30" s="3">
        <v>2483</v>
      </c>
      <c r="NC30" s="3">
        <v>6345</v>
      </c>
      <c r="ND30" s="3">
        <v>64254</v>
      </c>
      <c r="NE30" s="3">
        <v>96373</v>
      </c>
      <c r="NF30" s="3">
        <v>24458</v>
      </c>
      <c r="NG30" s="3">
        <v>2403</v>
      </c>
      <c r="NH30" s="3">
        <v>7046</v>
      </c>
      <c r="NI30" s="3">
        <v>67490</v>
      </c>
      <c r="NJ30" s="3">
        <v>102149</v>
      </c>
      <c r="NK30" s="3">
        <v>23132</v>
      </c>
      <c r="NL30" s="3">
        <v>3180</v>
      </c>
      <c r="NM30" s="3">
        <v>6102</v>
      </c>
      <c r="NN30" s="3">
        <v>256514</v>
      </c>
      <c r="NO30" s="3">
        <v>105951</v>
      </c>
      <c r="NP30" s="3">
        <v>22761</v>
      </c>
      <c r="NQ30" s="3">
        <v>2061</v>
      </c>
      <c r="NR30" s="3">
        <v>6918</v>
      </c>
      <c r="NS30" s="3">
        <v>78914</v>
      </c>
      <c r="NT30" s="3">
        <v>104261</v>
      </c>
      <c r="NU30" s="3">
        <v>25548</v>
      </c>
      <c r="NV30" s="3">
        <v>1634</v>
      </c>
      <c r="NW30" s="3">
        <v>9420</v>
      </c>
      <c r="NX30" s="3">
        <v>73487</v>
      </c>
      <c r="NY30" s="10">
        <v>106987</v>
      </c>
      <c r="NZ30" s="3">
        <v>23103</v>
      </c>
      <c r="OA30" s="3">
        <v>1883</v>
      </c>
      <c r="OB30" s="3">
        <v>10309</v>
      </c>
      <c r="OC30" s="3">
        <v>77847</v>
      </c>
      <c r="OD30" s="10">
        <v>110557</v>
      </c>
      <c r="OE30" s="3"/>
      <c r="OF30" s="3"/>
      <c r="OG30" s="3"/>
      <c r="OH30" s="3"/>
      <c r="OI30" s="10">
        <v>106096</v>
      </c>
      <c r="OJ30" s="3">
        <v>21098</v>
      </c>
      <c r="OK30" s="3">
        <v>3389</v>
      </c>
      <c r="OL30" s="3">
        <v>7912</v>
      </c>
      <c r="OM30" s="3">
        <v>79936</v>
      </c>
      <c r="ON30" s="10">
        <v>112809</v>
      </c>
      <c r="OO30" s="3">
        <v>21494</v>
      </c>
      <c r="OP30" s="3">
        <v>2551</v>
      </c>
      <c r="OQ30" s="3">
        <v>8837</v>
      </c>
      <c r="OR30" s="3">
        <v>2225</v>
      </c>
      <c r="OS30" s="1">
        <v>52877</v>
      </c>
      <c r="OT30" s="1">
        <v>8286</v>
      </c>
      <c r="OU30" s="1">
        <v>0</v>
      </c>
      <c r="OV30" s="1">
        <v>24014</v>
      </c>
      <c r="OW30" s="1">
        <v>2225</v>
      </c>
      <c r="OX30" s="402">
        <f t="shared" si="499"/>
        <v>328113</v>
      </c>
      <c r="OY30" s="382">
        <f t="shared" si="500"/>
        <v>76171</v>
      </c>
      <c r="OZ30" s="382">
        <f t="shared" si="501"/>
        <v>2332</v>
      </c>
      <c r="PA30" s="382">
        <f t="shared" si="502"/>
        <v>66250</v>
      </c>
      <c r="PB30" s="382">
        <f t="shared" si="503"/>
        <v>106904</v>
      </c>
      <c r="PC30" s="402">
        <f t="shared" si="504"/>
        <v>274742</v>
      </c>
      <c r="PD30" s="382">
        <f t="shared" si="505"/>
        <v>96244</v>
      </c>
      <c r="PE30" s="382">
        <f t="shared" si="506"/>
        <v>3852</v>
      </c>
      <c r="PF30" s="382">
        <f t="shared" si="507"/>
        <v>9093</v>
      </c>
      <c r="PG30" s="382">
        <f t="shared" si="508"/>
        <v>174646</v>
      </c>
      <c r="PH30" s="10">
        <v>311603</v>
      </c>
      <c r="PI30" s="3">
        <v>107624</v>
      </c>
      <c r="PJ30" s="3">
        <v>4942</v>
      </c>
      <c r="PK30" s="3">
        <v>13994</v>
      </c>
      <c r="PL30" s="3">
        <v>199037</v>
      </c>
      <c r="PM30" s="3">
        <v>332967</v>
      </c>
      <c r="PN30" s="3">
        <v>115811</v>
      </c>
      <c r="PO30" s="3">
        <v>6553</v>
      </c>
      <c r="PP30" s="3">
        <v>12211</v>
      </c>
      <c r="PQ30" s="3">
        <v>206363</v>
      </c>
      <c r="PR30" s="399"/>
      <c r="PS30" s="5"/>
      <c r="PT30" s="5"/>
      <c r="PU30" s="5"/>
      <c r="PV30" s="5"/>
      <c r="PW30" s="5">
        <v>370409</v>
      </c>
      <c r="PX30" s="5">
        <v>122769</v>
      </c>
      <c r="PY30" s="5">
        <v>6456</v>
      </c>
      <c r="PZ30" s="5">
        <v>17975</v>
      </c>
      <c r="QA30" s="408">
        <v>235192</v>
      </c>
      <c r="QB30" s="5">
        <v>383465</v>
      </c>
      <c r="QC30" s="5">
        <v>126324</v>
      </c>
      <c r="QD30" s="5">
        <v>6902</v>
      </c>
      <c r="QE30" s="5">
        <v>19990</v>
      </c>
      <c r="QF30" s="5">
        <v>243527</v>
      </c>
      <c r="QG30" s="5">
        <v>404488</v>
      </c>
      <c r="QH30" s="5">
        <v>133088</v>
      </c>
      <c r="QI30" s="5">
        <v>7868</v>
      </c>
      <c r="QJ30" s="5">
        <v>21238</v>
      </c>
      <c r="QK30" s="5">
        <v>256514</v>
      </c>
      <c r="QL30" s="399">
        <v>415145</v>
      </c>
      <c r="QM30" s="5">
        <v>135562</v>
      </c>
      <c r="QN30" s="5">
        <v>7436</v>
      </c>
      <c r="QO30" s="5">
        <v>22751</v>
      </c>
      <c r="QP30" s="5">
        <v>262538</v>
      </c>
      <c r="QQ30" s="399">
        <v>420854</v>
      </c>
      <c r="QR30" s="5">
        <v>134882</v>
      </c>
      <c r="QS30" s="5">
        <v>5785</v>
      </c>
      <c r="QT30" s="5">
        <v>21641</v>
      </c>
      <c r="QU30" s="5">
        <v>271395</v>
      </c>
      <c r="QV30" s="399">
        <v>435667</v>
      </c>
      <c r="QW30" s="5">
        <v>135964</v>
      </c>
      <c r="QX30" s="5">
        <v>7341</v>
      </c>
      <c r="QY30" s="5">
        <v>25842</v>
      </c>
      <c r="QZ30" s="5">
        <v>281248</v>
      </c>
      <c r="RA30" s="399">
        <v>444130</v>
      </c>
      <c r="RB30" s="5"/>
      <c r="RC30" s="5"/>
      <c r="RD30" s="5"/>
      <c r="RE30" s="5"/>
      <c r="RF30" s="5">
        <v>441305</v>
      </c>
      <c r="RG30" s="5">
        <v>130749</v>
      </c>
      <c r="RH30" s="5">
        <v>9099</v>
      </c>
      <c r="RI30" s="5">
        <v>25842</v>
      </c>
      <c r="RJ30" s="5">
        <v>292589</v>
      </c>
      <c r="RK30" s="5">
        <v>473490</v>
      </c>
      <c r="RL30" s="5">
        <v>138028</v>
      </c>
      <c r="RM30" s="5">
        <v>10176</v>
      </c>
      <c r="RN30" s="5">
        <v>30524</v>
      </c>
      <c r="RO30" s="5">
        <v>319222</v>
      </c>
      <c r="RP30" s="1">
        <v>210037</v>
      </c>
      <c r="RQ30" s="1">
        <v>17708</v>
      </c>
      <c r="RR30" s="1">
        <v>0</v>
      </c>
      <c r="RS30" s="1">
        <v>84220</v>
      </c>
      <c r="RT30" s="1">
        <v>7257</v>
      </c>
      <c r="RU30" s="10">
        <v>111837</v>
      </c>
      <c r="RV30" s="3">
        <v>45632</v>
      </c>
      <c r="RW30" s="3">
        <v>1314</v>
      </c>
      <c r="RX30" s="3">
        <v>2968</v>
      </c>
      <c r="RY30" s="3">
        <v>64891</v>
      </c>
      <c r="RZ30" s="10">
        <v>142493</v>
      </c>
      <c r="SA30" s="3">
        <v>46054</v>
      </c>
      <c r="SB30" s="3">
        <v>1684</v>
      </c>
      <c r="SC30" s="3">
        <v>3757</v>
      </c>
      <c r="SD30" s="3">
        <v>94755</v>
      </c>
      <c r="SE30" s="10">
        <v>165672</v>
      </c>
      <c r="SF30" s="3">
        <v>56265</v>
      </c>
      <c r="SG30" s="3">
        <v>2895</v>
      </c>
      <c r="SH30" s="3">
        <v>5324</v>
      </c>
      <c r="SI30" s="3">
        <v>104566</v>
      </c>
      <c r="SJ30" s="10">
        <v>178875</v>
      </c>
      <c r="SK30" s="3">
        <v>61405</v>
      </c>
      <c r="SL30" s="3">
        <v>2410</v>
      </c>
      <c r="SM30" s="3">
        <v>7007</v>
      </c>
      <c r="SN30" s="3">
        <v>115060</v>
      </c>
      <c r="SO30" s="10">
        <v>180974.04</v>
      </c>
      <c r="SP30" s="3">
        <v>59899.32</v>
      </c>
      <c r="SQ30" s="3">
        <v>2370.31</v>
      </c>
      <c r="SR30" s="3">
        <v>7370.4</v>
      </c>
      <c r="SS30" s="3">
        <v>118704.41</v>
      </c>
      <c r="ST30" s="10">
        <v>183988</v>
      </c>
      <c r="SU30" s="3">
        <v>58530</v>
      </c>
      <c r="SV30" s="3">
        <v>2583</v>
      </c>
      <c r="SW30" s="3">
        <v>7866</v>
      </c>
      <c r="SX30" s="3">
        <v>120079</v>
      </c>
      <c r="SY30" s="3">
        <v>188778</v>
      </c>
      <c r="SZ30" s="3">
        <v>59894</v>
      </c>
      <c r="TA30" s="3">
        <v>2999</v>
      </c>
      <c r="TB30" s="3">
        <v>9069</v>
      </c>
      <c r="TC30" s="3">
        <v>122732</v>
      </c>
      <c r="TD30" s="3">
        <v>200315</v>
      </c>
      <c r="TE30" s="3">
        <v>66065</v>
      </c>
      <c r="TF30" s="3">
        <v>3224</v>
      </c>
      <c r="TG30" s="3">
        <v>11457</v>
      </c>
      <c r="TH30" s="3">
        <v>127752</v>
      </c>
      <c r="TI30" s="3">
        <v>205033</v>
      </c>
      <c r="TJ30" s="3">
        <v>67273</v>
      </c>
      <c r="TK30" s="3">
        <v>3579</v>
      </c>
      <c r="TL30" s="3">
        <v>11006</v>
      </c>
      <c r="TM30" s="3">
        <v>129349</v>
      </c>
      <c r="TN30" s="3">
        <v>211850</v>
      </c>
      <c r="TO30" s="3">
        <v>63863</v>
      </c>
      <c r="TP30" s="3">
        <v>3135</v>
      </c>
      <c r="TQ30" s="3">
        <v>8139</v>
      </c>
      <c r="TR30" s="3">
        <v>141800</v>
      </c>
      <c r="TS30" s="10">
        <v>216993</v>
      </c>
      <c r="TT30" s="3">
        <v>65640</v>
      </c>
      <c r="TU30" s="3">
        <v>3758</v>
      </c>
      <c r="TV30" s="3">
        <v>10578</v>
      </c>
      <c r="TW30" s="3">
        <v>143508</v>
      </c>
      <c r="TX30" s="10">
        <v>218828</v>
      </c>
      <c r="TY30" s="3"/>
      <c r="TZ30" s="3"/>
      <c r="UA30" s="3"/>
      <c r="UB30" s="3"/>
      <c r="UC30" s="10">
        <v>219979</v>
      </c>
      <c r="UD30" s="3">
        <v>60567</v>
      </c>
      <c r="UE30" s="3">
        <v>3619</v>
      </c>
      <c r="UF30" s="3">
        <v>12081</v>
      </c>
      <c r="UG30" s="3">
        <v>151354</v>
      </c>
      <c r="UH30" s="10">
        <v>226849</v>
      </c>
      <c r="UI30" s="3">
        <v>65489</v>
      </c>
      <c r="UJ30" s="3">
        <v>3892</v>
      </c>
      <c r="UK30" s="3">
        <v>12523</v>
      </c>
      <c r="UL30" s="3">
        <v>155370</v>
      </c>
      <c r="UM30" s="1">
        <v>107375</v>
      </c>
      <c r="UN30" s="1">
        <v>6573</v>
      </c>
      <c r="UO30" s="1">
        <v>0</v>
      </c>
      <c r="UP30" s="1">
        <v>38181</v>
      </c>
      <c r="UQ30" s="1">
        <v>5032</v>
      </c>
      <c r="UR30" s="588">
        <f t="shared" si="509"/>
        <v>15612</v>
      </c>
      <c r="US30" s="40">
        <v>9460</v>
      </c>
      <c r="UT30" s="40">
        <v>6152</v>
      </c>
      <c r="UU30" s="588">
        <f t="shared" si="510"/>
        <v>12066</v>
      </c>
      <c r="UV30" s="40">
        <v>6857</v>
      </c>
      <c r="UW30" s="40">
        <v>5209</v>
      </c>
      <c r="UX30" s="42">
        <v>31162</v>
      </c>
      <c r="UY30" s="588">
        <f t="shared" si="511"/>
        <v>19031</v>
      </c>
      <c r="UZ30" s="588">
        <f t="shared" si="512"/>
        <v>12131</v>
      </c>
      <c r="VA30" s="588">
        <f t="shared" si="513"/>
        <v>30025</v>
      </c>
      <c r="VB30" s="40">
        <v>18342</v>
      </c>
      <c r="VC30" s="40">
        <v>11683</v>
      </c>
      <c r="VD30" s="588">
        <f t="shared" si="514"/>
        <v>295</v>
      </c>
      <c r="VE30" s="40">
        <v>153</v>
      </c>
      <c r="VF30" s="40">
        <v>142</v>
      </c>
      <c r="VG30" s="588">
        <f t="shared" si="515"/>
        <v>842</v>
      </c>
      <c r="VH30" s="40">
        <v>536</v>
      </c>
      <c r="VI30" s="40">
        <v>306</v>
      </c>
      <c r="VJ30" s="42">
        <v>111415</v>
      </c>
      <c r="VK30" s="588">
        <f t="shared" si="516"/>
        <v>63016</v>
      </c>
      <c r="VL30" s="588">
        <f t="shared" si="517"/>
        <v>48399</v>
      </c>
      <c r="VM30" s="240">
        <f t="shared" si="518"/>
        <v>52053</v>
      </c>
      <c r="VN30" s="40">
        <v>31750</v>
      </c>
      <c r="VO30" s="40">
        <v>20303</v>
      </c>
      <c r="VP30" s="40">
        <v>31266</v>
      </c>
      <c r="VQ30" s="40">
        <v>28096</v>
      </c>
      <c r="VR30" s="240">
        <f t="shared" si="519"/>
        <v>866</v>
      </c>
      <c r="VS30" s="40">
        <v>552</v>
      </c>
      <c r="VT30" s="40">
        <v>314</v>
      </c>
      <c r="VU30" s="240">
        <f t="shared" si="520"/>
        <v>2662</v>
      </c>
      <c r="VV30" s="40">
        <v>1347</v>
      </c>
      <c r="VW30" s="40">
        <v>1315</v>
      </c>
      <c r="VX30" s="233">
        <f t="shared" si="521"/>
        <v>55834</v>
      </c>
      <c r="VY30" s="233">
        <f t="shared" si="522"/>
        <v>29367</v>
      </c>
      <c r="VZ30" s="233">
        <f t="shared" si="523"/>
        <v>26467</v>
      </c>
      <c r="WA30" s="234">
        <f t="shared" si="524"/>
        <v>385</v>
      </c>
      <c r="WB30" s="234">
        <f t="shared" si="525"/>
        <v>220</v>
      </c>
      <c r="WC30" s="234">
        <f t="shared" si="526"/>
        <v>165</v>
      </c>
      <c r="WD30" s="40">
        <v>55449</v>
      </c>
      <c r="WE30" s="40">
        <v>29147</v>
      </c>
      <c r="WF30" s="40">
        <v>26302</v>
      </c>
      <c r="WG30" s="12">
        <f t="shared" si="527"/>
        <v>268997</v>
      </c>
      <c r="WH30" s="588">
        <f t="shared" si="528"/>
        <v>86582</v>
      </c>
      <c r="WI30" s="588">
        <f t="shared" si="529"/>
        <v>75842</v>
      </c>
      <c r="WJ30" s="11">
        <f t="shared" si="530"/>
        <v>55054</v>
      </c>
      <c r="WK30" s="90">
        <f t="shared" si="531"/>
        <v>71808</v>
      </c>
      <c r="WL30" s="40">
        <v>41575</v>
      </c>
      <c r="WM30" s="40">
        <v>30233</v>
      </c>
      <c r="WN30" s="40">
        <v>45007</v>
      </c>
      <c r="WO30" s="40">
        <v>45609</v>
      </c>
      <c r="WP30" s="11">
        <f t="shared" si="532"/>
        <v>1314</v>
      </c>
      <c r="WQ30" s="90">
        <f t="shared" si="533"/>
        <v>1837</v>
      </c>
      <c r="WR30" s="40">
        <v>954</v>
      </c>
      <c r="WS30" s="40">
        <v>883</v>
      </c>
      <c r="WT30" s="11">
        <f t="shared" si="534"/>
        <v>3965</v>
      </c>
      <c r="WU30" s="40">
        <v>2053</v>
      </c>
      <c r="WV30" s="40">
        <v>1912</v>
      </c>
      <c r="WW30" s="9">
        <f t="shared" si="535"/>
        <v>69923</v>
      </c>
      <c r="WX30" s="235">
        <f t="shared" si="536"/>
        <v>42000</v>
      </c>
      <c r="WY30" s="235">
        <f t="shared" si="537"/>
        <v>42814</v>
      </c>
      <c r="WZ30" s="236">
        <f t="shared" si="538"/>
        <v>213</v>
      </c>
      <c r="XA30" s="236">
        <f t="shared" si="539"/>
        <v>119</v>
      </c>
      <c r="XB30" s="236">
        <f t="shared" si="540"/>
        <v>94</v>
      </c>
      <c r="XC30" s="589">
        <f t="shared" si="541"/>
        <v>84601</v>
      </c>
      <c r="XD30" s="589">
        <f t="shared" si="542"/>
        <v>41881</v>
      </c>
      <c r="XE30" s="589">
        <f t="shared" si="543"/>
        <v>42720</v>
      </c>
      <c r="XF30" s="40">
        <v>296</v>
      </c>
      <c r="XG30" s="40">
        <v>218</v>
      </c>
      <c r="XH30" s="40">
        <v>41585</v>
      </c>
      <c r="XI30" s="40">
        <v>42502</v>
      </c>
      <c r="XJ30" s="590">
        <v>210041</v>
      </c>
      <c r="XK30" s="40">
        <v>106220</v>
      </c>
      <c r="XL30" s="40">
        <v>103821</v>
      </c>
      <c r="XM30" s="5">
        <f t="shared" si="544"/>
        <v>79040</v>
      </c>
      <c r="XN30" s="5">
        <v>43565</v>
      </c>
      <c r="XO30" s="5">
        <v>35475</v>
      </c>
      <c r="XP30" s="84">
        <f t="shared" si="545"/>
        <v>77212</v>
      </c>
      <c r="XQ30" s="40">
        <v>42699</v>
      </c>
      <c r="XR30" s="40">
        <v>34513</v>
      </c>
      <c r="XS30" s="5">
        <f t="shared" si="546"/>
        <v>2545</v>
      </c>
      <c r="XT30" s="40">
        <v>1487</v>
      </c>
      <c r="XU30" s="40">
        <v>1058</v>
      </c>
      <c r="XV30" s="5">
        <f t="shared" si="547"/>
        <v>5460</v>
      </c>
      <c r="XW30" s="40">
        <v>2462</v>
      </c>
      <c r="XX30" s="40">
        <v>2998</v>
      </c>
      <c r="XY30" s="84">
        <f t="shared" si="548"/>
        <v>128456</v>
      </c>
      <c r="XZ30" s="84">
        <f t="shared" si="549"/>
        <v>61168</v>
      </c>
      <c r="YA30" s="84">
        <f t="shared" si="550"/>
        <v>67288</v>
      </c>
      <c r="YB30" s="587">
        <v>248163</v>
      </c>
      <c r="YC30" s="40">
        <v>95035</v>
      </c>
      <c r="YD30" s="40">
        <v>4612</v>
      </c>
      <c r="YE30" s="40">
        <v>7690</v>
      </c>
      <c r="YF30" s="5">
        <v>145624</v>
      </c>
      <c r="YG30" s="10">
        <v>253752</v>
      </c>
      <c r="YH30" s="3">
        <v>101007</v>
      </c>
      <c r="YI30" s="3">
        <v>4641</v>
      </c>
      <c r="YJ30" s="3">
        <v>148104</v>
      </c>
      <c r="YK30" s="3">
        <v>8921</v>
      </c>
      <c r="YL30" s="10">
        <v>255486</v>
      </c>
      <c r="YM30" s="3">
        <v>102040</v>
      </c>
      <c r="YN30" s="3">
        <v>4596</v>
      </c>
      <c r="YO30" s="3">
        <v>148850</v>
      </c>
      <c r="YP30" s="3">
        <v>9745</v>
      </c>
      <c r="YQ30" s="10">
        <v>268003</v>
      </c>
      <c r="YR30" s="3">
        <v>103006</v>
      </c>
      <c r="YS30" s="3">
        <v>3479</v>
      </c>
      <c r="YT30" s="3">
        <v>161518</v>
      </c>
      <c r="YU30" s="3">
        <v>10468</v>
      </c>
      <c r="YV30" s="10">
        <v>272853.16800000001</v>
      </c>
      <c r="YW30" s="3">
        <v>102136.02</v>
      </c>
      <c r="YX30" s="3">
        <v>3513.6359999999995</v>
      </c>
      <c r="YY30" s="3">
        <v>11178.439999999999</v>
      </c>
      <c r="YZ30" s="3">
        <v>167203.51199999999</v>
      </c>
      <c r="ZA30" s="3">
        <v>278389</v>
      </c>
      <c r="ZB30" s="3">
        <v>99133</v>
      </c>
      <c r="ZC30" s="3">
        <v>3973</v>
      </c>
      <c r="ZD30" s="3">
        <v>11630</v>
      </c>
      <c r="ZE30" s="1">
        <v>170938</v>
      </c>
      <c r="ZF30" s="1">
        <v>287092</v>
      </c>
      <c r="ZG30" s="1">
        <v>101866</v>
      </c>
      <c r="ZH30" s="1">
        <v>4499</v>
      </c>
      <c r="ZI30" s="1">
        <v>12944</v>
      </c>
      <c r="ZJ30" s="1">
        <v>176037</v>
      </c>
      <c r="ZK30" s="1">
        <v>302339</v>
      </c>
      <c r="ZL30" s="1">
        <v>109956</v>
      </c>
      <c r="ZM30" s="1">
        <v>4688</v>
      </c>
      <c r="ZN30" s="1">
        <v>15136</v>
      </c>
      <c r="ZO30" s="1">
        <v>182361</v>
      </c>
      <c r="ZP30" s="1">
        <v>309194</v>
      </c>
      <c r="ZQ30" s="1">
        <v>112801</v>
      </c>
      <c r="ZR30" s="1">
        <v>5375</v>
      </c>
      <c r="ZS30" s="1">
        <v>15833</v>
      </c>
      <c r="ZT30" s="1">
        <v>183624</v>
      </c>
      <c r="ZU30" s="1">
        <v>316593</v>
      </c>
      <c r="ZV30" s="1">
        <v>109334</v>
      </c>
      <c r="ZW30" s="1">
        <v>4151</v>
      </c>
      <c r="ZX30" s="1">
        <v>12221</v>
      </c>
      <c r="ZY30" s="1">
        <v>197908</v>
      </c>
      <c r="ZZ30" s="394">
        <v>145967</v>
      </c>
      <c r="AAA30" s="1">
        <v>8227</v>
      </c>
      <c r="AAB30" s="1">
        <v>0</v>
      </c>
      <c r="AAC30" s="1">
        <v>39621</v>
      </c>
      <c r="AAD30" s="1">
        <v>1118</v>
      </c>
      <c r="AAE30" s="50">
        <v>328680</v>
      </c>
      <c r="AAF30" s="1">
        <v>112861</v>
      </c>
      <c r="AAG30" s="1">
        <v>5458</v>
      </c>
      <c r="AAH30" s="1">
        <v>15533</v>
      </c>
      <c r="AAI30" s="1">
        <v>203401</v>
      </c>
      <c r="AAJ30" s="50">
        <v>333573</v>
      </c>
      <c r="AAK30" s="1"/>
      <c r="AAL30" s="1"/>
      <c r="AAM30" s="1"/>
      <c r="AAN30" s="1"/>
      <c r="AAO30" s="68">
        <v>335209</v>
      </c>
      <c r="AAP30" s="37">
        <v>109651</v>
      </c>
      <c r="AAQ30" s="37">
        <v>5710</v>
      </c>
      <c r="AAR30" s="37">
        <v>17930</v>
      </c>
      <c r="AAS30" s="37">
        <v>212653</v>
      </c>
      <c r="AAT30" s="68">
        <v>360681</v>
      </c>
      <c r="AAU30" s="37">
        <v>116534</v>
      </c>
      <c r="AAV30" s="37">
        <v>7625</v>
      </c>
      <c r="AAW30" s="37">
        <v>21687</v>
      </c>
      <c r="AAX30" s="37">
        <v>231820</v>
      </c>
      <c r="AAY30" s="1">
        <v>157160</v>
      </c>
      <c r="AAZ30" s="1">
        <v>9422</v>
      </c>
      <c r="ABA30" s="1">
        <v>0</v>
      </c>
      <c r="ABB30" s="1">
        <v>60206</v>
      </c>
      <c r="ABC30" s="1">
        <v>5032</v>
      </c>
      <c r="ABD30" s="10">
        <v>67548</v>
      </c>
      <c r="ABE30" s="3">
        <v>32986</v>
      </c>
      <c r="ABF30" s="3">
        <v>861</v>
      </c>
      <c r="ABG30" s="3">
        <v>1703</v>
      </c>
      <c r="ABH30" s="3">
        <v>33701</v>
      </c>
      <c r="ABI30" s="10">
        <v>82491</v>
      </c>
      <c r="ABJ30" s="3">
        <v>38770</v>
      </c>
      <c r="ABK30" s="3">
        <v>1717</v>
      </c>
      <c r="ABL30" s="3">
        <v>2366</v>
      </c>
      <c r="ABM30" s="3">
        <v>41058</v>
      </c>
      <c r="ABN30" s="10">
        <v>89128</v>
      </c>
      <c r="ABO30" s="3">
        <v>41601</v>
      </c>
      <c r="ABP30" s="3">
        <v>1069</v>
      </c>
      <c r="ABQ30" s="3">
        <v>3461</v>
      </c>
      <c r="ABR30" s="3">
        <v>46458</v>
      </c>
      <c r="ABS30" s="10">
        <v>91879.128000000012</v>
      </c>
      <c r="ABT30" s="3">
        <v>42236.700000000004</v>
      </c>
      <c r="ABU30" s="3">
        <v>1143.3259999999998</v>
      </c>
      <c r="ABV30" s="3">
        <v>3808.04</v>
      </c>
      <c r="ABW30" s="8">
        <v>48499.102000000006</v>
      </c>
      <c r="ABX30" s="1">
        <v>94401</v>
      </c>
      <c r="ABY30" s="1">
        <v>40603</v>
      </c>
      <c r="ABZ30" s="1">
        <v>1390</v>
      </c>
      <c r="ACA30" s="1">
        <v>3764</v>
      </c>
      <c r="ACB30" s="49">
        <v>50859</v>
      </c>
      <c r="ACC30" s="1">
        <v>98314</v>
      </c>
      <c r="ACD30" s="1">
        <v>41972</v>
      </c>
      <c r="ACE30" s="1">
        <v>1500</v>
      </c>
      <c r="ACF30" s="1">
        <v>3875</v>
      </c>
      <c r="ACG30" s="1">
        <v>53305</v>
      </c>
      <c r="ACH30" s="1">
        <v>102024</v>
      </c>
      <c r="ACI30" s="1">
        <v>43891</v>
      </c>
      <c r="ACJ30" s="1">
        <v>1464</v>
      </c>
      <c r="ACK30" s="1">
        <v>3679</v>
      </c>
      <c r="ACL30" s="1">
        <v>54609</v>
      </c>
      <c r="ACM30" s="1">
        <v>104161</v>
      </c>
      <c r="ACN30" s="1">
        <v>45528</v>
      </c>
      <c r="ACO30" s="1">
        <v>1796</v>
      </c>
      <c r="ACP30" s="1">
        <v>4827</v>
      </c>
      <c r="ACQ30" s="1">
        <v>54275</v>
      </c>
      <c r="ACR30" s="1">
        <v>104743</v>
      </c>
      <c r="ACS30" s="1">
        <v>45471</v>
      </c>
      <c r="ACT30" s="1">
        <v>1016</v>
      </c>
      <c r="ACU30" s="1">
        <v>4082</v>
      </c>
      <c r="ACV30" s="1">
        <v>56108</v>
      </c>
      <c r="ADB30" s="50">
        <v>111687</v>
      </c>
      <c r="ADC30" s="1">
        <v>47221</v>
      </c>
      <c r="ADD30" s="1">
        <v>1700</v>
      </c>
      <c r="ADE30" s="1">
        <v>4955</v>
      </c>
      <c r="ADF30" s="1">
        <v>59893</v>
      </c>
      <c r="ADG30" s="50">
        <v>114745</v>
      </c>
      <c r="ADL30" s="50">
        <v>115230</v>
      </c>
      <c r="ADM30" s="1">
        <v>49084</v>
      </c>
      <c r="ADN30" s="1">
        <v>2091</v>
      </c>
      <c r="ADO30" s="1">
        <v>5849</v>
      </c>
      <c r="ADP30" s="1">
        <v>61299</v>
      </c>
      <c r="ADQ30" s="50">
        <v>133832</v>
      </c>
      <c r="ADR30" s="1">
        <v>51045</v>
      </c>
      <c r="ADS30" s="1">
        <v>3733</v>
      </c>
      <c r="ADT30" s="1">
        <v>9164</v>
      </c>
      <c r="ADU30" s="1">
        <v>76450</v>
      </c>
      <c r="ADV30" s="1">
        <v>49785</v>
      </c>
      <c r="ADW30" s="1">
        <v>2849</v>
      </c>
      <c r="ADX30" s="1">
        <v>0</v>
      </c>
      <c r="ADY30" s="1">
        <v>22025</v>
      </c>
      <c r="ADZ30" s="1">
        <v>1791</v>
      </c>
    </row>
    <row r="31" spans="1:806" ht="14.1">
      <c r="A31" s="138" t="s">
        <v>30</v>
      </c>
      <c r="B31" s="174" t="s">
        <v>221</v>
      </c>
      <c r="C31" s="175" t="s">
        <v>221</v>
      </c>
      <c r="D31" s="175" t="s">
        <v>221</v>
      </c>
      <c r="E31" s="175" t="s">
        <v>221</v>
      </c>
      <c r="F31" s="176" t="s">
        <v>221</v>
      </c>
      <c r="G31" s="3">
        <v>44219</v>
      </c>
      <c r="H31" s="3">
        <v>36507</v>
      </c>
      <c r="I31" s="3">
        <v>102</v>
      </c>
      <c r="J31" s="3">
        <v>8847</v>
      </c>
      <c r="K31" s="8">
        <v>7610</v>
      </c>
      <c r="L31" s="3">
        <v>41039</v>
      </c>
      <c r="M31" s="3">
        <v>27509</v>
      </c>
      <c r="N31" s="3">
        <v>120</v>
      </c>
      <c r="O31" s="3">
        <v>16928</v>
      </c>
      <c r="P31" s="8">
        <v>13410</v>
      </c>
      <c r="Q31" s="3">
        <v>40468</v>
      </c>
      <c r="R31" s="3">
        <v>18075</v>
      </c>
      <c r="S31" s="3">
        <v>155</v>
      </c>
      <c r="T31" s="3">
        <v>20472</v>
      </c>
      <c r="U31" s="8">
        <v>9663</v>
      </c>
      <c r="V31" s="5">
        <v>44280</v>
      </c>
      <c r="W31" s="5">
        <v>35398</v>
      </c>
      <c r="X31" s="5">
        <v>427</v>
      </c>
      <c r="Y31" s="5">
        <v>24866</v>
      </c>
      <c r="Z31" s="408">
        <v>8455</v>
      </c>
      <c r="AA31" s="5">
        <v>43053</v>
      </c>
      <c r="AB31" s="5">
        <v>16166</v>
      </c>
      <c r="AC31" s="5">
        <v>255</v>
      </c>
      <c r="AD31" s="5">
        <v>24241</v>
      </c>
      <c r="AE31" s="5">
        <v>9522</v>
      </c>
      <c r="AF31" s="399">
        <v>43683</v>
      </c>
      <c r="AG31" s="5">
        <v>16191</v>
      </c>
      <c r="AH31" s="5">
        <v>172</v>
      </c>
      <c r="AI31" s="5">
        <v>24661</v>
      </c>
      <c r="AJ31" s="490">
        <v>10507</v>
      </c>
      <c r="AK31" s="490">
        <v>40558</v>
      </c>
      <c r="AL31" s="490">
        <v>14003</v>
      </c>
      <c r="AM31" s="685">
        <v>1083</v>
      </c>
      <c r="AN31" s="685">
        <v>23512</v>
      </c>
      <c r="AO31" s="490">
        <v>7698</v>
      </c>
      <c r="AP31" s="394">
        <v>39730</v>
      </c>
      <c r="AQ31" s="394">
        <v>14149</v>
      </c>
      <c r="AR31" s="394">
        <v>0</v>
      </c>
      <c r="AS31" s="394">
        <v>22999</v>
      </c>
      <c r="AT31" s="394">
        <v>9596</v>
      </c>
      <c r="AU31" s="393">
        <v>34434</v>
      </c>
      <c r="AV31" s="394">
        <v>12746</v>
      </c>
      <c r="AW31" s="394">
        <v>0</v>
      </c>
      <c r="AX31" s="394">
        <v>19411</v>
      </c>
      <c r="AY31" s="394">
        <v>9723</v>
      </c>
      <c r="AZ31" s="1">
        <v>1072</v>
      </c>
      <c r="BA31" s="1">
        <v>0</v>
      </c>
      <c r="BB31" s="1">
        <v>856</v>
      </c>
      <c r="BC31" s="1">
        <v>893</v>
      </c>
      <c r="BD31" s="1">
        <v>6902</v>
      </c>
      <c r="BE31" s="393">
        <v>36681</v>
      </c>
      <c r="BF31" s="394">
        <v>12947</v>
      </c>
      <c r="BG31" s="394">
        <v>0</v>
      </c>
      <c r="BH31" s="394">
        <v>21801</v>
      </c>
      <c r="BI31" s="394">
        <v>10776</v>
      </c>
      <c r="BJ31" s="393">
        <v>40692</v>
      </c>
      <c r="BK31" s="394"/>
      <c r="BL31" s="394"/>
      <c r="BM31" s="394"/>
      <c r="BN31" s="394"/>
      <c r="BO31" s="393">
        <v>34969</v>
      </c>
      <c r="BP31" s="394">
        <v>10093</v>
      </c>
      <c r="BQ31" s="394">
        <v>0</v>
      </c>
      <c r="BR31" s="394">
        <v>22692</v>
      </c>
      <c r="BS31" s="394">
        <v>12559</v>
      </c>
      <c r="BT31" s="393">
        <v>39820</v>
      </c>
      <c r="BU31" s="394">
        <v>14546</v>
      </c>
      <c r="BV31" s="394">
        <v>557</v>
      </c>
      <c r="BW31" s="394">
        <v>22300</v>
      </c>
      <c r="BX31" s="394">
        <v>1355</v>
      </c>
      <c r="BY31" s="1">
        <v>0</v>
      </c>
      <c r="BZ31" s="1">
        <v>503</v>
      </c>
      <c r="CA31" s="1">
        <v>9290</v>
      </c>
      <c r="CB31" s="1">
        <v>11821</v>
      </c>
      <c r="CC31" s="10">
        <v>77568</v>
      </c>
      <c r="CD31" s="3">
        <v>73065</v>
      </c>
      <c r="CE31" s="3">
        <v>195</v>
      </c>
      <c r="CF31" s="3">
        <v>22300</v>
      </c>
      <c r="CG31" s="8">
        <v>4308</v>
      </c>
      <c r="CH31" s="3">
        <v>79322</v>
      </c>
      <c r="CI31" s="3">
        <v>70561</v>
      </c>
      <c r="CJ31" s="3">
        <v>345</v>
      </c>
      <c r="CK31" s="3">
        <v>7800</v>
      </c>
      <c r="CL31" s="8">
        <v>8416</v>
      </c>
      <c r="CM31" s="1">
        <v>75446</v>
      </c>
      <c r="CN31" s="3">
        <v>60523</v>
      </c>
      <c r="CO31" s="3">
        <v>285</v>
      </c>
      <c r="CP31" s="3">
        <v>11308</v>
      </c>
      <c r="CQ31" s="8">
        <v>6984</v>
      </c>
      <c r="CR31" s="3">
        <v>70118</v>
      </c>
      <c r="CS31" s="3">
        <v>63856</v>
      </c>
      <c r="CT31" s="3">
        <v>420</v>
      </c>
      <c r="CU31" s="3">
        <v>12013</v>
      </c>
      <c r="CV31" s="8">
        <v>5842</v>
      </c>
      <c r="CW31" s="3">
        <v>67489</v>
      </c>
      <c r="CX31" s="3">
        <v>52280</v>
      </c>
      <c r="CY31" s="3">
        <v>480</v>
      </c>
      <c r="CZ31" s="3">
        <v>11905</v>
      </c>
      <c r="DA31" s="3">
        <v>5972</v>
      </c>
      <c r="DB31" s="3">
        <v>66817</v>
      </c>
      <c r="DC31" s="3">
        <v>50882</v>
      </c>
      <c r="DD31" s="3">
        <v>244</v>
      </c>
      <c r="DE31" s="3">
        <v>12261</v>
      </c>
      <c r="DF31" s="39">
        <v>6730</v>
      </c>
      <c r="DG31" s="39">
        <v>62620</v>
      </c>
      <c r="DH31" s="39">
        <v>43796</v>
      </c>
      <c r="DI31" s="39">
        <v>85</v>
      </c>
      <c r="DJ31" s="39">
        <v>15752</v>
      </c>
      <c r="DK31" s="39">
        <v>7103</v>
      </c>
      <c r="DL31" s="39">
        <v>66804</v>
      </c>
      <c r="DM31" s="39">
        <v>49359</v>
      </c>
      <c r="DN31" s="39">
        <v>0</v>
      </c>
      <c r="DO31" s="39">
        <v>13885</v>
      </c>
      <c r="DP31" s="39">
        <v>7223</v>
      </c>
      <c r="DQ31" s="39">
        <v>69695</v>
      </c>
      <c r="DR31" s="39">
        <v>50966</v>
      </c>
      <c r="DS31" s="39">
        <v>0</v>
      </c>
      <c r="DT31" s="39">
        <v>16211</v>
      </c>
      <c r="DU31" s="39">
        <v>10843</v>
      </c>
      <c r="DV31" s="118">
        <v>65058</v>
      </c>
      <c r="DW31" s="39">
        <v>48258</v>
      </c>
      <c r="DX31" s="39">
        <v>0</v>
      </c>
      <c r="DY31" s="39">
        <v>13878</v>
      </c>
      <c r="DZ31" s="39">
        <v>7680</v>
      </c>
      <c r="EA31" s="118">
        <v>63176</v>
      </c>
      <c r="EB31" s="39"/>
      <c r="EC31" s="39"/>
      <c r="ED31" s="39"/>
      <c r="EE31" s="39"/>
      <c r="EF31" s="118">
        <v>64937</v>
      </c>
      <c r="EG31" s="39">
        <v>48271</v>
      </c>
      <c r="EH31" s="39">
        <v>0</v>
      </c>
      <c r="EI31" s="39">
        <v>13488</v>
      </c>
      <c r="EJ31" s="39">
        <v>10119</v>
      </c>
      <c r="EK31" s="118">
        <v>64937</v>
      </c>
      <c r="EL31" s="39">
        <v>48271</v>
      </c>
      <c r="EM31" s="39">
        <v>0</v>
      </c>
      <c r="EN31" s="39">
        <v>13488</v>
      </c>
      <c r="EO31" s="39">
        <v>10119</v>
      </c>
      <c r="EP31" s="118">
        <v>70093</v>
      </c>
      <c r="EQ31" s="39">
        <v>45881</v>
      </c>
      <c r="ER31" s="39">
        <v>1522</v>
      </c>
      <c r="ES31" s="39">
        <v>18649</v>
      </c>
      <c r="ET31" s="1">
        <v>1237</v>
      </c>
      <c r="EU31" s="1">
        <v>0</v>
      </c>
      <c r="EV31" s="1">
        <v>1264</v>
      </c>
      <c r="EW31" s="1">
        <v>9314</v>
      </c>
      <c r="EX31" s="1">
        <v>8939</v>
      </c>
      <c r="EY31" s="10">
        <v>113392</v>
      </c>
      <c r="EZ31" s="3">
        <v>97113</v>
      </c>
      <c r="FA31" s="3"/>
      <c r="FB31" s="3">
        <v>37212</v>
      </c>
      <c r="FC31" s="201">
        <f t="shared" si="497"/>
        <v>16279</v>
      </c>
      <c r="FD31" s="174" t="s">
        <v>221</v>
      </c>
      <c r="FE31" s="175" t="s">
        <v>221</v>
      </c>
      <c r="FF31" s="175" t="s">
        <v>221</v>
      </c>
      <c r="FG31" s="175" t="s">
        <v>221</v>
      </c>
      <c r="FH31" s="174" t="s">
        <v>221</v>
      </c>
      <c r="FI31" s="175" t="s">
        <v>221</v>
      </c>
      <c r="FJ31" s="175" t="s">
        <v>221</v>
      </c>
      <c r="FK31" s="175" t="s">
        <v>221</v>
      </c>
      <c r="FL31" s="176" t="s">
        <v>221</v>
      </c>
      <c r="FM31" s="3">
        <v>479505</v>
      </c>
      <c r="FN31" s="3">
        <v>464861</v>
      </c>
      <c r="FO31" s="3">
        <v>1433</v>
      </c>
      <c r="FP31" s="3">
        <v>9678</v>
      </c>
      <c r="FQ31" s="8">
        <v>13211</v>
      </c>
      <c r="FR31" s="3">
        <v>667144</v>
      </c>
      <c r="FS31" s="3">
        <v>632655</v>
      </c>
      <c r="FT31" s="3">
        <v>2199</v>
      </c>
      <c r="FU31" s="3">
        <v>19768</v>
      </c>
      <c r="FV31" s="3">
        <v>32290</v>
      </c>
      <c r="FW31" s="127">
        <v>801939</v>
      </c>
      <c r="FX31" s="3">
        <v>738064</v>
      </c>
      <c r="FY31" s="3">
        <v>3548</v>
      </c>
      <c r="FZ31" s="3">
        <v>45483</v>
      </c>
      <c r="GA31" s="3">
        <v>34175</v>
      </c>
      <c r="GB31" s="10">
        <v>826398</v>
      </c>
      <c r="GC31" s="3">
        <v>784484</v>
      </c>
      <c r="GD31" s="3">
        <v>3623</v>
      </c>
      <c r="GE31" s="3">
        <v>38291</v>
      </c>
      <c r="GF31" s="3">
        <v>36198</v>
      </c>
      <c r="GG31" s="42">
        <v>836198</v>
      </c>
      <c r="GH31" s="40">
        <v>793166</v>
      </c>
      <c r="GI31" s="40">
        <v>3539</v>
      </c>
      <c r="GJ31" s="40">
        <v>39493</v>
      </c>
      <c r="GK31" s="40">
        <v>38377</v>
      </c>
      <c r="GL31" s="10">
        <v>857708</v>
      </c>
      <c r="GM31" s="3">
        <v>812762</v>
      </c>
      <c r="GN31" s="3">
        <v>3547</v>
      </c>
      <c r="GO31" s="3">
        <v>40246</v>
      </c>
      <c r="GP31" s="3">
        <v>27317</v>
      </c>
      <c r="GQ31" s="10">
        <v>873611.06200000003</v>
      </c>
      <c r="GR31" s="3">
        <v>827776.54999999993</v>
      </c>
      <c r="GS31" s="3"/>
      <c r="GT31" s="3">
        <v>43508.619000000006</v>
      </c>
      <c r="GU31" s="373">
        <f t="shared" si="498"/>
        <v>45834.512000000104</v>
      </c>
      <c r="GV31" s="3">
        <v>889006</v>
      </c>
      <c r="GW31" s="3">
        <v>806204</v>
      </c>
      <c r="GX31" s="3">
        <v>3721</v>
      </c>
      <c r="GY31" s="3">
        <v>47875</v>
      </c>
      <c r="GZ31" s="3">
        <v>42904</v>
      </c>
      <c r="HA31" s="3">
        <v>903597</v>
      </c>
      <c r="HB31" s="3">
        <v>816928</v>
      </c>
      <c r="HC31" s="3">
        <v>4066</v>
      </c>
      <c r="HD31" s="3">
        <v>50085</v>
      </c>
      <c r="HE31" s="3">
        <v>45419</v>
      </c>
      <c r="HF31" s="3">
        <v>942015</v>
      </c>
      <c r="HG31" s="3">
        <v>848892</v>
      </c>
      <c r="HH31" s="3">
        <v>2987</v>
      </c>
      <c r="HI31" s="3">
        <v>54054</v>
      </c>
      <c r="HJ31" s="3">
        <v>47679</v>
      </c>
      <c r="HK31" s="3">
        <v>959448</v>
      </c>
      <c r="HL31" s="3">
        <v>857923</v>
      </c>
      <c r="HM31" s="3">
        <v>0</v>
      </c>
      <c r="HN31" s="3">
        <v>57796</v>
      </c>
      <c r="HO31" s="3">
        <v>53200</v>
      </c>
      <c r="HP31" s="10">
        <v>983136</v>
      </c>
      <c r="HQ31" s="3">
        <v>875161</v>
      </c>
      <c r="HR31" s="3">
        <v>0</v>
      </c>
      <c r="HS31" s="3">
        <v>63566</v>
      </c>
      <c r="HT31" s="3">
        <v>59676</v>
      </c>
      <c r="HU31" s="394">
        <v>13965</v>
      </c>
      <c r="HV31" s="1">
        <v>0</v>
      </c>
      <c r="HW31" s="1">
        <v>13300</v>
      </c>
      <c r="HX31" s="1">
        <v>15995</v>
      </c>
      <c r="HY31" s="1">
        <v>16416</v>
      </c>
      <c r="HZ31" s="10">
        <v>1010049</v>
      </c>
      <c r="IA31" s="3">
        <v>893033</v>
      </c>
      <c r="IB31" s="3">
        <v>0</v>
      </c>
      <c r="IC31" s="3">
        <v>68399</v>
      </c>
      <c r="ID31" s="3">
        <v>62780</v>
      </c>
      <c r="IE31" s="399">
        <v>1039879</v>
      </c>
      <c r="IF31" s="5"/>
      <c r="IG31" s="5"/>
      <c r="IH31" s="5"/>
      <c r="II31" s="5"/>
      <c r="IJ31" s="399">
        <v>1071091</v>
      </c>
      <c r="IK31" s="5">
        <v>940160</v>
      </c>
      <c r="IL31" s="5">
        <v>0</v>
      </c>
      <c r="IM31" s="5">
        <v>79646</v>
      </c>
      <c r="IN31" s="5">
        <v>74317</v>
      </c>
      <c r="IO31" s="399">
        <v>1147653</v>
      </c>
      <c r="IP31" s="5">
        <v>971357</v>
      </c>
      <c r="IQ31" s="5">
        <v>0</v>
      </c>
      <c r="IR31" s="5">
        <v>90584</v>
      </c>
      <c r="IS31" s="5">
        <v>151617</v>
      </c>
      <c r="IT31" s="1">
        <v>15730</v>
      </c>
      <c r="IU31" s="1">
        <v>0</v>
      </c>
      <c r="IV31" s="1">
        <v>11637</v>
      </c>
      <c r="IW31" s="1">
        <v>81964</v>
      </c>
      <c r="IX31" s="1">
        <v>42286</v>
      </c>
      <c r="IY31" s="380" t="s">
        <v>221</v>
      </c>
      <c r="IZ31" s="188" t="s">
        <v>221</v>
      </c>
      <c r="JA31" s="188" t="s">
        <v>221</v>
      </c>
      <c r="JB31" s="188" t="s">
        <v>221</v>
      </c>
      <c r="JC31" s="635" t="s">
        <v>221</v>
      </c>
      <c r="JD31" s="5">
        <v>190478</v>
      </c>
      <c r="JE31" s="5">
        <v>184717</v>
      </c>
      <c r="JF31" s="5">
        <v>695</v>
      </c>
      <c r="JG31" s="5">
        <v>3950</v>
      </c>
      <c r="JH31" s="408">
        <v>5066</v>
      </c>
      <c r="JI31" s="5">
        <v>272207</v>
      </c>
      <c r="JJ31" s="5">
        <v>257946</v>
      </c>
      <c r="JK31" s="5">
        <v>1181</v>
      </c>
      <c r="JL31" s="5">
        <v>7716</v>
      </c>
      <c r="JM31" s="408">
        <v>13080</v>
      </c>
      <c r="JN31" s="5">
        <v>310589</v>
      </c>
      <c r="JO31" s="5">
        <v>286975</v>
      </c>
      <c r="JP31" s="5">
        <v>1452</v>
      </c>
      <c r="JQ31" s="5">
        <v>11400</v>
      </c>
      <c r="JR31" s="5">
        <v>14916</v>
      </c>
      <c r="JS31" s="5">
        <v>345661</v>
      </c>
      <c r="JT31" s="5">
        <v>327180</v>
      </c>
      <c r="JU31" s="5">
        <v>1485</v>
      </c>
      <c r="JV31" s="5">
        <v>16115</v>
      </c>
      <c r="JW31" s="408">
        <v>16996</v>
      </c>
      <c r="JX31" s="5">
        <v>351022.05200000003</v>
      </c>
      <c r="JY31" s="5">
        <v>332960.39999999997</v>
      </c>
      <c r="JZ31" s="5"/>
      <c r="KA31" s="5">
        <v>17516.456999999999</v>
      </c>
      <c r="KB31" s="408">
        <v>18061.65200000006</v>
      </c>
      <c r="KC31" s="5">
        <v>359405</v>
      </c>
      <c r="KD31" s="5">
        <v>325525</v>
      </c>
      <c r="KE31" s="5">
        <v>1497</v>
      </c>
      <c r="KF31" s="5">
        <v>19681</v>
      </c>
      <c r="KG31" s="439">
        <v>18023</v>
      </c>
      <c r="KH31" s="439">
        <v>365545</v>
      </c>
      <c r="KI31" s="439">
        <v>330790</v>
      </c>
      <c r="KJ31" s="439">
        <v>1571</v>
      </c>
      <c r="KK31" s="439">
        <v>20145</v>
      </c>
      <c r="KL31" s="439">
        <v>18006</v>
      </c>
      <c r="KM31" s="439">
        <v>385631</v>
      </c>
      <c r="KN31" s="439">
        <v>350732</v>
      </c>
      <c r="KO31" s="439">
        <v>1250</v>
      </c>
      <c r="KP31" s="439">
        <v>20582</v>
      </c>
      <c r="KQ31" s="439">
        <v>18124</v>
      </c>
      <c r="KR31" s="439">
        <v>389869</v>
      </c>
      <c r="KS31" s="439">
        <v>348591</v>
      </c>
      <c r="KT31" s="439">
        <v>0</v>
      </c>
      <c r="KU31" s="439">
        <v>23493</v>
      </c>
      <c r="KV31" s="439">
        <v>21970</v>
      </c>
      <c r="KW31" s="630">
        <v>379860</v>
      </c>
      <c r="KX31" s="439">
        <v>339264</v>
      </c>
      <c r="KY31" s="439">
        <v>0</v>
      </c>
      <c r="KZ31" s="439">
        <v>23339</v>
      </c>
      <c r="LA31" s="439">
        <v>23039</v>
      </c>
      <c r="LB31" s="652">
        <v>399362</v>
      </c>
      <c r="LC31" s="653">
        <v>352483</v>
      </c>
      <c r="LD31" s="653">
        <v>0</v>
      </c>
      <c r="LE31" s="653">
        <v>27745</v>
      </c>
      <c r="LF31" s="653">
        <v>25976</v>
      </c>
      <c r="LG31" s="652">
        <v>405399</v>
      </c>
      <c r="LH31" s="653"/>
      <c r="LI31" s="439"/>
      <c r="LJ31" s="439"/>
      <c r="LK31" s="439"/>
      <c r="LL31" s="652">
        <v>429162</v>
      </c>
      <c r="LM31" s="653">
        <v>379986</v>
      </c>
      <c r="LN31" s="653">
        <v>0</v>
      </c>
      <c r="LO31" s="653">
        <v>31262</v>
      </c>
      <c r="LP31" s="653">
        <v>25046</v>
      </c>
      <c r="LQ31" s="652">
        <v>423107</v>
      </c>
      <c r="LR31" s="653">
        <v>359982</v>
      </c>
      <c r="LS31" s="653">
        <v>1381</v>
      </c>
      <c r="LT31" s="653">
        <v>32038</v>
      </c>
      <c r="LU31" s="653">
        <v>54211</v>
      </c>
      <c r="LV31" s="1">
        <v>4229</v>
      </c>
      <c r="LW31" s="1">
        <v>0</v>
      </c>
      <c r="LX31" s="1">
        <v>4078</v>
      </c>
      <c r="LY31" s="1">
        <v>32891</v>
      </c>
      <c r="LZ31" s="1">
        <v>13013</v>
      </c>
      <c r="MA31" s="10">
        <v>45187</v>
      </c>
      <c r="MB31" s="3">
        <v>43921</v>
      </c>
      <c r="MC31" s="3">
        <v>148</v>
      </c>
      <c r="MD31" s="3">
        <v>772</v>
      </c>
      <c r="ME31" s="8">
        <v>1118</v>
      </c>
      <c r="MF31" s="3">
        <v>57003</v>
      </c>
      <c r="MG31" s="3">
        <v>54075</v>
      </c>
      <c r="MH31" s="3">
        <v>296</v>
      </c>
      <c r="MI31" s="3">
        <v>1505</v>
      </c>
      <c r="MJ31" s="8">
        <v>2632</v>
      </c>
      <c r="MK31" s="3">
        <v>76058</v>
      </c>
      <c r="ML31" s="3">
        <v>70605</v>
      </c>
      <c r="MM31" s="3">
        <v>203</v>
      </c>
      <c r="MN31" s="3">
        <v>2428</v>
      </c>
      <c r="MO31" s="3">
        <v>3714</v>
      </c>
      <c r="MP31" s="10">
        <v>81093</v>
      </c>
      <c r="MQ31" s="3">
        <v>77194</v>
      </c>
      <c r="MR31" s="3">
        <v>184</v>
      </c>
      <c r="MS31" s="3">
        <v>3660</v>
      </c>
      <c r="MT31" s="3">
        <v>3715</v>
      </c>
      <c r="MU31" s="10"/>
      <c r="MV31" s="3"/>
      <c r="MW31" s="3"/>
      <c r="MX31" s="3"/>
      <c r="MY31" s="8"/>
      <c r="MZ31" s="3">
        <v>87854</v>
      </c>
      <c r="NA31" s="3">
        <v>80891</v>
      </c>
      <c r="NB31" s="3">
        <v>346</v>
      </c>
      <c r="NC31" s="3">
        <v>3881</v>
      </c>
      <c r="ND31" s="3">
        <v>3697</v>
      </c>
      <c r="NE31" s="3">
        <v>91781</v>
      </c>
      <c r="NF31" s="3">
        <v>83650</v>
      </c>
      <c r="NG31" s="3">
        <v>620</v>
      </c>
      <c r="NH31" s="3">
        <v>4441</v>
      </c>
      <c r="NI31" s="3">
        <v>4163</v>
      </c>
      <c r="NJ31" s="3">
        <v>97174</v>
      </c>
      <c r="NK31" s="3">
        <v>90045</v>
      </c>
      <c r="NL31" s="3">
        <v>319</v>
      </c>
      <c r="NM31" s="3">
        <v>4413</v>
      </c>
      <c r="NN31" s="3">
        <v>14861</v>
      </c>
      <c r="NO31" s="3">
        <v>102284</v>
      </c>
      <c r="NP31" s="3">
        <v>93609</v>
      </c>
      <c r="NQ31" s="3">
        <v>0</v>
      </c>
      <c r="NR31" s="3">
        <v>4377</v>
      </c>
      <c r="NS31" s="3">
        <v>4589</v>
      </c>
      <c r="NT31" s="3">
        <v>104375</v>
      </c>
      <c r="NU31" s="3">
        <v>94348</v>
      </c>
      <c r="NV31" s="3">
        <v>0</v>
      </c>
      <c r="NW31" s="3">
        <v>5829</v>
      </c>
      <c r="NX31" s="3">
        <v>5845</v>
      </c>
      <c r="NY31" s="10">
        <v>107505</v>
      </c>
      <c r="NZ31" s="3">
        <v>95459</v>
      </c>
      <c r="OA31" s="3">
        <v>0</v>
      </c>
      <c r="OB31" s="3">
        <v>7878</v>
      </c>
      <c r="OC31" s="3">
        <v>6369</v>
      </c>
      <c r="OD31" s="10">
        <v>113323</v>
      </c>
      <c r="OE31" s="3"/>
      <c r="OF31" s="3"/>
      <c r="OG31" s="3"/>
      <c r="OH31" s="3"/>
      <c r="OI31" s="10">
        <v>124584</v>
      </c>
      <c r="OJ31" s="3">
        <v>111773</v>
      </c>
      <c r="OK31" s="3">
        <v>0</v>
      </c>
      <c r="OL31" s="3">
        <v>7694</v>
      </c>
      <c r="OM31" s="3">
        <v>6416</v>
      </c>
      <c r="ON31" s="10">
        <v>126524</v>
      </c>
      <c r="OO31" s="3">
        <v>106425</v>
      </c>
      <c r="OP31" s="3">
        <v>374</v>
      </c>
      <c r="OQ31" s="3">
        <v>10165</v>
      </c>
      <c r="OR31" s="3">
        <v>4942</v>
      </c>
      <c r="OS31" s="1">
        <v>1295</v>
      </c>
      <c r="OT31" s="1">
        <v>0</v>
      </c>
      <c r="OU31" s="1">
        <v>555</v>
      </c>
      <c r="OV31" s="1">
        <v>11152</v>
      </c>
      <c r="OW31" s="1">
        <v>4942</v>
      </c>
      <c r="OX31" s="402">
        <f t="shared" si="499"/>
        <v>128489</v>
      </c>
      <c r="OY31" s="382">
        <f t="shared" si="500"/>
        <v>116630</v>
      </c>
      <c r="OZ31" s="382">
        <f t="shared" si="501"/>
        <v>3037</v>
      </c>
      <c r="PA31" s="382">
        <f t="shared" si="502"/>
        <v>22954</v>
      </c>
      <c r="PB31" s="382">
        <f t="shared" si="503"/>
        <v>12880</v>
      </c>
      <c r="PC31" s="402">
        <f t="shared" si="504"/>
        <v>227618</v>
      </c>
      <c r="PD31" s="382">
        <f t="shared" si="505"/>
        <v>217108</v>
      </c>
      <c r="PE31" s="382">
        <f t="shared" si="506"/>
        <v>894</v>
      </c>
      <c r="PF31" s="382">
        <f t="shared" si="507"/>
        <v>4451</v>
      </c>
      <c r="PG31" s="382">
        <f t="shared" si="508"/>
        <v>9616</v>
      </c>
      <c r="PH31" s="10">
        <v>286193</v>
      </c>
      <c r="PI31" s="3">
        <v>272605</v>
      </c>
      <c r="PJ31" s="3">
        <v>866</v>
      </c>
      <c r="PK31" s="3">
        <v>8604</v>
      </c>
      <c r="PL31" s="3">
        <v>12722</v>
      </c>
      <c r="PM31" s="3">
        <v>292751</v>
      </c>
      <c r="PN31" s="3">
        <v>272852</v>
      </c>
      <c r="PO31" s="3">
        <v>1424</v>
      </c>
      <c r="PP31" s="3">
        <v>8502</v>
      </c>
      <c r="PQ31" s="3">
        <v>12595</v>
      </c>
      <c r="PR31" s="399"/>
      <c r="PS31" s="5"/>
      <c r="PT31" s="5"/>
      <c r="PU31" s="5"/>
      <c r="PV31" s="5"/>
      <c r="PW31" s="5">
        <v>338983</v>
      </c>
      <c r="PX31" s="5">
        <v>315116</v>
      </c>
      <c r="PY31" s="5">
        <v>1432</v>
      </c>
      <c r="PZ31" s="5">
        <v>10614</v>
      </c>
      <c r="QA31" s="408">
        <v>14090</v>
      </c>
      <c r="QB31" s="5">
        <v>351449</v>
      </c>
      <c r="QC31" s="5">
        <v>324446</v>
      </c>
      <c r="QD31" s="5">
        <v>1990</v>
      </c>
      <c r="QE31" s="5">
        <v>12311</v>
      </c>
      <c r="QF31" s="5">
        <v>15779</v>
      </c>
      <c r="QG31" s="5">
        <v>358696</v>
      </c>
      <c r="QH31" s="5">
        <v>332522</v>
      </c>
      <c r="QI31" s="5">
        <v>1113</v>
      </c>
      <c r="QJ31" s="5">
        <v>12209</v>
      </c>
      <c r="QK31" s="5">
        <v>14861</v>
      </c>
      <c r="QL31" s="399">
        <v>379196</v>
      </c>
      <c r="QM31" s="5">
        <v>349222</v>
      </c>
      <c r="QN31" s="5">
        <v>0</v>
      </c>
      <c r="QO31" s="5">
        <v>12084</v>
      </c>
      <c r="QP31" s="5">
        <v>18152</v>
      </c>
      <c r="QQ31" s="399">
        <v>404785</v>
      </c>
      <c r="QR31" s="5">
        <v>370554</v>
      </c>
      <c r="QS31" s="5">
        <v>0</v>
      </c>
      <c r="QT31" s="5">
        <v>14890</v>
      </c>
      <c r="QU31" s="5">
        <v>21637</v>
      </c>
      <c r="QV31" s="399">
        <v>405163</v>
      </c>
      <c r="QW31" s="5">
        <v>367529</v>
      </c>
      <c r="QX31" s="5">
        <v>0</v>
      </c>
      <c r="QY31" s="5">
        <v>18156</v>
      </c>
      <c r="QZ31" s="5">
        <v>22474</v>
      </c>
      <c r="RA31" s="399">
        <v>429585</v>
      </c>
      <c r="RB31" s="5"/>
      <c r="RC31" s="5"/>
      <c r="RD31" s="5"/>
      <c r="RE31" s="5"/>
      <c r="RF31" s="5">
        <v>461239</v>
      </c>
      <c r="RG31" s="5">
        <v>412723</v>
      </c>
      <c r="RH31" s="5">
        <v>0</v>
      </c>
      <c r="RI31" s="5">
        <v>22369</v>
      </c>
      <c r="RJ31" s="5">
        <v>31075</v>
      </c>
      <c r="RK31" s="5">
        <v>512788</v>
      </c>
      <c r="RL31" s="5">
        <v>443098</v>
      </c>
      <c r="RM31" s="5">
        <v>2164</v>
      </c>
      <c r="RN31" s="5">
        <v>29305</v>
      </c>
      <c r="RO31" s="5">
        <v>60906</v>
      </c>
      <c r="RP31" s="1">
        <v>10154</v>
      </c>
      <c r="RQ31" s="1">
        <v>0</v>
      </c>
      <c r="RR31" s="1">
        <v>3266</v>
      </c>
      <c r="RS31" s="1">
        <v>32338</v>
      </c>
      <c r="RT31" s="1">
        <v>15148</v>
      </c>
      <c r="RU31" s="10">
        <v>74443</v>
      </c>
      <c r="RV31" s="3">
        <v>72709</v>
      </c>
      <c r="RW31" s="3">
        <v>178</v>
      </c>
      <c r="RX31" s="3">
        <v>996</v>
      </c>
      <c r="RY31" s="3">
        <v>1556</v>
      </c>
      <c r="RZ31" s="10">
        <v>116901</v>
      </c>
      <c r="SA31" s="3">
        <v>111798</v>
      </c>
      <c r="SB31" s="3">
        <v>439</v>
      </c>
      <c r="SC31" s="3">
        <v>2025</v>
      </c>
      <c r="SD31" s="3">
        <v>4664</v>
      </c>
      <c r="SE31" s="10">
        <v>149302</v>
      </c>
      <c r="SF31" s="3">
        <v>139941</v>
      </c>
      <c r="SG31" s="3">
        <v>787</v>
      </c>
      <c r="SH31" s="3">
        <v>4131</v>
      </c>
      <c r="SI31" s="3">
        <v>5658</v>
      </c>
      <c r="SJ31" s="10">
        <v>161999</v>
      </c>
      <c r="SK31" s="3">
        <v>154678</v>
      </c>
      <c r="SL31" s="3">
        <v>506</v>
      </c>
      <c r="SM31" s="3">
        <v>3997</v>
      </c>
      <c r="SN31" s="3">
        <v>6815</v>
      </c>
      <c r="SO31" s="10">
        <v>166636.87299999999</v>
      </c>
      <c r="SP31" s="3">
        <v>159081.07999999999</v>
      </c>
      <c r="SQ31" s="3"/>
      <c r="SR31" s="3">
        <v>4358.9340000000002</v>
      </c>
      <c r="SS31" s="3">
        <v>7555.7930000000051</v>
      </c>
      <c r="ST31" s="10">
        <v>172261</v>
      </c>
      <c r="SU31" s="3">
        <v>161176</v>
      </c>
      <c r="SV31" s="3">
        <v>625</v>
      </c>
      <c r="SW31" s="3">
        <v>4738</v>
      </c>
      <c r="SX31" s="3">
        <v>6574</v>
      </c>
      <c r="SY31" s="3">
        <v>178573</v>
      </c>
      <c r="SZ31" s="3">
        <v>166225</v>
      </c>
      <c r="TA31" s="3">
        <v>945</v>
      </c>
      <c r="TB31" s="3">
        <v>5478</v>
      </c>
      <c r="TC31" s="3">
        <v>7483</v>
      </c>
      <c r="TD31" s="3">
        <v>175108</v>
      </c>
      <c r="TE31" s="3">
        <v>161797</v>
      </c>
      <c r="TF31" s="3">
        <v>377</v>
      </c>
      <c r="TG31" s="3">
        <v>5680</v>
      </c>
      <c r="TH31" s="3">
        <v>7644</v>
      </c>
      <c r="TI31" s="3">
        <v>189566</v>
      </c>
      <c r="TJ31" s="3">
        <v>175731</v>
      </c>
      <c r="TK31" s="3">
        <v>0</v>
      </c>
      <c r="TL31" s="3">
        <v>5627</v>
      </c>
      <c r="TM31" s="3">
        <v>9033</v>
      </c>
      <c r="TN31" s="3">
        <v>203363</v>
      </c>
      <c r="TO31" s="3">
        <v>189626</v>
      </c>
      <c r="TP31" s="3">
        <v>0</v>
      </c>
      <c r="TQ31" s="3">
        <v>5882</v>
      </c>
      <c r="TR31" s="3">
        <v>8436</v>
      </c>
      <c r="TS31" s="10">
        <v>202800</v>
      </c>
      <c r="TT31" s="3">
        <v>184727</v>
      </c>
      <c r="TU31" s="3">
        <v>0</v>
      </c>
      <c r="TV31" s="3">
        <v>7456</v>
      </c>
      <c r="TW31" s="3">
        <v>11614</v>
      </c>
      <c r="TX31" s="10">
        <v>213462</v>
      </c>
      <c r="TY31" s="3"/>
      <c r="TZ31" s="3"/>
      <c r="UA31" s="3"/>
      <c r="UB31" s="3"/>
      <c r="UC31" s="10">
        <v>220189</v>
      </c>
      <c r="UD31" s="3">
        <v>196139</v>
      </c>
      <c r="UE31" s="3">
        <v>0</v>
      </c>
      <c r="UF31" s="3">
        <v>11691</v>
      </c>
      <c r="UG31" s="3">
        <v>15562</v>
      </c>
      <c r="UH31" s="10">
        <v>253762</v>
      </c>
      <c r="UI31" s="3">
        <v>220984</v>
      </c>
      <c r="UJ31" s="3">
        <v>1387</v>
      </c>
      <c r="UK31" s="3">
        <v>12960</v>
      </c>
      <c r="UL31" s="3">
        <v>28273</v>
      </c>
      <c r="UM31" s="1">
        <v>4503</v>
      </c>
      <c r="UN31" s="1">
        <v>0</v>
      </c>
      <c r="UO31" s="1">
        <v>2230</v>
      </c>
      <c r="UP31" s="1">
        <v>14326</v>
      </c>
      <c r="UQ31" s="1">
        <v>10206</v>
      </c>
      <c r="UR31" s="588">
        <f t="shared" si="509"/>
        <v>24278</v>
      </c>
      <c r="US31" s="40">
        <v>15134</v>
      </c>
      <c r="UT31" s="40">
        <v>9144</v>
      </c>
      <c r="UU31" s="588">
        <f t="shared" si="510"/>
        <v>205</v>
      </c>
      <c r="UV31" s="40">
        <v>157</v>
      </c>
      <c r="UW31" s="40">
        <v>48</v>
      </c>
      <c r="UX31" s="42">
        <v>36744</v>
      </c>
      <c r="UY31" s="588">
        <f t="shared" si="511"/>
        <v>22639</v>
      </c>
      <c r="UZ31" s="588">
        <f t="shared" si="512"/>
        <v>14105</v>
      </c>
      <c r="VA31" s="588">
        <f t="shared" si="513"/>
        <v>36434</v>
      </c>
      <c r="VB31" s="40">
        <v>22396</v>
      </c>
      <c r="VC31" s="40">
        <v>14038</v>
      </c>
      <c r="VD31" s="588">
        <f t="shared" si="514"/>
        <v>28</v>
      </c>
      <c r="VE31" s="40">
        <v>21</v>
      </c>
      <c r="VF31" s="40">
        <v>7</v>
      </c>
      <c r="VG31" s="588">
        <f t="shared" si="515"/>
        <v>282</v>
      </c>
      <c r="VH31" s="40">
        <v>222</v>
      </c>
      <c r="VI31" s="40">
        <v>60</v>
      </c>
      <c r="VJ31" s="42">
        <v>81413</v>
      </c>
      <c r="VK31" s="588">
        <f t="shared" si="516"/>
        <v>49962</v>
      </c>
      <c r="VL31" s="588">
        <f t="shared" si="517"/>
        <v>31451</v>
      </c>
      <c r="VM31" s="240">
        <f t="shared" si="518"/>
        <v>79438</v>
      </c>
      <c r="VN31" s="40">
        <v>48642</v>
      </c>
      <c r="VO31" s="40">
        <v>30796</v>
      </c>
      <c r="VP31" s="40">
        <v>1320</v>
      </c>
      <c r="VQ31" s="40">
        <v>655</v>
      </c>
      <c r="VR31" s="240">
        <f t="shared" si="519"/>
        <v>179</v>
      </c>
      <c r="VS31" s="40">
        <v>137</v>
      </c>
      <c r="VT31" s="40">
        <v>42</v>
      </c>
      <c r="VU31" s="240">
        <f t="shared" si="520"/>
        <v>763</v>
      </c>
      <c r="VV31" s="40">
        <v>546</v>
      </c>
      <c r="VW31" s="40">
        <v>217</v>
      </c>
      <c r="VX31" s="233">
        <f t="shared" si="521"/>
        <v>1033</v>
      </c>
      <c r="VY31" s="233">
        <f t="shared" si="522"/>
        <v>637</v>
      </c>
      <c r="VZ31" s="233">
        <f t="shared" si="523"/>
        <v>396</v>
      </c>
      <c r="WA31" s="234">
        <f t="shared" si="524"/>
        <v>35</v>
      </c>
      <c r="WB31" s="234">
        <f t="shared" si="525"/>
        <v>24</v>
      </c>
      <c r="WC31" s="234">
        <f t="shared" si="526"/>
        <v>11</v>
      </c>
      <c r="WD31" s="40">
        <v>998</v>
      </c>
      <c r="WE31" s="40">
        <v>613</v>
      </c>
      <c r="WF31" s="40">
        <v>385</v>
      </c>
      <c r="WG31" s="12">
        <f t="shared" si="527"/>
        <v>83302</v>
      </c>
      <c r="WH31" s="588">
        <f t="shared" si="528"/>
        <v>61367</v>
      </c>
      <c r="WI31" s="588">
        <f t="shared" si="529"/>
        <v>44768</v>
      </c>
      <c r="WJ31" s="11">
        <f t="shared" si="530"/>
        <v>72709</v>
      </c>
      <c r="WK31" s="90">
        <f t="shared" si="531"/>
        <v>102508</v>
      </c>
      <c r="WL31" s="40">
        <v>59179</v>
      </c>
      <c r="WM31" s="40">
        <v>43329</v>
      </c>
      <c r="WN31" s="40">
        <v>2188</v>
      </c>
      <c r="WO31" s="40">
        <v>1439</v>
      </c>
      <c r="WP31" s="11">
        <f t="shared" si="532"/>
        <v>2889</v>
      </c>
      <c r="WQ31" s="90">
        <f t="shared" si="533"/>
        <v>263</v>
      </c>
      <c r="WR31" s="40">
        <v>184</v>
      </c>
      <c r="WS31" s="40">
        <v>79</v>
      </c>
      <c r="WT31" s="11">
        <f t="shared" si="534"/>
        <v>1463</v>
      </c>
      <c r="WU31" s="40">
        <v>824</v>
      </c>
      <c r="WV31" s="40">
        <v>639</v>
      </c>
      <c r="WW31" s="9">
        <f t="shared" si="535"/>
        <v>11762</v>
      </c>
      <c r="WX31" s="235">
        <f t="shared" si="536"/>
        <v>1180</v>
      </c>
      <c r="WY31" s="235">
        <f t="shared" si="537"/>
        <v>721</v>
      </c>
      <c r="WZ31" s="236">
        <f t="shared" si="538"/>
        <v>18</v>
      </c>
      <c r="XA31" s="236">
        <f t="shared" si="539"/>
        <v>12</v>
      </c>
      <c r="XB31" s="236">
        <f t="shared" si="540"/>
        <v>6</v>
      </c>
      <c r="XC31" s="589">
        <f t="shared" si="541"/>
        <v>1883</v>
      </c>
      <c r="XD31" s="589">
        <f t="shared" si="542"/>
        <v>1168</v>
      </c>
      <c r="XE31" s="589">
        <f t="shared" si="543"/>
        <v>715</v>
      </c>
      <c r="XF31" s="40">
        <v>311</v>
      </c>
      <c r="XG31" s="40">
        <v>213</v>
      </c>
      <c r="XH31" s="40">
        <v>857</v>
      </c>
      <c r="XI31" s="40">
        <v>502</v>
      </c>
      <c r="XJ31" s="590">
        <v>170615</v>
      </c>
      <c r="XK31" s="40">
        <v>93229</v>
      </c>
      <c r="XL31" s="40">
        <v>77386</v>
      </c>
      <c r="XM31" s="5">
        <f t="shared" si="544"/>
        <v>163033</v>
      </c>
      <c r="XN31" s="5">
        <v>89232</v>
      </c>
      <c r="XO31" s="5">
        <v>73801</v>
      </c>
      <c r="XP31" s="84">
        <f t="shared" si="545"/>
        <v>161382</v>
      </c>
      <c r="XQ31" s="40">
        <v>88492</v>
      </c>
      <c r="XR31" s="40">
        <v>72890</v>
      </c>
      <c r="XS31" s="5">
        <f t="shared" si="546"/>
        <v>598</v>
      </c>
      <c r="XT31" s="40">
        <v>410</v>
      </c>
      <c r="XU31" s="40">
        <v>188</v>
      </c>
      <c r="XV31" s="5">
        <f t="shared" si="547"/>
        <v>2946</v>
      </c>
      <c r="XW31" s="40">
        <v>1465</v>
      </c>
      <c r="XX31" s="40">
        <v>1481</v>
      </c>
      <c r="XY31" s="84">
        <f t="shared" si="548"/>
        <v>6984</v>
      </c>
      <c r="XZ31" s="84">
        <f t="shared" si="549"/>
        <v>3587</v>
      </c>
      <c r="YA31" s="84">
        <f t="shared" si="550"/>
        <v>3397</v>
      </c>
      <c r="YB31" s="587">
        <v>216693</v>
      </c>
      <c r="YC31" s="40">
        <v>202247</v>
      </c>
      <c r="YD31" s="40">
        <v>1221</v>
      </c>
      <c r="YE31" s="40">
        <v>6074</v>
      </c>
      <c r="YF31" s="5">
        <v>8881</v>
      </c>
      <c r="YG31" s="10">
        <v>225223</v>
      </c>
      <c r="YH31" s="3">
        <v>214898</v>
      </c>
      <c r="YI31" s="3">
        <v>1027</v>
      </c>
      <c r="YJ31" s="3">
        <v>9298</v>
      </c>
      <c r="YK31" s="3">
        <v>5567</v>
      </c>
      <c r="YL31" s="10">
        <v>227334</v>
      </c>
      <c r="YM31" s="3">
        <v>217160</v>
      </c>
      <c r="YN31" s="3">
        <v>954</v>
      </c>
      <c r="YO31" s="3">
        <v>9220</v>
      </c>
      <c r="YP31" s="3">
        <v>5650</v>
      </c>
      <c r="YQ31" s="10">
        <v>235308</v>
      </c>
      <c r="YR31" s="3">
        <v>224136</v>
      </c>
      <c r="YS31" s="3">
        <v>771</v>
      </c>
      <c r="YT31" s="3">
        <v>10401</v>
      </c>
      <c r="YU31" s="3">
        <v>5467</v>
      </c>
      <c r="YV31" s="10">
        <v>242560.18199999997</v>
      </c>
      <c r="YW31" s="3">
        <v>230297.61</v>
      </c>
      <c r="YX31" s="3"/>
      <c r="YY31" s="3">
        <v>6134.7960000000003</v>
      </c>
      <c r="YZ31" s="3">
        <v>12262.571999999986</v>
      </c>
      <c r="ZA31" s="3">
        <v>251129</v>
      </c>
      <c r="ZB31" s="3">
        <v>234225</v>
      </c>
      <c r="ZC31" s="3">
        <v>1086</v>
      </c>
      <c r="ZD31" s="3">
        <v>6733</v>
      </c>
      <c r="ZE31" s="1">
        <v>10393</v>
      </c>
      <c r="ZF31" s="1">
        <v>259668</v>
      </c>
      <c r="ZG31" s="1">
        <v>240796</v>
      </c>
      <c r="ZH31" s="1">
        <v>1370</v>
      </c>
      <c r="ZI31" s="1">
        <v>7870</v>
      </c>
      <c r="ZJ31" s="1">
        <v>11616</v>
      </c>
      <c r="ZK31" s="1">
        <v>261522</v>
      </c>
      <c r="ZL31" s="1">
        <v>242477</v>
      </c>
      <c r="ZM31" s="1">
        <v>794</v>
      </c>
      <c r="ZN31" s="1">
        <v>7796</v>
      </c>
      <c r="ZO31" s="1">
        <v>11419</v>
      </c>
      <c r="ZP31" s="1">
        <v>276912</v>
      </c>
      <c r="ZQ31" s="1">
        <v>255613</v>
      </c>
      <c r="ZR31" s="1">
        <v>0</v>
      </c>
      <c r="ZS31" s="1">
        <v>7707</v>
      </c>
      <c r="ZT31" s="1">
        <v>13563</v>
      </c>
      <c r="ZU31" s="1">
        <v>300410</v>
      </c>
      <c r="ZV31" s="1">
        <v>276206</v>
      </c>
      <c r="ZW31" s="1"/>
      <c r="ZX31" s="1">
        <v>9061</v>
      </c>
      <c r="ZY31" s="1">
        <v>15792</v>
      </c>
      <c r="ZZ31" s="394">
        <v>6620</v>
      </c>
      <c r="AAA31" s="1">
        <v>0</v>
      </c>
      <c r="AAB31" s="1">
        <v>2426</v>
      </c>
      <c r="AAC31" s="1">
        <v>5367</v>
      </c>
      <c r="AAD31" s="1">
        <v>1379</v>
      </c>
      <c r="AAE31" s="50">
        <v>297658</v>
      </c>
      <c r="AAF31" s="1">
        <v>272070</v>
      </c>
      <c r="AAG31" s="1">
        <v>0</v>
      </c>
      <c r="AAH31" s="1">
        <v>10278</v>
      </c>
      <c r="AAI31" s="1">
        <v>16105</v>
      </c>
      <c r="AAJ31" s="50">
        <v>316262</v>
      </c>
      <c r="AAK31" s="1"/>
      <c r="AAL31" s="1"/>
      <c r="AAM31" s="1"/>
      <c r="AAN31" s="1"/>
      <c r="AAO31" s="68">
        <v>336655</v>
      </c>
      <c r="AAP31" s="37">
        <v>300950</v>
      </c>
      <c r="AAQ31" s="37">
        <v>0</v>
      </c>
      <c r="AAR31" s="37">
        <v>14675</v>
      </c>
      <c r="AAS31" s="37">
        <v>24659</v>
      </c>
      <c r="AAT31" s="68">
        <v>386264</v>
      </c>
      <c r="AAU31" s="37">
        <v>336673</v>
      </c>
      <c r="AAV31" s="37">
        <v>1790</v>
      </c>
      <c r="AAW31" s="37">
        <v>19140</v>
      </c>
      <c r="AAX31" s="37">
        <v>42962</v>
      </c>
      <c r="AAY31" s="1">
        <v>8859</v>
      </c>
      <c r="AAZ31" s="1">
        <v>0</v>
      </c>
      <c r="ABA31" s="1">
        <v>2711</v>
      </c>
      <c r="ABB31" s="1">
        <v>21186</v>
      </c>
      <c r="ABC31" s="1">
        <v>10206</v>
      </c>
      <c r="ABD31" s="10">
        <v>53714</v>
      </c>
      <c r="ABE31" s="3">
        <v>51235</v>
      </c>
      <c r="ABF31" s="3">
        <v>159</v>
      </c>
      <c r="ABG31" s="3">
        <v>921</v>
      </c>
      <c r="ABH31" s="3">
        <v>2320</v>
      </c>
      <c r="ABI31" s="10">
        <v>67391</v>
      </c>
      <c r="ABJ31" s="3">
        <v>62306</v>
      </c>
      <c r="ABK31" s="3">
        <v>434</v>
      </c>
      <c r="ABL31" s="3">
        <v>1943</v>
      </c>
      <c r="ABM31" s="3">
        <v>3223</v>
      </c>
      <c r="ABN31" s="10">
        <v>73309</v>
      </c>
      <c r="ABO31" s="3">
        <v>69458</v>
      </c>
      <c r="ABP31" s="3">
        <v>265</v>
      </c>
      <c r="ABQ31" s="3">
        <v>1470</v>
      </c>
      <c r="ABR31" s="3">
        <v>3586</v>
      </c>
      <c r="ABS31" s="10">
        <v>75923.308999999994</v>
      </c>
      <c r="ABT31" s="3">
        <v>71216.53</v>
      </c>
      <c r="ABU31" s="3"/>
      <c r="ABV31" s="3">
        <v>1775.8620000000001</v>
      </c>
      <c r="ABW31" s="8">
        <v>4706.778999999995</v>
      </c>
      <c r="ABX31" s="1">
        <v>78868</v>
      </c>
      <c r="ABY31" s="1">
        <v>73049</v>
      </c>
      <c r="ABZ31" s="1">
        <v>461</v>
      </c>
      <c r="ACA31" s="1">
        <v>1995</v>
      </c>
      <c r="ACB31" s="49">
        <v>3819</v>
      </c>
      <c r="ACC31" s="1">
        <v>81095</v>
      </c>
      <c r="ACD31" s="1">
        <v>74571</v>
      </c>
      <c r="ACE31" s="1">
        <v>425</v>
      </c>
      <c r="ACF31" s="1">
        <v>2392</v>
      </c>
      <c r="ACG31" s="1">
        <v>4133</v>
      </c>
      <c r="ACH31" s="1">
        <v>86414</v>
      </c>
      <c r="ACI31" s="1">
        <v>80680</v>
      </c>
      <c r="ACJ31" s="1">
        <v>417</v>
      </c>
      <c r="ACK31" s="1">
        <v>2116</v>
      </c>
      <c r="ACL31" s="1">
        <v>3775</v>
      </c>
      <c r="ACM31" s="1">
        <v>87346</v>
      </c>
      <c r="ACN31" s="1">
        <v>79882</v>
      </c>
      <c r="ACO31" s="1">
        <v>0</v>
      </c>
      <c r="ACP31" s="1">
        <v>2080</v>
      </c>
      <c r="ACQ31" s="1">
        <v>4530</v>
      </c>
      <c r="ACR31" s="1">
        <v>97047</v>
      </c>
      <c r="ACS31" s="1">
        <v>86580</v>
      </c>
      <c r="ACU31" s="1">
        <v>3179</v>
      </c>
      <c r="ACV31" s="1">
        <v>7356</v>
      </c>
      <c r="ADB31" s="50">
        <v>94858</v>
      </c>
      <c r="ADC31" s="1">
        <v>87343</v>
      </c>
      <c r="ADD31" s="1">
        <v>0</v>
      </c>
      <c r="ADE31" s="1">
        <v>2822</v>
      </c>
      <c r="ADF31" s="1">
        <v>4491</v>
      </c>
      <c r="ADG31" s="50">
        <v>102800</v>
      </c>
      <c r="ADL31" s="50">
        <v>116466</v>
      </c>
      <c r="ADM31" s="1">
        <v>104811</v>
      </c>
      <c r="ADN31" s="1">
        <v>0</v>
      </c>
      <c r="ADO31" s="1">
        <v>2984</v>
      </c>
      <c r="ADP31" s="1">
        <v>9097</v>
      </c>
      <c r="ADQ31" s="50">
        <v>132502</v>
      </c>
      <c r="ADR31" s="1">
        <v>115689</v>
      </c>
      <c r="ADS31" s="1">
        <v>403</v>
      </c>
      <c r="ADT31" s="1">
        <v>6180</v>
      </c>
      <c r="ADU31" s="1">
        <v>14689</v>
      </c>
      <c r="ADV31" s="1">
        <v>4356</v>
      </c>
      <c r="ADW31" s="1">
        <v>0</v>
      </c>
      <c r="ADX31" s="1">
        <v>481</v>
      </c>
      <c r="ADY31" s="1">
        <v>6860</v>
      </c>
      <c r="ADZ31" s="1">
        <v>2992</v>
      </c>
    </row>
    <row r="32" spans="1:806" ht="14.1">
      <c r="A32" s="138" t="s">
        <v>31</v>
      </c>
      <c r="B32" s="174" t="s">
        <v>221</v>
      </c>
      <c r="C32" s="175" t="s">
        <v>221</v>
      </c>
      <c r="D32" s="175" t="s">
        <v>221</v>
      </c>
      <c r="E32" s="175" t="s">
        <v>221</v>
      </c>
      <c r="F32" s="176" t="s">
        <v>221</v>
      </c>
      <c r="G32" s="3">
        <v>41144</v>
      </c>
      <c r="H32" s="3">
        <v>37902</v>
      </c>
      <c r="I32" s="3">
        <v>75</v>
      </c>
      <c r="J32" s="3">
        <v>844</v>
      </c>
      <c r="K32" s="8">
        <v>3167</v>
      </c>
      <c r="L32" s="3">
        <v>25200</v>
      </c>
      <c r="M32" s="3">
        <v>22275</v>
      </c>
      <c r="N32" s="3">
        <v>23</v>
      </c>
      <c r="O32" s="3">
        <v>820</v>
      </c>
      <c r="P32" s="8">
        <v>2902</v>
      </c>
      <c r="Q32" s="3">
        <v>20976</v>
      </c>
      <c r="R32" s="3">
        <v>17916</v>
      </c>
      <c r="S32" s="3">
        <v>27</v>
      </c>
      <c r="T32" s="3">
        <v>833</v>
      </c>
      <c r="U32" s="8">
        <v>2637</v>
      </c>
      <c r="V32" s="5">
        <v>17581</v>
      </c>
      <c r="W32" s="5">
        <v>14978</v>
      </c>
      <c r="X32" s="5">
        <v>0</v>
      </c>
      <c r="Y32" s="5">
        <v>826</v>
      </c>
      <c r="Z32" s="408">
        <v>2603</v>
      </c>
      <c r="AA32" s="5">
        <v>15159</v>
      </c>
      <c r="AB32" s="5">
        <v>12253</v>
      </c>
      <c r="AC32" s="5">
        <v>41</v>
      </c>
      <c r="AD32" s="5">
        <v>1070</v>
      </c>
      <c r="AE32" s="5">
        <v>2248</v>
      </c>
      <c r="AF32" s="399">
        <v>14449</v>
      </c>
      <c r="AG32" s="5">
        <v>11654</v>
      </c>
      <c r="AH32" s="5">
        <v>96</v>
      </c>
      <c r="AI32" s="5">
        <v>993</v>
      </c>
      <c r="AJ32" s="490">
        <v>2237</v>
      </c>
      <c r="AK32" s="490">
        <v>15058</v>
      </c>
      <c r="AL32" s="490">
        <v>12121</v>
      </c>
      <c r="AM32" s="685">
        <v>0</v>
      </c>
      <c r="AN32" s="685">
        <v>1441</v>
      </c>
      <c r="AO32" s="490">
        <v>1480</v>
      </c>
      <c r="AP32" s="394">
        <v>14391</v>
      </c>
      <c r="AQ32" s="394">
        <v>11381</v>
      </c>
      <c r="AR32" s="394">
        <v>0</v>
      </c>
      <c r="AS32" s="394">
        <v>997</v>
      </c>
      <c r="AT32" s="394">
        <v>1941</v>
      </c>
      <c r="AU32" s="393">
        <v>13453</v>
      </c>
      <c r="AV32" s="394">
        <v>10489</v>
      </c>
      <c r="AW32" s="394">
        <v>0</v>
      </c>
      <c r="AX32" s="394">
        <v>1539</v>
      </c>
      <c r="AY32" s="394">
        <v>1378</v>
      </c>
      <c r="AZ32" s="1">
        <v>0</v>
      </c>
      <c r="BA32" s="1">
        <v>0</v>
      </c>
      <c r="BB32" s="1">
        <v>951</v>
      </c>
      <c r="BC32" s="1">
        <v>427</v>
      </c>
      <c r="BE32" s="393">
        <v>16155</v>
      </c>
      <c r="BF32" s="394">
        <v>12768</v>
      </c>
      <c r="BG32" s="394">
        <v>0</v>
      </c>
      <c r="BH32" s="394">
        <v>1899</v>
      </c>
      <c r="BI32" s="394">
        <v>940</v>
      </c>
      <c r="BJ32" s="393">
        <v>13375</v>
      </c>
      <c r="BK32" s="394"/>
      <c r="BL32" s="394"/>
      <c r="BM32" s="394"/>
      <c r="BN32" s="394"/>
      <c r="BO32" s="393">
        <v>12087</v>
      </c>
      <c r="BP32" s="394">
        <v>9491</v>
      </c>
      <c r="BQ32" s="394">
        <v>0</v>
      </c>
      <c r="BR32" s="394">
        <v>1318</v>
      </c>
      <c r="BS32" s="394">
        <v>1522</v>
      </c>
      <c r="BT32" s="393">
        <v>10816</v>
      </c>
      <c r="BU32" s="394">
        <v>6538</v>
      </c>
      <c r="BV32" s="394">
        <v>0</v>
      </c>
      <c r="BW32" s="394">
        <v>1955</v>
      </c>
      <c r="BX32" s="394">
        <v>300</v>
      </c>
      <c r="BY32" s="1">
        <v>0</v>
      </c>
      <c r="BZ32" s="1">
        <v>1415</v>
      </c>
      <c r="CA32" s="1">
        <v>1166</v>
      </c>
      <c r="CB32" s="1">
        <v>912</v>
      </c>
      <c r="CC32" s="10">
        <v>55325</v>
      </c>
      <c r="CD32" s="3">
        <v>49963</v>
      </c>
      <c r="CE32" s="3">
        <v>113</v>
      </c>
      <c r="CF32" s="3">
        <v>1955</v>
      </c>
      <c r="CG32" s="8">
        <v>5249</v>
      </c>
      <c r="CH32" s="3">
        <v>50158</v>
      </c>
      <c r="CI32" s="3">
        <v>43976</v>
      </c>
      <c r="CJ32" s="3">
        <v>77</v>
      </c>
      <c r="CK32" s="3">
        <v>1072</v>
      </c>
      <c r="CL32" s="8">
        <v>6105</v>
      </c>
      <c r="CM32" s="1">
        <v>41700</v>
      </c>
      <c r="CN32" s="3">
        <v>35057</v>
      </c>
      <c r="CO32" s="3">
        <v>351</v>
      </c>
      <c r="CP32" s="3">
        <v>1191</v>
      </c>
      <c r="CQ32" s="8">
        <v>5593</v>
      </c>
      <c r="CR32" s="3">
        <v>39841</v>
      </c>
      <c r="CS32" s="3">
        <v>33542</v>
      </c>
      <c r="CT32" s="3">
        <v>0</v>
      </c>
      <c r="CU32" s="3">
        <v>1210</v>
      </c>
      <c r="CV32" s="8">
        <v>6299</v>
      </c>
      <c r="CW32" s="3">
        <v>37553</v>
      </c>
      <c r="CX32" s="3">
        <v>30604</v>
      </c>
      <c r="CY32" s="3">
        <v>208</v>
      </c>
      <c r="CZ32" s="3">
        <v>1449</v>
      </c>
      <c r="DA32" s="3">
        <v>5645</v>
      </c>
      <c r="DB32" s="3">
        <v>36750</v>
      </c>
      <c r="DC32" s="3">
        <v>30316</v>
      </c>
      <c r="DD32" s="3">
        <v>125</v>
      </c>
      <c r="DE32" s="3">
        <v>1427</v>
      </c>
      <c r="DF32" s="39">
        <v>5615</v>
      </c>
      <c r="DG32" s="39">
        <v>36344</v>
      </c>
      <c r="DH32" s="39">
        <v>28733</v>
      </c>
      <c r="DI32" s="39">
        <v>0</v>
      </c>
      <c r="DJ32" s="39">
        <v>969</v>
      </c>
      <c r="DK32" s="39">
        <v>6017</v>
      </c>
      <c r="DL32" s="39">
        <v>31182</v>
      </c>
      <c r="DM32" s="39">
        <v>24285</v>
      </c>
      <c r="DN32" s="39">
        <v>0</v>
      </c>
      <c r="DO32" s="39">
        <v>1952</v>
      </c>
      <c r="DP32" s="39">
        <v>5036</v>
      </c>
      <c r="DQ32" s="39">
        <v>37785</v>
      </c>
      <c r="DR32" s="39">
        <v>30608</v>
      </c>
      <c r="DS32" s="39">
        <v>0</v>
      </c>
      <c r="DT32" s="39">
        <v>1613</v>
      </c>
      <c r="DU32" s="39">
        <v>5047</v>
      </c>
      <c r="DV32" s="118">
        <v>34574</v>
      </c>
      <c r="DW32" s="39">
        <v>25585</v>
      </c>
      <c r="DX32" s="39">
        <v>0</v>
      </c>
      <c r="DY32" s="39">
        <v>3328</v>
      </c>
      <c r="DZ32" s="39">
        <v>5275</v>
      </c>
      <c r="EA32" s="118">
        <v>31704</v>
      </c>
      <c r="EB32" s="39"/>
      <c r="EC32" s="39"/>
      <c r="ED32" s="39"/>
      <c r="EE32" s="39"/>
      <c r="EF32" s="118">
        <v>30595</v>
      </c>
      <c r="EG32" s="39">
        <v>23637</v>
      </c>
      <c r="EH32" s="39">
        <v>0</v>
      </c>
      <c r="EI32" s="39">
        <v>2070</v>
      </c>
      <c r="EJ32" s="39">
        <v>5719</v>
      </c>
      <c r="EK32" s="118">
        <v>30595</v>
      </c>
      <c r="EL32" s="39">
        <v>23637</v>
      </c>
      <c r="EM32" s="39">
        <v>0</v>
      </c>
      <c r="EN32" s="39">
        <v>2070</v>
      </c>
      <c r="EO32" s="39">
        <v>5719</v>
      </c>
      <c r="EP32" s="118">
        <v>32492</v>
      </c>
      <c r="EQ32" s="39">
        <v>23763</v>
      </c>
      <c r="ER32" s="39">
        <v>0</v>
      </c>
      <c r="ES32" s="39">
        <v>2068</v>
      </c>
      <c r="ET32" s="1">
        <v>482</v>
      </c>
      <c r="EU32" s="1">
        <v>0</v>
      </c>
      <c r="EV32" s="1">
        <v>4806</v>
      </c>
      <c r="EW32" s="1">
        <v>2075</v>
      </c>
      <c r="EX32" s="1">
        <v>869</v>
      </c>
      <c r="EY32" s="10">
        <v>55786</v>
      </c>
      <c r="EZ32" s="3">
        <v>47089</v>
      </c>
      <c r="FA32" s="3"/>
      <c r="FB32" s="3">
        <v>2272</v>
      </c>
      <c r="FC32" s="201">
        <f t="shared" si="497"/>
        <v>8697</v>
      </c>
      <c r="FD32" s="174" t="s">
        <v>221</v>
      </c>
      <c r="FE32" s="175" t="s">
        <v>221</v>
      </c>
      <c r="FF32" s="175" t="s">
        <v>221</v>
      </c>
      <c r="FG32" s="175" t="s">
        <v>221</v>
      </c>
      <c r="FH32" s="174" t="s">
        <v>221</v>
      </c>
      <c r="FI32" s="175" t="s">
        <v>221</v>
      </c>
      <c r="FJ32" s="175" t="s">
        <v>221</v>
      </c>
      <c r="FK32" s="175" t="s">
        <v>221</v>
      </c>
      <c r="FL32" s="176" t="s">
        <v>221</v>
      </c>
      <c r="FM32" s="3">
        <v>411382</v>
      </c>
      <c r="FN32" s="3">
        <v>392261</v>
      </c>
      <c r="FO32" s="3">
        <v>798</v>
      </c>
      <c r="FP32" s="3">
        <v>3604</v>
      </c>
      <c r="FQ32" s="8">
        <v>18323</v>
      </c>
      <c r="FR32" s="3">
        <v>511263</v>
      </c>
      <c r="FS32" s="3">
        <v>478948</v>
      </c>
      <c r="FT32" s="3">
        <v>1030</v>
      </c>
      <c r="FU32" s="3">
        <v>6720</v>
      </c>
      <c r="FV32" s="3">
        <v>31285</v>
      </c>
      <c r="FW32" s="127">
        <v>569070</v>
      </c>
      <c r="FX32" s="3">
        <v>523701</v>
      </c>
      <c r="FY32" s="3">
        <v>1967</v>
      </c>
      <c r="FZ32" s="3">
        <v>10604</v>
      </c>
      <c r="GA32" s="3">
        <v>9413</v>
      </c>
      <c r="GB32" s="10">
        <v>579340</v>
      </c>
      <c r="GC32" s="3">
        <v>539406</v>
      </c>
      <c r="GD32" s="3">
        <v>1670</v>
      </c>
      <c r="GE32" s="3">
        <v>38264</v>
      </c>
      <c r="GF32" s="3">
        <v>10610</v>
      </c>
      <c r="GG32" s="42">
        <v>582774</v>
      </c>
      <c r="GH32" s="40">
        <v>542212</v>
      </c>
      <c r="GI32" s="40">
        <v>1919</v>
      </c>
      <c r="GJ32" s="40">
        <v>38643</v>
      </c>
      <c r="GK32" s="40">
        <v>11105</v>
      </c>
      <c r="GL32" s="10">
        <v>606776</v>
      </c>
      <c r="GM32" s="3">
        <v>565368</v>
      </c>
      <c r="GN32" s="3">
        <v>0</v>
      </c>
      <c r="GO32" s="3">
        <v>11153</v>
      </c>
      <c r="GP32" s="3">
        <v>31239</v>
      </c>
      <c r="GQ32" s="10">
        <v>617011.66800000006</v>
      </c>
      <c r="GR32" s="3">
        <v>572504.85600000003</v>
      </c>
      <c r="GS32" s="3"/>
      <c r="GT32" s="3">
        <v>11412.456</v>
      </c>
      <c r="GU32" s="373">
        <f t="shared" si="498"/>
        <v>44506.812000000034</v>
      </c>
      <c r="GV32" s="3">
        <v>625860</v>
      </c>
      <c r="GW32" s="3">
        <v>572211</v>
      </c>
      <c r="GX32" s="3">
        <v>2108</v>
      </c>
      <c r="GY32" s="3">
        <v>12114</v>
      </c>
      <c r="GZ32" s="3">
        <v>42713</v>
      </c>
      <c r="HA32" s="3">
        <v>632739</v>
      </c>
      <c r="HB32" s="3">
        <v>576411</v>
      </c>
      <c r="HC32" s="3">
        <v>2392</v>
      </c>
      <c r="HD32" s="3">
        <v>12682</v>
      </c>
      <c r="HE32" s="3">
        <v>45023</v>
      </c>
      <c r="HF32" s="3">
        <v>644448</v>
      </c>
      <c r="HG32" s="3">
        <v>586437</v>
      </c>
      <c r="HH32" s="3">
        <v>0</v>
      </c>
      <c r="HI32" s="3">
        <v>12610</v>
      </c>
      <c r="HJ32" s="3">
        <v>43458</v>
      </c>
      <c r="HK32" s="3">
        <v>660756</v>
      </c>
      <c r="HL32" s="3">
        <v>597937</v>
      </c>
      <c r="HM32" s="3">
        <v>0</v>
      </c>
      <c r="HN32" s="3">
        <v>15638</v>
      </c>
      <c r="HO32" s="3">
        <v>45950</v>
      </c>
      <c r="HP32" s="10">
        <v>661378</v>
      </c>
      <c r="HQ32" s="3">
        <v>598463</v>
      </c>
      <c r="HR32" s="3">
        <v>0</v>
      </c>
      <c r="HS32" s="3">
        <v>14946</v>
      </c>
      <c r="HT32" s="3">
        <v>43073</v>
      </c>
      <c r="HU32" s="394">
        <v>0</v>
      </c>
      <c r="HV32" s="1">
        <v>0</v>
      </c>
      <c r="HW32" s="1">
        <v>29588</v>
      </c>
      <c r="HX32" s="1">
        <v>13485</v>
      </c>
      <c r="HZ32" s="10">
        <v>672937</v>
      </c>
      <c r="IA32" s="3">
        <v>607037</v>
      </c>
      <c r="IB32" s="3">
        <v>0</v>
      </c>
      <c r="IC32" s="3">
        <v>13502</v>
      </c>
      <c r="ID32" s="3">
        <v>45039</v>
      </c>
      <c r="IE32" s="399">
        <v>690682</v>
      </c>
      <c r="IF32" s="5"/>
      <c r="IG32" s="5"/>
      <c r="IH32" s="5"/>
      <c r="II32" s="5"/>
      <c r="IJ32" s="399">
        <v>699268</v>
      </c>
      <c r="IK32" s="5">
        <v>625634</v>
      </c>
      <c r="IL32" s="5">
        <v>0</v>
      </c>
      <c r="IM32" s="5">
        <v>18714</v>
      </c>
      <c r="IN32" s="5">
        <v>58952</v>
      </c>
      <c r="IO32" s="399">
        <v>723450</v>
      </c>
      <c r="IP32" s="5">
        <v>635885</v>
      </c>
      <c r="IQ32" s="5">
        <v>0</v>
      </c>
      <c r="IR32" s="5">
        <v>20603</v>
      </c>
      <c r="IS32" s="5">
        <v>78691</v>
      </c>
      <c r="IT32" s="1">
        <v>5526</v>
      </c>
      <c r="IU32" s="1">
        <v>0</v>
      </c>
      <c r="IV32" s="1">
        <v>28335</v>
      </c>
      <c r="IW32" s="1">
        <v>36821</v>
      </c>
      <c r="IX32" s="1">
        <v>8009</v>
      </c>
      <c r="IY32" s="380" t="s">
        <v>221</v>
      </c>
      <c r="IZ32" s="188" t="s">
        <v>221</v>
      </c>
      <c r="JA32" s="188" t="s">
        <v>221</v>
      </c>
      <c r="JB32" s="188" t="s">
        <v>221</v>
      </c>
      <c r="JC32" s="635" t="s">
        <v>221</v>
      </c>
      <c r="JD32" s="5">
        <v>140791</v>
      </c>
      <c r="JE32" s="5">
        <v>132402</v>
      </c>
      <c r="JF32" s="5">
        <v>396</v>
      </c>
      <c r="JG32" s="5">
        <v>1261</v>
      </c>
      <c r="JH32" s="408">
        <v>7993</v>
      </c>
      <c r="JI32" s="5">
        <v>184887</v>
      </c>
      <c r="JJ32" s="5">
        <v>170622</v>
      </c>
      <c r="JK32" s="5">
        <v>474</v>
      </c>
      <c r="JL32" s="5">
        <v>2673</v>
      </c>
      <c r="JM32" s="408">
        <v>13791</v>
      </c>
      <c r="JN32" s="5">
        <v>195791</v>
      </c>
      <c r="JO32" s="5">
        <v>176157</v>
      </c>
      <c r="JP32" s="5">
        <v>887</v>
      </c>
      <c r="JQ32" s="5">
        <v>3581</v>
      </c>
      <c r="JR32" s="5">
        <v>16672</v>
      </c>
      <c r="JS32" s="5">
        <v>217395</v>
      </c>
      <c r="JT32" s="5">
        <v>198816</v>
      </c>
      <c r="JU32" s="5">
        <v>0</v>
      </c>
      <c r="JV32" s="5">
        <v>4465</v>
      </c>
      <c r="JW32" s="408">
        <v>18579</v>
      </c>
      <c r="JX32" s="5">
        <v>221129.45399999997</v>
      </c>
      <c r="JY32" s="5">
        <v>201987.644</v>
      </c>
      <c r="JZ32" s="5"/>
      <c r="KA32" s="5">
        <v>4789.3999999999996</v>
      </c>
      <c r="KB32" s="408">
        <v>19141.809999999969</v>
      </c>
      <c r="KC32" s="5">
        <v>226672</v>
      </c>
      <c r="KD32" s="5">
        <v>202785</v>
      </c>
      <c r="KE32" s="5">
        <v>916</v>
      </c>
      <c r="KF32" s="5">
        <v>5161</v>
      </c>
      <c r="KG32" s="439">
        <v>19252</v>
      </c>
      <c r="KH32" s="439">
        <v>232108</v>
      </c>
      <c r="KI32" s="439">
        <v>207534</v>
      </c>
      <c r="KJ32" s="439">
        <v>1002</v>
      </c>
      <c r="KK32" s="439">
        <v>5383</v>
      </c>
      <c r="KL32" s="439">
        <v>19805</v>
      </c>
      <c r="KM32" s="439">
        <v>227444</v>
      </c>
      <c r="KN32" s="439">
        <v>204192</v>
      </c>
      <c r="KO32" s="439">
        <v>0</v>
      </c>
      <c r="KP32" s="439">
        <v>4716</v>
      </c>
      <c r="KQ32" s="439">
        <v>18245</v>
      </c>
      <c r="KR32" s="439">
        <v>222183</v>
      </c>
      <c r="KS32" s="439">
        <v>199297</v>
      </c>
      <c r="KT32" s="439">
        <v>0</v>
      </c>
      <c r="KU32" s="439">
        <v>4736</v>
      </c>
      <c r="KV32" s="439">
        <v>17809</v>
      </c>
      <c r="KW32" s="630">
        <v>234357</v>
      </c>
      <c r="KX32" s="439">
        <v>209336</v>
      </c>
      <c r="KY32" s="439">
        <v>0</v>
      </c>
      <c r="KZ32" s="439">
        <v>5403</v>
      </c>
      <c r="LA32" s="439">
        <v>19205</v>
      </c>
      <c r="LB32" s="652">
        <v>235979</v>
      </c>
      <c r="LC32" s="653">
        <v>207794</v>
      </c>
      <c r="LD32" s="653">
        <v>0</v>
      </c>
      <c r="LE32" s="653">
        <v>5191</v>
      </c>
      <c r="LF32" s="653">
        <v>20206</v>
      </c>
      <c r="LG32" s="652">
        <v>251781</v>
      </c>
      <c r="LH32" s="653"/>
      <c r="LI32" s="439"/>
      <c r="LJ32" s="439"/>
      <c r="LK32" s="439"/>
      <c r="LL32" s="652">
        <v>239041</v>
      </c>
      <c r="LM32" s="653">
        <v>210599</v>
      </c>
      <c r="LN32" s="653">
        <v>0</v>
      </c>
      <c r="LO32" s="653">
        <v>7189</v>
      </c>
      <c r="LP32" s="653">
        <v>22445</v>
      </c>
      <c r="LQ32" s="652">
        <v>251103</v>
      </c>
      <c r="LR32" s="653">
        <v>215763</v>
      </c>
      <c r="LS32" s="653">
        <v>0</v>
      </c>
      <c r="LT32" s="653">
        <v>7599</v>
      </c>
      <c r="LU32" s="653">
        <v>31919</v>
      </c>
      <c r="LV32" s="1">
        <v>815</v>
      </c>
      <c r="LW32" s="1">
        <v>0</v>
      </c>
      <c r="LX32" s="1">
        <v>13912</v>
      </c>
      <c r="LY32" s="1">
        <v>13745</v>
      </c>
      <c r="LZ32" s="1">
        <v>3447</v>
      </c>
      <c r="MA32" s="10">
        <v>28555</v>
      </c>
      <c r="MB32" s="3">
        <v>26698</v>
      </c>
      <c r="MC32" s="3">
        <v>77</v>
      </c>
      <c r="MD32" s="3">
        <v>291</v>
      </c>
      <c r="ME32" s="8">
        <v>1780</v>
      </c>
      <c r="MF32" s="3">
        <v>34420</v>
      </c>
      <c r="MG32" s="3">
        <v>30998</v>
      </c>
      <c r="MH32" s="3">
        <v>113</v>
      </c>
      <c r="MI32" s="3">
        <v>541</v>
      </c>
      <c r="MJ32" s="8">
        <v>3309</v>
      </c>
      <c r="MK32" s="3">
        <v>47959</v>
      </c>
      <c r="ML32" s="3">
        <v>42215</v>
      </c>
      <c r="MM32" s="3">
        <v>191</v>
      </c>
      <c r="MN32" s="3">
        <v>980</v>
      </c>
      <c r="MO32" s="3">
        <v>4937</v>
      </c>
      <c r="MP32" s="10">
        <v>52709</v>
      </c>
      <c r="MQ32" s="3">
        <v>47672</v>
      </c>
      <c r="MR32" s="3">
        <v>0</v>
      </c>
      <c r="MS32" s="3">
        <v>1031</v>
      </c>
      <c r="MT32" s="3">
        <v>5037</v>
      </c>
      <c r="MU32" s="10"/>
      <c r="MV32" s="3"/>
      <c r="MW32" s="3"/>
      <c r="MX32" s="3"/>
      <c r="MY32" s="8"/>
      <c r="MZ32" s="3">
        <v>55523</v>
      </c>
      <c r="NA32" s="3">
        <v>49300</v>
      </c>
      <c r="NB32" s="3">
        <v>177</v>
      </c>
      <c r="NC32" s="3">
        <v>1115</v>
      </c>
      <c r="ND32" s="3">
        <v>5120</v>
      </c>
      <c r="NE32" s="3">
        <v>57289</v>
      </c>
      <c r="NF32" s="3">
        <v>50671</v>
      </c>
      <c r="NG32" s="3">
        <v>217</v>
      </c>
      <c r="NH32" s="3">
        <v>1264</v>
      </c>
      <c r="NI32" s="3">
        <v>5297</v>
      </c>
      <c r="NJ32" s="3">
        <v>57211</v>
      </c>
      <c r="NK32" s="3">
        <v>51472</v>
      </c>
      <c r="NL32" s="3">
        <v>0</v>
      </c>
      <c r="NM32" s="3">
        <v>883</v>
      </c>
      <c r="NN32" s="3">
        <v>12227</v>
      </c>
      <c r="NO32" s="3">
        <v>60796</v>
      </c>
      <c r="NP32" s="3">
        <v>54493</v>
      </c>
      <c r="NQ32" s="3">
        <v>0</v>
      </c>
      <c r="NR32" s="3">
        <v>1066</v>
      </c>
      <c r="NS32" s="3">
        <v>5114</v>
      </c>
      <c r="NT32" s="3">
        <v>66134</v>
      </c>
      <c r="NU32" s="3">
        <v>58357</v>
      </c>
      <c r="NV32" s="3">
        <v>0</v>
      </c>
      <c r="NW32" s="3">
        <v>1952</v>
      </c>
      <c r="NX32" s="3">
        <v>5612</v>
      </c>
      <c r="NY32" s="10">
        <v>65772</v>
      </c>
      <c r="NZ32" s="3">
        <v>57566</v>
      </c>
      <c r="OA32" s="3">
        <v>0</v>
      </c>
      <c r="OB32" s="3">
        <v>1253</v>
      </c>
      <c r="OC32" s="3">
        <v>6068</v>
      </c>
      <c r="OD32" s="10">
        <v>71397</v>
      </c>
      <c r="OE32" s="3"/>
      <c r="OF32" s="3"/>
      <c r="OG32" s="3"/>
      <c r="OH32" s="3"/>
      <c r="OI32" s="10">
        <v>69400</v>
      </c>
      <c r="OJ32" s="3">
        <v>60588</v>
      </c>
      <c r="OK32" s="3">
        <v>0</v>
      </c>
      <c r="OL32" s="3">
        <v>2178</v>
      </c>
      <c r="OM32" s="3">
        <v>6859</v>
      </c>
      <c r="ON32" s="10">
        <v>69432</v>
      </c>
      <c r="OO32" s="3">
        <v>59505</v>
      </c>
      <c r="OP32" s="3">
        <v>0</v>
      </c>
      <c r="OQ32" s="3">
        <v>2145</v>
      </c>
      <c r="OR32" s="3">
        <v>624</v>
      </c>
      <c r="OS32" s="1">
        <v>102</v>
      </c>
      <c r="OT32" s="1">
        <v>0</v>
      </c>
      <c r="OU32" s="1">
        <v>4093</v>
      </c>
      <c r="OV32" s="1">
        <v>4338</v>
      </c>
      <c r="OW32" s="1">
        <v>624</v>
      </c>
      <c r="OX32" s="402">
        <f t="shared" si="499"/>
        <v>103362</v>
      </c>
      <c r="OY32" s="382">
        <f t="shared" si="500"/>
        <v>96303</v>
      </c>
      <c r="OZ32" s="382">
        <f t="shared" si="501"/>
        <v>4800</v>
      </c>
      <c r="PA32" s="382">
        <f t="shared" si="502"/>
        <v>13739</v>
      </c>
      <c r="PB32" s="382">
        <f t="shared" si="503"/>
        <v>5720</v>
      </c>
      <c r="PC32" s="402">
        <f t="shared" si="504"/>
        <v>177381</v>
      </c>
      <c r="PD32" s="382">
        <f t="shared" si="505"/>
        <v>167856</v>
      </c>
      <c r="PE32" s="382">
        <f t="shared" si="506"/>
        <v>488</v>
      </c>
      <c r="PF32" s="382">
        <f t="shared" si="507"/>
        <v>1864</v>
      </c>
      <c r="PG32" s="382">
        <f t="shared" si="508"/>
        <v>9037</v>
      </c>
      <c r="PH32" s="10">
        <v>212835</v>
      </c>
      <c r="PI32" s="3">
        <v>200310</v>
      </c>
      <c r="PJ32" s="3">
        <v>0</v>
      </c>
      <c r="PK32" s="3">
        <v>3167</v>
      </c>
      <c r="PL32" s="3">
        <v>12525</v>
      </c>
      <c r="PM32" s="3">
        <v>216893</v>
      </c>
      <c r="PN32" s="3">
        <v>202699</v>
      </c>
      <c r="PO32" s="3">
        <v>527</v>
      </c>
      <c r="PP32" s="3">
        <v>2976</v>
      </c>
      <c r="PQ32" s="3">
        <v>11641</v>
      </c>
      <c r="PR32" s="399"/>
      <c r="PS32" s="5"/>
      <c r="PT32" s="5"/>
      <c r="PU32" s="5"/>
      <c r="PV32" s="5"/>
      <c r="PW32" s="5">
        <v>250764</v>
      </c>
      <c r="PX32" s="5">
        <v>233495</v>
      </c>
      <c r="PY32" s="5">
        <v>887</v>
      </c>
      <c r="PZ32" s="5">
        <v>3577</v>
      </c>
      <c r="QA32" s="408">
        <v>13449</v>
      </c>
      <c r="QB32" s="5">
        <v>254818</v>
      </c>
      <c r="QC32" s="5">
        <v>236991</v>
      </c>
      <c r="QD32" s="5">
        <v>1001</v>
      </c>
      <c r="QE32" s="5">
        <v>3880</v>
      </c>
      <c r="QF32" s="5">
        <v>13819</v>
      </c>
      <c r="QG32" s="5">
        <v>261050</v>
      </c>
      <c r="QH32" s="5">
        <v>244322</v>
      </c>
      <c r="QI32" s="5">
        <v>0</v>
      </c>
      <c r="QJ32" s="5">
        <v>3935</v>
      </c>
      <c r="QK32" s="5">
        <v>12227</v>
      </c>
      <c r="QL32" s="399">
        <v>276970</v>
      </c>
      <c r="QM32" s="5">
        <v>257207</v>
      </c>
      <c r="QN32" s="5">
        <v>0</v>
      </c>
      <c r="QO32" s="5">
        <v>3918</v>
      </c>
      <c r="QP32" s="5">
        <v>15322</v>
      </c>
      <c r="QQ32" s="399">
        <v>286740</v>
      </c>
      <c r="QR32" s="5">
        <v>262532</v>
      </c>
      <c r="QS32" s="5">
        <v>0</v>
      </c>
      <c r="QT32" s="5">
        <v>6306</v>
      </c>
      <c r="QU32" s="5">
        <v>14490</v>
      </c>
      <c r="QV32" s="399">
        <v>299589</v>
      </c>
      <c r="QW32" s="5">
        <v>275380</v>
      </c>
      <c r="QX32" s="5">
        <v>0</v>
      </c>
      <c r="QY32" s="5">
        <v>4700</v>
      </c>
      <c r="QZ32" s="5">
        <v>15777</v>
      </c>
      <c r="RA32" s="399">
        <v>304802</v>
      </c>
      <c r="RB32" s="5"/>
      <c r="RC32" s="5"/>
      <c r="RD32" s="5"/>
      <c r="RE32" s="5"/>
      <c r="RF32" s="5">
        <v>318548</v>
      </c>
      <c r="RG32" s="5">
        <v>288031</v>
      </c>
      <c r="RH32" s="5">
        <v>0</v>
      </c>
      <c r="RI32" s="5">
        <v>8101</v>
      </c>
      <c r="RJ32" s="5">
        <v>23884</v>
      </c>
      <c r="RK32" s="5">
        <v>336252</v>
      </c>
      <c r="RL32" s="5">
        <v>301199</v>
      </c>
      <c r="RM32" s="5">
        <v>0</v>
      </c>
      <c r="RN32" s="5">
        <v>6904</v>
      </c>
      <c r="RO32" s="5">
        <v>32095</v>
      </c>
      <c r="RP32" s="1">
        <v>3299</v>
      </c>
      <c r="RQ32" s="1">
        <v>0</v>
      </c>
      <c r="RR32" s="1">
        <v>8652</v>
      </c>
      <c r="RS32" s="1">
        <v>17421</v>
      </c>
      <c r="RT32" s="1">
        <v>2723</v>
      </c>
      <c r="RU32" s="10">
        <v>71610</v>
      </c>
      <c r="RV32" s="3">
        <v>69605</v>
      </c>
      <c r="RW32" s="3">
        <v>164</v>
      </c>
      <c r="RX32" s="3">
        <v>365</v>
      </c>
      <c r="RY32" s="3">
        <v>1841</v>
      </c>
      <c r="RZ32" s="10">
        <v>100758</v>
      </c>
      <c r="SA32" s="3">
        <v>96627</v>
      </c>
      <c r="SB32" s="3">
        <v>202</v>
      </c>
      <c r="SC32" s="3">
        <v>916</v>
      </c>
      <c r="SD32" s="3">
        <v>3929</v>
      </c>
      <c r="SE32" s="10">
        <v>116956</v>
      </c>
      <c r="SF32" s="3">
        <v>111408</v>
      </c>
      <c r="SG32" s="3">
        <v>196</v>
      </c>
      <c r="SH32" s="3">
        <v>1237</v>
      </c>
      <c r="SI32" s="3">
        <v>4413</v>
      </c>
      <c r="SJ32" s="10">
        <v>129597</v>
      </c>
      <c r="SK32" s="3">
        <v>123298</v>
      </c>
      <c r="SL32" s="3">
        <v>0</v>
      </c>
      <c r="SM32" s="3">
        <v>1804</v>
      </c>
      <c r="SN32" s="3">
        <v>6299</v>
      </c>
      <c r="SO32" s="10">
        <v>131736.696</v>
      </c>
      <c r="SP32" s="3">
        <v>125157.988</v>
      </c>
      <c r="SQ32" s="3"/>
      <c r="SR32" s="3">
        <v>1943.1279999999999</v>
      </c>
      <c r="SS32" s="3">
        <v>6578.7079999999987</v>
      </c>
      <c r="ST32" s="10">
        <v>135114</v>
      </c>
      <c r="SU32" s="3">
        <v>126913</v>
      </c>
      <c r="SV32" s="3">
        <v>545</v>
      </c>
      <c r="SW32" s="3">
        <v>2014</v>
      </c>
      <c r="SX32" s="3">
        <v>6021</v>
      </c>
      <c r="SY32" s="3">
        <v>135593</v>
      </c>
      <c r="SZ32" s="3">
        <v>127425</v>
      </c>
      <c r="TA32" s="3">
        <v>502</v>
      </c>
      <c r="TB32" s="3">
        <v>2103</v>
      </c>
      <c r="TC32" s="3">
        <v>6127</v>
      </c>
      <c r="TD32" s="3">
        <v>135401</v>
      </c>
      <c r="TE32" s="3">
        <v>128656</v>
      </c>
      <c r="TF32" s="3">
        <v>0</v>
      </c>
      <c r="TG32" s="3">
        <v>1837</v>
      </c>
      <c r="TH32" s="3">
        <v>4560</v>
      </c>
      <c r="TI32" s="3">
        <v>144135</v>
      </c>
      <c r="TJ32" s="3">
        <v>136171</v>
      </c>
      <c r="TK32" s="3">
        <v>0</v>
      </c>
      <c r="TL32" s="3">
        <v>1929</v>
      </c>
      <c r="TM32" s="3">
        <v>6154</v>
      </c>
      <c r="TN32" s="3">
        <v>148944</v>
      </c>
      <c r="TO32" s="3">
        <v>137716</v>
      </c>
      <c r="TP32" s="3">
        <v>0</v>
      </c>
      <c r="TQ32" s="3">
        <v>3029</v>
      </c>
      <c r="TR32" s="3">
        <v>5910</v>
      </c>
      <c r="TS32" s="10">
        <v>157326</v>
      </c>
      <c r="TT32" s="3">
        <v>145935</v>
      </c>
      <c r="TU32" s="3">
        <v>0</v>
      </c>
      <c r="TV32" s="3">
        <v>2284</v>
      </c>
      <c r="TW32" s="3">
        <v>7427</v>
      </c>
      <c r="TX32" s="10">
        <v>152448</v>
      </c>
      <c r="TY32" s="3"/>
      <c r="TZ32" s="3"/>
      <c r="UA32" s="3"/>
      <c r="UB32" s="3"/>
      <c r="UC32" s="10">
        <v>171309</v>
      </c>
      <c r="UD32" s="3">
        <v>156536</v>
      </c>
      <c r="UE32" s="3">
        <v>0</v>
      </c>
      <c r="UF32" s="3">
        <v>4248</v>
      </c>
      <c r="UG32" s="3">
        <v>11759</v>
      </c>
      <c r="UH32" s="10">
        <v>171377</v>
      </c>
      <c r="UI32" s="3">
        <v>156056</v>
      </c>
      <c r="UJ32" s="3">
        <v>0</v>
      </c>
      <c r="UK32" s="3">
        <v>2384</v>
      </c>
      <c r="UL32" s="3">
        <v>13919</v>
      </c>
      <c r="UM32" s="1">
        <v>2198</v>
      </c>
      <c r="UN32" s="1">
        <v>0</v>
      </c>
      <c r="UO32" s="1">
        <v>2550</v>
      </c>
      <c r="UP32" s="1">
        <v>7783</v>
      </c>
      <c r="UQ32" s="1">
        <v>2099</v>
      </c>
      <c r="UR32" s="588">
        <f t="shared" si="509"/>
        <v>26690</v>
      </c>
      <c r="US32" s="40">
        <v>16190</v>
      </c>
      <c r="UT32" s="40">
        <v>10500</v>
      </c>
      <c r="UU32" s="588">
        <f t="shared" si="510"/>
        <v>161</v>
      </c>
      <c r="UV32" s="40">
        <v>113</v>
      </c>
      <c r="UW32" s="40">
        <v>48</v>
      </c>
      <c r="UX32" s="42">
        <v>40144</v>
      </c>
      <c r="UY32" s="588">
        <f t="shared" si="511"/>
        <v>22895</v>
      </c>
      <c r="UZ32" s="588">
        <f t="shared" si="512"/>
        <v>17249</v>
      </c>
      <c r="VA32" s="588">
        <f t="shared" si="513"/>
        <v>39774</v>
      </c>
      <c r="VB32" s="40">
        <v>22652</v>
      </c>
      <c r="VC32" s="40">
        <v>17122</v>
      </c>
      <c r="VD32" s="588">
        <f t="shared" si="514"/>
        <v>64</v>
      </c>
      <c r="VE32" s="40">
        <v>44</v>
      </c>
      <c r="VF32" s="40">
        <v>20</v>
      </c>
      <c r="VG32" s="588">
        <f t="shared" si="515"/>
        <v>306</v>
      </c>
      <c r="VH32" s="40">
        <v>199</v>
      </c>
      <c r="VI32" s="40">
        <v>107</v>
      </c>
      <c r="VJ32" s="42">
        <v>78747</v>
      </c>
      <c r="VK32" s="588">
        <f t="shared" si="516"/>
        <v>44392</v>
      </c>
      <c r="VL32" s="588">
        <f t="shared" si="517"/>
        <v>34355</v>
      </c>
      <c r="VM32" s="240">
        <f t="shared" si="518"/>
        <v>76982</v>
      </c>
      <c r="VN32" s="40">
        <v>43479</v>
      </c>
      <c r="VO32" s="40">
        <v>33503</v>
      </c>
      <c r="VP32" s="40">
        <v>913</v>
      </c>
      <c r="VQ32" s="40">
        <v>852</v>
      </c>
      <c r="VR32" s="240">
        <f t="shared" si="519"/>
        <v>129</v>
      </c>
      <c r="VS32" s="40">
        <v>103</v>
      </c>
      <c r="VT32" s="40">
        <v>26</v>
      </c>
      <c r="VU32" s="240">
        <f t="shared" si="520"/>
        <v>424</v>
      </c>
      <c r="VV32" s="40">
        <v>211</v>
      </c>
      <c r="VW32" s="40">
        <v>213</v>
      </c>
      <c r="VX32" s="233">
        <f t="shared" si="521"/>
        <v>1212</v>
      </c>
      <c r="VY32" s="233">
        <f t="shared" si="522"/>
        <v>599</v>
      </c>
      <c r="VZ32" s="233">
        <f t="shared" si="523"/>
        <v>613</v>
      </c>
      <c r="WA32" s="234">
        <f t="shared" si="524"/>
        <v>37</v>
      </c>
      <c r="WB32" s="234">
        <f t="shared" si="525"/>
        <v>27</v>
      </c>
      <c r="WC32" s="234">
        <f t="shared" si="526"/>
        <v>10</v>
      </c>
      <c r="WD32" s="40">
        <v>1175</v>
      </c>
      <c r="WE32" s="40">
        <v>572</v>
      </c>
      <c r="WF32" s="40">
        <v>603</v>
      </c>
      <c r="WG32" s="12">
        <f t="shared" si="527"/>
        <v>74807</v>
      </c>
      <c r="WH32" s="588">
        <f t="shared" si="528"/>
        <v>53980</v>
      </c>
      <c r="WI32" s="588">
        <f t="shared" si="529"/>
        <v>46541</v>
      </c>
      <c r="WJ32" s="11">
        <f t="shared" si="530"/>
        <v>69605</v>
      </c>
      <c r="WK32" s="90">
        <f t="shared" si="531"/>
        <v>97277</v>
      </c>
      <c r="WL32" s="40">
        <v>52488</v>
      </c>
      <c r="WM32" s="40">
        <v>44789</v>
      </c>
      <c r="WN32" s="40">
        <v>1492</v>
      </c>
      <c r="WO32" s="40">
        <v>1752</v>
      </c>
      <c r="WP32" s="11">
        <f t="shared" si="532"/>
        <v>4723</v>
      </c>
      <c r="WQ32" s="90">
        <f t="shared" si="533"/>
        <v>172</v>
      </c>
      <c r="WR32" s="40">
        <v>81</v>
      </c>
      <c r="WS32" s="40">
        <v>91</v>
      </c>
      <c r="WT32" s="11">
        <f t="shared" si="534"/>
        <v>590</v>
      </c>
      <c r="WU32" s="40">
        <v>265</v>
      </c>
      <c r="WV32" s="40">
        <v>325</v>
      </c>
      <c r="WW32" s="9">
        <f t="shared" si="535"/>
        <v>3940</v>
      </c>
      <c r="WX32" s="235">
        <f t="shared" si="536"/>
        <v>1146</v>
      </c>
      <c r="WY32" s="235">
        <f t="shared" si="537"/>
        <v>1336</v>
      </c>
      <c r="WZ32" s="236">
        <f t="shared" si="538"/>
        <v>13</v>
      </c>
      <c r="XA32" s="236">
        <f t="shared" si="539"/>
        <v>13</v>
      </c>
      <c r="XB32" s="236">
        <f t="shared" si="540"/>
        <v>0</v>
      </c>
      <c r="XC32" s="589">
        <f t="shared" si="541"/>
        <v>2469</v>
      </c>
      <c r="XD32" s="589">
        <f t="shared" si="542"/>
        <v>1133</v>
      </c>
      <c r="XE32" s="589">
        <f t="shared" si="543"/>
        <v>1336</v>
      </c>
      <c r="XF32" s="40">
        <v>780</v>
      </c>
      <c r="XG32" s="40">
        <v>993</v>
      </c>
      <c r="XH32" s="40">
        <v>353</v>
      </c>
      <c r="XI32" s="40">
        <v>343</v>
      </c>
      <c r="XJ32" s="590">
        <v>142961</v>
      </c>
      <c r="XK32" s="40">
        <v>72736</v>
      </c>
      <c r="XL32" s="40">
        <v>70225</v>
      </c>
      <c r="XM32" s="5">
        <f t="shared" si="544"/>
        <v>136858</v>
      </c>
      <c r="XN32" s="5">
        <v>69915</v>
      </c>
      <c r="XO32" s="5">
        <v>66943</v>
      </c>
      <c r="XP32" s="84">
        <f t="shared" si="545"/>
        <v>136022</v>
      </c>
      <c r="XQ32" s="40">
        <v>69508</v>
      </c>
      <c r="XR32" s="40">
        <v>66514</v>
      </c>
      <c r="XS32" s="5">
        <f t="shared" si="546"/>
        <v>375</v>
      </c>
      <c r="XT32" s="40">
        <v>239</v>
      </c>
      <c r="XU32" s="40">
        <v>136</v>
      </c>
      <c r="XV32" s="5">
        <f t="shared" si="547"/>
        <v>1323</v>
      </c>
      <c r="XW32" s="40">
        <v>617</v>
      </c>
      <c r="XX32" s="40">
        <v>706</v>
      </c>
      <c r="XY32" s="84">
        <f t="shared" si="548"/>
        <v>5728</v>
      </c>
      <c r="XZ32" s="84">
        <f t="shared" si="549"/>
        <v>2582</v>
      </c>
      <c r="YA32" s="84">
        <f t="shared" si="550"/>
        <v>3146</v>
      </c>
      <c r="YB32" s="587">
        <v>168934</v>
      </c>
      <c r="YC32" s="40">
        <v>160484</v>
      </c>
      <c r="YD32" s="40">
        <v>336</v>
      </c>
      <c r="YE32" s="40">
        <v>1996</v>
      </c>
      <c r="YF32" s="5">
        <v>6704</v>
      </c>
      <c r="YG32" s="10">
        <v>173862</v>
      </c>
      <c r="YH32" s="3">
        <v>166734</v>
      </c>
      <c r="YI32" s="3">
        <v>441</v>
      </c>
      <c r="YJ32" s="3">
        <v>6687</v>
      </c>
      <c r="YK32" s="3">
        <v>2141</v>
      </c>
      <c r="YL32" s="10">
        <v>173992</v>
      </c>
      <c r="YM32" s="3">
        <v>166293</v>
      </c>
      <c r="YN32" s="3">
        <v>560</v>
      </c>
      <c r="YO32" s="3">
        <v>7139</v>
      </c>
      <c r="YP32" s="3">
        <v>2117</v>
      </c>
      <c r="YQ32" s="10">
        <v>187212</v>
      </c>
      <c r="YR32" s="3">
        <v>178292</v>
      </c>
      <c r="YS32" s="3">
        <v>0</v>
      </c>
      <c r="YT32" s="3">
        <v>8920</v>
      </c>
      <c r="YU32" s="3">
        <v>2451</v>
      </c>
      <c r="YV32" s="10">
        <v>190211.658</v>
      </c>
      <c r="YW32" s="3">
        <v>180921.448</v>
      </c>
      <c r="YX32" s="3"/>
      <c r="YY32" s="3">
        <v>2463.12</v>
      </c>
      <c r="YZ32" s="3">
        <v>9290.2099999999919</v>
      </c>
      <c r="ZA32" s="3">
        <v>195241</v>
      </c>
      <c r="ZB32" s="3">
        <v>184195</v>
      </c>
      <c r="ZC32" s="3">
        <v>710</v>
      </c>
      <c r="ZD32" s="3">
        <v>2462</v>
      </c>
      <c r="ZE32" s="1">
        <v>8329</v>
      </c>
      <c r="ZF32" s="1">
        <v>197529</v>
      </c>
      <c r="ZG32" s="1">
        <v>186320</v>
      </c>
      <c r="ZH32" s="1">
        <v>784</v>
      </c>
      <c r="ZI32" s="1">
        <v>2616</v>
      </c>
      <c r="ZJ32" s="1">
        <v>8522</v>
      </c>
      <c r="ZK32" s="1">
        <v>203839</v>
      </c>
      <c r="ZL32" s="1">
        <v>192850</v>
      </c>
      <c r="ZM32" s="1">
        <v>0</v>
      </c>
      <c r="ZN32" s="1">
        <v>3052</v>
      </c>
      <c r="ZO32" s="1">
        <v>7456</v>
      </c>
      <c r="ZP32" s="1">
        <v>216174</v>
      </c>
      <c r="ZQ32" s="1">
        <v>202714</v>
      </c>
      <c r="ZR32" s="1">
        <v>0</v>
      </c>
      <c r="ZS32" s="1">
        <v>2852</v>
      </c>
      <c r="ZT32" s="1">
        <v>10208</v>
      </c>
      <c r="ZU32" s="1">
        <v>220606</v>
      </c>
      <c r="ZV32" s="1">
        <v>204175</v>
      </c>
      <c r="ZW32" s="1"/>
      <c r="ZX32" s="1">
        <v>4354</v>
      </c>
      <c r="ZY32" s="1">
        <v>8878</v>
      </c>
      <c r="ZZ32" s="394">
        <v>0</v>
      </c>
      <c r="AAA32" s="1">
        <v>0</v>
      </c>
      <c r="AAB32" s="1">
        <v>5201</v>
      </c>
      <c r="AAC32" s="1">
        <v>3677</v>
      </c>
      <c r="AAE32" s="50">
        <v>233817</v>
      </c>
      <c r="AAF32" s="1">
        <v>217814</v>
      </c>
      <c r="AAG32" s="1">
        <v>0</v>
      </c>
      <c r="AAH32" s="1">
        <v>3447</v>
      </c>
      <c r="AAI32" s="1">
        <v>9709</v>
      </c>
      <c r="AAJ32" s="50">
        <v>233405</v>
      </c>
      <c r="AAK32" s="1"/>
      <c r="AAL32" s="1"/>
      <c r="AAM32" s="1"/>
      <c r="AAN32" s="1"/>
      <c r="AAO32" s="68">
        <v>249148</v>
      </c>
      <c r="AAP32" s="37">
        <v>227443</v>
      </c>
      <c r="AAQ32" s="37">
        <v>0</v>
      </c>
      <c r="AAR32" s="37">
        <v>5923</v>
      </c>
      <c r="AAS32" s="37">
        <v>17025</v>
      </c>
      <c r="AAT32" s="68">
        <v>266820</v>
      </c>
      <c r="AAU32" s="37">
        <v>241694</v>
      </c>
      <c r="AAV32" s="37">
        <v>0</v>
      </c>
      <c r="AAW32" s="37">
        <v>4759</v>
      </c>
      <c r="AAX32" s="37">
        <v>22938</v>
      </c>
      <c r="AAY32" s="1">
        <v>3197</v>
      </c>
      <c r="AAZ32" s="1">
        <v>0</v>
      </c>
      <c r="ABA32" s="1">
        <v>4559</v>
      </c>
      <c r="ABB32" s="1">
        <v>13083</v>
      </c>
      <c r="ABC32" s="1">
        <v>2099</v>
      </c>
      <c r="ABD32" s="10">
        <v>42203</v>
      </c>
      <c r="ABE32" s="3">
        <v>40231</v>
      </c>
      <c r="ABF32" s="3">
        <v>173</v>
      </c>
      <c r="ABG32" s="3">
        <v>407</v>
      </c>
      <c r="ABH32" s="3">
        <v>1799</v>
      </c>
      <c r="ABI32" s="10">
        <v>51978</v>
      </c>
      <c r="ABJ32" s="3">
        <v>49076</v>
      </c>
      <c r="ABK32" s="3">
        <v>140</v>
      </c>
      <c r="ABL32" s="3">
        <v>759</v>
      </c>
      <c r="ABM32" s="3">
        <v>2291</v>
      </c>
      <c r="ABN32" s="10">
        <v>57615</v>
      </c>
      <c r="ABO32" s="3">
        <v>54994</v>
      </c>
      <c r="ABP32" s="3">
        <v>0</v>
      </c>
      <c r="ABQ32" s="3">
        <v>647</v>
      </c>
      <c r="ABR32" s="3">
        <v>2621</v>
      </c>
      <c r="ABS32" s="10">
        <v>58474.962</v>
      </c>
      <c r="ABT32" s="3">
        <v>55763.46</v>
      </c>
      <c r="ABU32" s="3"/>
      <c r="ABV32" s="3">
        <v>519.99199999999996</v>
      </c>
      <c r="ABW32" s="8">
        <v>2711.5020000000004</v>
      </c>
      <c r="ABX32" s="1">
        <v>60127</v>
      </c>
      <c r="ABY32" s="1">
        <v>57282</v>
      </c>
      <c r="ABZ32" s="1">
        <v>165</v>
      </c>
      <c r="ACA32" s="1">
        <v>448</v>
      </c>
      <c r="ACB32" s="49">
        <v>2308</v>
      </c>
      <c r="ACC32" s="1">
        <v>61936</v>
      </c>
      <c r="ACD32" s="1">
        <v>58895</v>
      </c>
      <c r="ACE32" s="1">
        <v>282</v>
      </c>
      <c r="ACF32" s="1">
        <v>513</v>
      </c>
      <c r="ACG32" s="1">
        <v>2395</v>
      </c>
      <c r="ACH32" s="1">
        <v>68438</v>
      </c>
      <c r="ACI32" s="1">
        <v>64194</v>
      </c>
      <c r="ACJ32" s="1">
        <v>0</v>
      </c>
      <c r="ACK32" s="1">
        <v>1215</v>
      </c>
      <c r="ACL32" s="1">
        <v>2896</v>
      </c>
      <c r="ACM32" s="1">
        <v>72039</v>
      </c>
      <c r="ACN32" s="1">
        <v>66543</v>
      </c>
      <c r="ACO32" s="1">
        <v>0</v>
      </c>
      <c r="ACP32" s="1">
        <v>923</v>
      </c>
      <c r="ACQ32" s="1">
        <v>4054</v>
      </c>
      <c r="ACR32" s="1">
        <v>71662</v>
      </c>
      <c r="ACS32" s="1">
        <v>66459</v>
      </c>
      <c r="ACU32" s="1">
        <v>1325</v>
      </c>
      <c r="ACV32" s="1">
        <v>2968</v>
      </c>
      <c r="ADB32" s="50">
        <v>76491</v>
      </c>
      <c r="ADC32" s="1">
        <v>71879</v>
      </c>
      <c r="ADD32" s="1">
        <v>0</v>
      </c>
      <c r="ADE32" s="1">
        <v>1163</v>
      </c>
      <c r="ADF32" s="1">
        <v>2282</v>
      </c>
      <c r="ADG32" s="50">
        <v>80957</v>
      </c>
      <c r="ADL32" s="50">
        <v>77839</v>
      </c>
      <c r="ADM32" s="1">
        <v>70907</v>
      </c>
      <c r="ADN32" s="1">
        <v>0</v>
      </c>
      <c r="ADO32" s="1">
        <v>1675</v>
      </c>
      <c r="ADP32" s="1">
        <v>5266</v>
      </c>
      <c r="ADQ32" s="50">
        <v>95443</v>
      </c>
      <c r="ADR32" s="1">
        <v>85638</v>
      </c>
      <c r="ADS32" s="1">
        <v>0</v>
      </c>
      <c r="ADT32" s="1">
        <v>2375</v>
      </c>
      <c r="ADU32" s="1">
        <v>9019</v>
      </c>
      <c r="ADV32" s="1">
        <v>999</v>
      </c>
      <c r="ADW32" s="1">
        <v>0</v>
      </c>
      <c r="ADX32" s="1">
        <v>2009</v>
      </c>
      <c r="ADY32" s="1">
        <v>5300</v>
      </c>
      <c r="ADZ32" s="1">
        <v>711</v>
      </c>
    </row>
    <row r="33" spans="1:806" ht="14.1">
      <c r="A33" s="138" t="s">
        <v>32</v>
      </c>
      <c r="B33" s="174" t="s">
        <v>221</v>
      </c>
      <c r="C33" s="175" t="s">
        <v>221</v>
      </c>
      <c r="D33" s="175" t="s">
        <v>221</v>
      </c>
      <c r="E33" s="175" t="s">
        <v>221</v>
      </c>
      <c r="F33" s="176" t="s">
        <v>221</v>
      </c>
      <c r="G33" s="3">
        <v>47771</v>
      </c>
      <c r="H33" s="3">
        <v>31814</v>
      </c>
      <c r="I33" s="3">
        <v>3215</v>
      </c>
      <c r="J33" s="3">
        <v>15806</v>
      </c>
      <c r="K33" s="8">
        <v>12742</v>
      </c>
      <c r="L33" s="3">
        <v>84237</v>
      </c>
      <c r="M33" s="3">
        <v>46432</v>
      </c>
      <c r="N33" s="3">
        <v>3129</v>
      </c>
      <c r="O33" s="3"/>
      <c r="P33" s="8"/>
      <c r="Q33" s="3">
        <v>108880</v>
      </c>
      <c r="R33" s="3">
        <v>16572</v>
      </c>
      <c r="S33" s="3">
        <v>3438</v>
      </c>
      <c r="T33" s="3">
        <v>81465</v>
      </c>
      <c r="U33" s="8">
        <v>34604</v>
      </c>
      <c r="V33" s="5">
        <v>113022</v>
      </c>
      <c r="W33" s="5">
        <v>82251</v>
      </c>
      <c r="X33" s="5">
        <v>4446</v>
      </c>
      <c r="Y33" s="5">
        <v>81689</v>
      </c>
      <c r="Z33" s="408">
        <v>26325</v>
      </c>
      <c r="AA33" s="5">
        <v>113005</v>
      </c>
      <c r="AB33" s="5">
        <v>17011</v>
      </c>
      <c r="AC33" s="5">
        <v>3488</v>
      </c>
      <c r="AD33" s="5">
        <v>82930</v>
      </c>
      <c r="AE33" s="5">
        <v>36889</v>
      </c>
      <c r="AF33" s="399">
        <v>113074</v>
      </c>
      <c r="AG33" s="5">
        <v>16522</v>
      </c>
      <c r="AH33" s="5">
        <v>3708</v>
      </c>
      <c r="AI33" s="5">
        <v>82217</v>
      </c>
      <c r="AJ33" s="490">
        <v>42070</v>
      </c>
      <c r="AK33" s="490">
        <v>117579</v>
      </c>
      <c r="AL33" s="490">
        <v>17287</v>
      </c>
      <c r="AM33" s="685">
        <v>4330</v>
      </c>
      <c r="AN33" s="685">
        <v>85033</v>
      </c>
      <c r="AO33" s="490">
        <v>45185</v>
      </c>
      <c r="AP33" s="394">
        <v>125701</v>
      </c>
      <c r="AQ33" s="394">
        <v>18548</v>
      </c>
      <c r="AR33" s="394">
        <v>5080</v>
      </c>
      <c r="AS33" s="394">
        <v>90515</v>
      </c>
      <c r="AT33" s="394">
        <v>47617</v>
      </c>
      <c r="AU33" s="393">
        <v>122892</v>
      </c>
      <c r="AV33" s="394">
        <v>14757</v>
      </c>
      <c r="AW33" s="394">
        <v>4204</v>
      </c>
      <c r="AX33" s="394">
        <v>93240</v>
      </c>
      <c r="AY33" s="394">
        <v>47804</v>
      </c>
      <c r="AZ33" s="1">
        <v>9347</v>
      </c>
      <c r="BA33" s="1">
        <v>278</v>
      </c>
      <c r="BB33" s="1">
        <v>685</v>
      </c>
      <c r="BC33" s="1">
        <v>2120</v>
      </c>
      <c r="BD33" s="1">
        <v>35374</v>
      </c>
      <c r="BE33" s="393">
        <v>107354</v>
      </c>
      <c r="BF33" s="394">
        <v>12202</v>
      </c>
      <c r="BG33" s="394">
        <v>4148</v>
      </c>
      <c r="BH33" s="394">
        <v>81874</v>
      </c>
      <c r="BI33" s="394">
        <v>50615</v>
      </c>
      <c r="BJ33" s="393">
        <v>110045</v>
      </c>
      <c r="BK33" s="394"/>
      <c r="BL33" s="394"/>
      <c r="BM33" s="394"/>
      <c r="BN33" s="394"/>
      <c r="BO33" s="393">
        <v>109903</v>
      </c>
      <c r="BP33" s="394">
        <v>12412</v>
      </c>
      <c r="BQ33" s="394">
        <v>3683</v>
      </c>
      <c r="BR33" s="394">
        <v>82235</v>
      </c>
      <c r="BS33" s="394">
        <v>53122</v>
      </c>
      <c r="BT33" s="393">
        <v>129108</v>
      </c>
      <c r="BU33" s="394">
        <v>12982</v>
      </c>
      <c r="BV33" s="394">
        <v>3881</v>
      </c>
      <c r="BW33" s="394">
        <v>97380</v>
      </c>
      <c r="BX33" s="394">
        <v>11913</v>
      </c>
      <c r="BY33" s="1">
        <v>472</v>
      </c>
      <c r="BZ33" s="1">
        <v>3793</v>
      </c>
      <c r="CA33" s="1">
        <v>33115</v>
      </c>
      <c r="CB33" s="1">
        <v>54649</v>
      </c>
      <c r="CC33" s="10">
        <v>119857</v>
      </c>
      <c r="CD33" s="3">
        <v>99007</v>
      </c>
      <c r="CE33" s="3">
        <v>9284</v>
      </c>
      <c r="CF33" s="3">
        <v>97380</v>
      </c>
      <c r="CG33" s="8">
        <v>11566</v>
      </c>
      <c r="CH33" s="3">
        <v>169137</v>
      </c>
      <c r="CI33" s="3">
        <v>120333</v>
      </c>
      <c r="CJ33" s="3">
        <v>13497</v>
      </c>
      <c r="CK33" s="3"/>
      <c r="CL33" s="8"/>
      <c r="CM33" s="1">
        <v>163901</v>
      </c>
      <c r="CN33" s="3">
        <v>81342</v>
      </c>
      <c r="CO33" s="3">
        <v>10881</v>
      </c>
      <c r="CP33" s="3">
        <v>58927</v>
      </c>
      <c r="CQ33" s="8">
        <v>33967</v>
      </c>
      <c r="CR33" s="3">
        <v>166692</v>
      </c>
      <c r="CS33" s="3">
        <v>126972</v>
      </c>
      <c r="CT33" s="3">
        <v>12526</v>
      </c>
      <c r="CU33" s="3">
        <v>71831</v>
      </c>
      <c r="CV33" s="8">
        <v>27194</v>
      </c>
      <c r="CW33" s="3">
        <v>167655</v>
      </c>
      <c r="CX33" s="3">
        <v>68208</v>
      </c>
      <c r="CY33" s="3">
        <v>13624</v>
      </c>
      <c r="CZ33" s="3">
        <v>72693</v>
      </c>
      <c r="DA33" s="3">
        <v>37396</v>
      </c>
      <c r="DB33" s="3">
        <v>169128</v>
      </c>
      <c r="DC33" s="3">
        <v>66551</v>
      </c>
      <c r="DD33" s="3">
        <v>15196</v>
      </c>
      <c r="DE33" s="3">
        <v>73530</v>
      </c>
      <c r="DF33" s="39">
        <v>43191</v>
      </c>
      <c r="DG33" s="39">
        <v>167990</v>
      </c>
      <c r="DH33" s="39">
        <v>64307</v>
      </c>
      <c r="DI33" s="39">
        <v>16585</v>
      </c>
      <c r="DJ33" s="39">
        <v>73553</v>
      </c>
      <c r="DK33" s="39">
        <v>43888</v>
      </c>
      <c r="DL33" s="39">
        <v>157660</v>
      </c>
      <c r="DM33" s="39">
        <v>59306</v>
      </c>
      <c r="DN33" s="39">
        <v>13652</v>
      </c>
      <c r="DO33" s="39">
        <v>73756</v>
      </c>
      <c r="DP33" s="39">
        <v>40937</v>
      </c>
      <c r="DQ33" s="39">
        <v>157641</v>
      </c>
      <c r="DR33" s="39">
        <v>59857</v>
      </c>
      <c r="DS33" s="39">
        <v>11381</v>
      </c>
      <c r="DT33" s="39">
        <v>74832</v>
      </c>
      <c r="DU33" s="39">
        <v>45352</v>
      </c>
      <c r="DV33" s="118">
        <v>165663</v>
      </c>
      <c r="DW33" s="39">
        <v>55096</v>
      </c>
      <c r="DX33" s="39">
        <v>15136</v>
      </c>
      <c r="DY33" s="39">
        <v>81977</v>
      </c>
      <c r="DZ33" s="39">
        <v>55345</v>
      </c>
      <c r="EA33" s="118">
        <v>164010</v>
      </c>
      <c r="EB33" s="39"/>
      <c r="EC33" s="39"/>
      <c r="ED33" s="39"/>
      <c r="EE33" s="39"/>
      <c r="EF33" s="118">
        <v>171012</v>
      </c>
      <c r="EG33" s="39">
        <v>53968</v>
      </c>
      <c r="EH33" s="39">
        <v>14914</v>
      </c>
      <c r="EI33" s="39">
        <v>86604</v>
      </c>
      <c r="EJ33" s="39">
        <v>52137</v>
      </c>
      <c r="EK33" s="118">
        <v>171012</v>
      </c>
      <c r="EL33" s="39">
        <v>53968</v>
      </c>
      <c r="EM33" s="39">
        <v>14914</v>
      </c>
      <c r="EN33" s="39">
        <v>86604</v>
      </c>
      <c r="EO33" s="39">
        <v>52137</v>
      </c>
      <c r="EP33" s="118">
        <v>152545</v>
      </c>
      <c r="EQ33" s="39">
        <v>49315</v>
      </c>
      <c r="ER33" s="39">
        <v>12900</v>
      </c>
      <c r="ES33" s="39">
        <v>72471</v>
      </c>
      <c r="ET33" s="1">
        <v>10254</v>
      </c>
      <c r="EU33" s="1">
        <v>661</v>
      </c>
      <c r="EV33" s="1">
        <v>4299</v>
      </c>
      <c r="EW33" s="1">
        <v>31411</v>
      </c>
      <c r="EX33" s="1">
        <v>37282</v>
      </c>
      <c r="EY33" s="10">
        <v>281123</v>
      </c>
      <c r="EZ33" s="3">
        <v>199587</v>
      </c>
      <c r="FA33" s="3">
        <v>17005</v>
      </c>
      <c r="FB33" s="3">
        <v>157285</v>
      </c>
      <c r="FC33" s="201">
        <f t="shared" si="497"/>
        <v>64531</v>
      </c>
      <c r="FD33" s="174" t="s">
        <v>221</v>
      </c>
      <c r="FE33" s="175" t="s">
        <v>221</v>
      </c>
      <c r="FF33" s="175" t="s">
        <v>221</v>
      </c>
      <c r="FG33" s="175" t="s">
        <v>221</v>
      </c>
      <c r="FH33" s="174" t="s">
        <v>221</v>
      </c>
      <c r="FI33" s="175" t="s">
        <v>221</v>
      </c>
      <c r="FJ33" s="175" t="s">
        <v>221</v>
      </c>
      <c r="FK33" s="175" t="s">
        <v>221</v>
      </c>
      <c r="FL33" s="176" t="s">
        <v>221</v>
      </c>
      <c r="FM33" s="3">
        <v>622010</v>
      </c>
      <c r="FN33" s="3">
        <v>553259</v>
      </c>
      <c r="FO33" s="3">
        <v>30318</v>
      </c>
      <c r="FP33" s="3">
        <v>33570</v>
      </c>
      <c r="FQ33" s="8">
        <v>38433</v>
      </c>
      <c r="FR33" s="3">
        <v>1056802</v>
      </c>
      <c r="FS33" s="3">
        <v>867072</v>
      </c>
      <c r="FT33" s="3">
        <v>62300</v>
      </c>
      <c r="FU33" s="3"/>
      <c r="FV33" s="3">
        <v>0</v>
      </c>
      <c r="FW33" s="127">
        <v>1368020</v>
      </c>
      <c r="FX33" s="3">
        <v>965836</v>
      </c>
      <c r="FY33" s="3">
        <v>98793</v>
      </c>
      <c r="FZ33" s="3">
        <v>235388</v>
      </c>
      <c r="GA33" s="3">
        <v>176461</v>
      </c>
      <c r="GB33" s="10">
        <v>1403282</v>
      </c>
      <c r="GC33" s="3">
        <v>1105755</v>
      </c>
      <c r="GD33" s="3">
        <v>97454</v>
      </c>
      <c r="GE33" s="3">
        <v>200073</v>
      </c>
      <c r="GF33" s="3">
        <v>188105</v>
      </c>
      <c r="GG33" s="42">
        <v>1425076</v>
      </c>
      <c r="GH33" s="40">
        <v>1119949</v>
      </c>
      <c r="GI33" s="40">
        <v>100947</v>
      </c>
      <c r="GJ33" s="40">
        <v>204180</v>
      </c>
      <c r="GK33" s="40">
        <v>194987</v>
      </c>
      <c r="GL33" s="10">
        <v>1489012</v>
      </c>
      <c r="GM33" s="3">
        <v>1151601</v>
      </c>
      <c r="GN33" s="3">
        <v>113585</v>
      </c>
      <c r="GO33" s="3">
        <v>207348</v>
      </c>
      <c r="GP33" s="3">
        <v>189011</v>
      </c>
      <c r="GQ33" s="10">
        <v>1509470.7419999999</v>
      </c>
      <c r="GR33" s="3">
        <v>1158149.6609999998</v>
      </c>
      <c r="GS33" s="3">
        <v>118087.375</v>
      </c>
      <c r="GT33" s="3">
        <v>215055.40099999998</v>
      </c>
      <c r="GU33" s="373">
        <f t="shared" si="498"/>
        <v>233233.70600000001</v>
      </c>
      <c r="GV33" s="3">
        <v>1532417</v>
      </c>
      <c r="GW33" s="3">
        <v>1005220</v>
      </c>
      <c r="GX33" s="3">
        <v>120270</v>
      </c>
      <c r="GY33" s="3">
        <v>227984</v>
      </c>
      <c r="GZ33" s="3">
        <v>251034</v>
      </c>
      <c r="HA33" s="3">
        <v>1558403</v>
      </c>
      <c r="HB33" s="3">
        <v>1010876</v>
      </c>
      <c r="HC33" s="3">
        <v>123829</v>
      </c>
      <c r="HD33" s="3">
        <v>240079</v>
      </c>
      <c r="HE33" s="3">
        <v>266550</v>
      </c>
      <c r="HF33" s="3">
        <v>1634029</v>
      </c>
      <c r="HG33" s="3">
        <v>1028296</v>
      </c>
      <c r="HH33" s="3">
        <v>131837</v>
      </c>
      <c r="HI33" s="3">
        <v>267873</v>
      </c>
      <c r="HJ33" s="3">
        <v>307344</v>
      </c>
      <c r="HK33" s="3">
        <v>1684806</v>
      </c>
      <c r="HL33" s="3">
        <v>1041540</v>
      </c>
      <c r="HM33" s="3">
        <v>139699</v>
      </c>
      <c r="HN33" s="3">
        <v>279430</v>
      </c>
      <c r="HO33" s="3">
        <v>331005</v>
      </c>
      <c r="HP33" s="10">
        <v>1730077</v>
      </c>
      <c r="HQ33" s="3">
        <v>1055185</v>
      </c>
      <c r="HR33" s="3">
        <v>150825</v>
      </c>
      <c r="HS33" s="3">
        <v>292111</v>
      </c>
      <c r="HT33" s="3">
        <v>342771</v>
      </c>
      <c r="HU33" s="394">
        <v>167047</v>
      </c>
      <c r="HV33" s="1">
        <v>10362</v>
      </c>
      <c r="HW33" s="1">
        <v>18753</v>
      </c>
      <c r="HX33" s="1">
        <v>54086</v>
      </c>
      <c r="HY33" s="1">
        <v>92523</v>
      </c>
      <c r="HZ33" s="10">
        <v>1790163</v>
      </c>
      <c r="IA33" s="3">
        <v>1066450</v>
      </c>
      <c r="IB33" s="3">
        <v>156537</v>
      </c>
      <c r="IC33" s="3">
        <v>319835</v>
      </c>
      <c r="ID33" s="3">
        <v>385613</v>
      </c>
      <c r="IE33" s="399">
        <v>1822519</v>
      </c>
      <c r="IF33" s="5"/>
      <c r="IG33" s="5"/>
      <c r="IH33" s="5"/>
      <c r="II33" s="5"/>
      <c r="IJ33" s="399">
        <v>1855551</v>
      </c>
      <c r="IK33" s="5">
        <v>1082331</v>
      </c>
      <c r="IL33" s="5">
        <v>174202</v>
      </c>
      <c r="IM33" s="5">
        <v>343491</v>
      </c>
      <c r="IN33" s="5">
        <v>393536</v>
      </c>
      <c r="IO33" s="399">
        <v>1911173</v>
      </c>
      <c r="IP33" s="5">
        <v>1055281</v>
      </c>
      <c r="IQ33" s="5">
        <v>171781</v>
      </c>
      <c r="IR33" s="5">
        <v>377185</v>
      </c>
      <c r="IS33" s="5">
        <v>621734</v>
      </c>
      <c r="IT33" s="1">
        <v>187767</v>
      </c>
      <c r="IU33" s="1">
        <v>13269</v>
      </c>
      <c r="IV33" s="1">
        <v>21875</v>
      </c>
      <c r="IW33" s="1">
        <v>246604</v>
      </c>
      <c r="IX33" s="1">
        <v>152219</v>
      </c>
      <c r="IY33" s="380" t="s">
        <v>221</v>
      </c>
      <c r="IZ33" s="188" t="s">
        <v>221</v>
      </c>
      <c r="JA33" s="188" t="s">
        <v>221</v>
      </c>
      <c r="JB33" s="188" t="s">
        <v>221</v>
      </c>
      <c r="JC33" s="635" t="s">
        <v>221</v>
      </c>
      <c r="JD33" s="5">
        <v>252402</v>
      </c>
      <c r="JE33" s="5">
        <v>224324</v>
      </c>
      <c r="JF33" s="5">
        <v>13321</v>
      </c>
      <c r="JG33" s="5">
        <v>13715</v>
      </c>
      <c r="JH33" s="408">
        <v>14757</v>
      </c>
      <c r="JI33" s="5">
        <v>434657</v>
      </c>
      <c r="JJ33" s="5">
        <v>358006</v>
      </c>
      <c r="JK33" s="5">
        <v>28110</v>
      </c>
      <c r="JL33" s="5"/>
      <c r="JM33" s="408">
        <v>0</v>
      </c>
      <c r="JN33" s="5">
        <v>511594</v>
      </c>
      <c r="JO33" s="5">
        <v>371034</v>
      </c>
      <c r="JP33" s="5">
        <v>37812</v>
      </c>
      <c r="JQ33" s="5">
        <v>56331</v>
      </c>
      <c r="JR33" s="5">
        <v>66449</v>
      </c>
      <c r="JS33" s="5">
        <v>590300</v>
      </c>
      <c r="JT33" s="5">
        <v>455948</v>
      </c>
      <c r="JU33" s="5">
        <v>49844</v>
      </c>
      <c r="JV33" s="5">
        <v>75412</v>
      </c>
      <c r="JW33" s="408">
        <v>84508</v>
      </c>
      <c r="JX33" s="5">
        <v>590896.02</v>
      </c>
      <c r="JY33" s="5">
        <v>454841.89500000002</v>
      </c>
      <c r="JZ33" s="5">
        <v>50338.961000000003</v>
      </c>
      <c r="KA33" s="5">
        <v>78642.443000000014</v>
      </c>
      <c r="KB33" s="408">
        <v>85715.16399999999</v>
      </c>
      <c r="KC33" s="5">
        <v>600787</v>
      </c>
      <c r="KD33" s="5">
        <v>400262</v>
      </c>
      <c r="KE33" s="5">
        <v>50896</v>
      </c>
      <c r="KF33" s="5">
        <v>82473</v>
      </c>
      <c r="KG33" s="439">
        <v>93865</v>
      </c>
      <c r="KH33" s="439">
        <v>615663</v>
      </c>
      <c r="KI33" s="439">
        <v>405501</v>
      </c>
      <c r="KJ33" s="439">
        <v>53943</v>
      </c>
      <c r="KK33" s="439">
        <v>86527</v>
      </c>
      <c r="KL33" s="439">
        <v>99496</v>
      </c>
      <c r="KM33" s="439">
        <v>649752</v>
      </c>
      <c r="KN33" s="439">
        <v>409388</v>
      </c>
      <c r="KO33" s="439">
        <v>62514</v>
      </c>
      <c r="KP33" s="439">
        <v>102365</v>
      </c>
      <c r="KQ33" s="439">
        <v>111499</v>
      </c>
      <c r="KR33" s="439">
        <v>671974</v>
      </c>
      <c r="KS33" s="439">
        <v>415438</v>
      </c>
      <c r="KT33" s="439">
        <v>62250</v>
      </c>
      <c r="KU33" s="439">
        <v>107165</v>
      </c>
      <c r="KV33" s="439">
        <v>123531</v>
      </c>
      <c r="KW33" s="630">
        <v>673245</v>
      </c>
      <c r="KX33" s="439">
        <v>417801</v>
      </c>
      <c r="KY33" s="439">
        <v>65564</v>
      </c>
      <c r="KZ33" s="439">
        <v>103466</v>
      </c>
      <c r="LA33" s="439">
        <v>124760</v>
      </c>
      <c r="LB33" s="652">
        <v>684037</v>
      </c>
      <c r="LC33" s="653">
        <v>411965</v>
      </c>
      <c r="LD33" s="653">
        <v>69250</v>
      </c>
      <c r="LE33" s="653">
        <v>114166</v>
      </c>
      <c r="LF33" s="653">
        <v>136607</v>
      </c>
      <c r="LG33" s="652">
        <v>719023</v>
      </c>
      <c r="LH33" s="653"/>
      <c r="LI33" s="439"/>
      <c r="LJ33" s="439"/>
      <c r="LK33" s="439"/>
      <c r="LL33" s="652">
        <v>713215</v>
      </c>
      <c r="LM33" s="653">
        <v>418757</v>
      </c>
      <c r="LN33" s="653">
        <v>79129</v>
      </c>
      <c r="LO33" s="653">
        <v>124168</v>
      </c>
      <c r="LP33" s="653">
        <v>139294</v>
      </c>
      <c r="LQ33" s="652">
        <v>709162</v>
      </c>
      <c r="LR33" s="653">
        <v>394294</v>
      </c>
      <c r="LS33" s="653">
        <v>73532</v>
      </c>
      <c r="LT33" s="653">
        <v>128886</v>
      </c>
      <c r="LU33" s="653">
        <v>220549</v>
      </c>
      <c r="LV33" s="1">
        <v>59184</v>
      </c>
      <c r="LW33" s="1">
        <v>6033</v>
      </c>
      <c r="LX33" s="1">
        <v>8071</v>
      </c>
      <c r="LY33" s="1">
        <v>95475</v>
      </c>
      <c r="LZ33" s="1">
        <v>51786</v>
      </c>
      <c r="MA33" s="10">
        <v>48803</v>
      </c>
      <c r="MB33" s="3">
        <v>43007</v>
      </c>
      <c r="MC33" s="3">
        <v>2480</v>
      </c>
      <c r="MD33" s="3">
        <v>2822</v>
      </c>
      <c r="ME33" s="8">
        <v>3316</v>
      </c>
      <c r="MF33" s="3">
        <v>80860</v>
      </c>
      <c r="MG33" s="3">
        <v>66154</v>
      </c>
      <c r="MH33" s="3">
        <v>4793</v>
      </c>
      <c r="MI33" s="3"/>
      <c r="MJ33" s="8"/>
      <c r="MK33" s="3">
        <v>117306</v>
      </c>
      <c r="ML33" s="3">
        <v>85574</v>
      </c>
      <c r="MM33" s="3">
        <v>8036</v>
      </c>
      <c r="MN33" s="3">
        <v>11294</v>
      </c>
      <c r="MO33" s="3">
        <v>16078</v>
      </c>
      <c r="MP33" s="10">
        <v>128162</v>
      </c>
      <c r="MQ33" s="3">
        <v>95791</v>
      </c>
      <c r="MR33" s="3">
        <v>10315</v>
      </c>
      <c r="MS33" s="3">
        <v>15375</v>
      </c>
      <c r="MT33" s="3">
        <v>22056</v>
      </c>
      <c r="MU33" s="10"/>
      <c r="MV33" s="3"/>
      <c r="MW33" s="3"/>
      <c r="MX33" s="3"/>
      <c r="MY33" s="8"/>
      <c r="MZ33" s="3">
        <v>131570</v>
      </c>
      <c r="NA33" s="3">
        <v>86978</v>
      </c>
      <c r="NB33" s="3">
        <v>11375</v>
      </c>
      <c r="NC33" s="3">
        <v>16531</v>
      </c>
      <c r="ND33" s="3">
        <v>22030</v>
      </c>
      <c r="NE33" s="3">
        <v>140018</v>
      </c>
      <c r="NF33" s="3">
        <v>91768</v>
      </c>
      <c r="NG33" s="3">
        <v>12355</v>
      </c>
      <c r="NH33" s="3">
        <v>18043</v>
      </c>
      <c r="NI33" s="3">
        <v>24285</v>
      </c>
      <c r="NJ33" s="3">
        <v>154943</v>
      </c>
      <c r="NK33" s="3">
        <v>96947</v>
      </c>
      <c r="NL33" s="3">
        <v>15333</v>
      </c>
      <c r="NM33" s="3">
        <v>21958</v>
      </c>
      <c r="NN33" s="3">
        <v>116456</v>
      </c>
      <c r="NO33" s="3">
        <v>159610</v>
      </c>
      <c r="NP33" s="3">
        <v>98733</v>
      </c>
      <c r="NQ33" s="3">
        <v>14927</v>
      </c>
      <c r="NR33" s="3">
        <v>25491</v>
      </c>
      <c r="NS33" s="3">
        <v>29273</v>
      </c>
      <c r="NT33" s="3">
        <v>156342</v>
      </c>
      <c r="NU33" s="3">
        <v>94824</v>
      </c>
      <c r="NV33" s="3">
        <v>16601</v>
      </c>
      <c r="NW33" s="3">
        <v>21962</v>
      </c>
      <c r="NX33" s="3">
        <v>30304</v>
      </c>
      <c r="NY33" s="10">
        <v>165508</v>
      </c>
      <c r="NZ33" s="3">
        <v>102145</v>
      </c>
      <c r="OA33" s="3">
        <v>14571</v>
      </c>
      <c r="OB33" s="3">
        <v>24180</v>
      </c>
      <c r="OC33" s="3">
        <v>33644</v>
      </c>
      <c r="OD33" s="10">
        <v>176618</v>
      </c>
      <c r="OE33" s="3"/>
      <c r="OF33" s="3"/>
      <c r="OG33" s="3"/>
      <c r="OH33" s="3"/>
      <c r="OI33" s="10">
        <v>187469</v>
      </c>
      <c r="OJ33" s="3">
        <v>110838</v>
      </c>
      <c r="OK33" s="3">
        <v>21022</v>
      </c>
      <c r="OL33" s="3">
        <v>28291</v>
      </c>
      <c r="OM33" s="3">
        <v>36109</v>
      </c>
      <c r="ON33" s="10">
        <v>196636</v>
      </c>
      <c r="OO33" s="3">
        <v>107515</v>
      </c>
      <c r="OP33" s="3">
        <v>19170</v>
      </c>
      <c r="OQ33" s="3">
        <v>37492</v>
      </c>
      <c r="OR33" s="3">
        <v>14846</v>
      </c>
      <c r="OS33" s="1">
        <v>18916</v>
      </c>
      <c r="OT33" s="1">
        <v>1556</v>
      </c>
      <c r="OU33" s="1">
        <v>1921</v>
      </c>
      <c r="OV33" s="1">
        <v>27821</v>
      </c>
      <c r="OW33" s="1">
        <v>14846</v>
      </c>
      <c r="OX33" s="402">
        <f t="shared" si="499"/>
        <v>214340</v>
      </c>
      <c r="OY33" s="382">
        <f t="shared" si="500"/>
        <v>117286</v>
      </c>
      <c r="OZ33" s="382">
        <f t="shared" si="501"/>
        <v>8378</v>
      </c>
      <c r="PA33" s="382">
        <f t="shared" si="502"/>
        <v>63616</v>
      </c>
      <c r="PB33" s="382">
        <f t="shared" si="503"/>
        <v>34889</v>
      </c>
      <c r="PC33" s="402">
        <f t="shared" si="504"/>
        <v>318735</v>
      </c>
      <c r="PD33" s="382">
        <f t="shared" si="505"/>
        <v>265982</v>
      </c>
      <c r="PE33" s="382">
        <f t="shared" si="506"/>
        <v>14279</v>
      </c>
      <c r="PF33" s="382">
        <f t="shared" si="507"/>
        <v>0</v>
      </c>
      <c r="PG33" s="382">
        <f t="shared" si="508"/>
        <v>0</v>
      </c>
      <c r="PH33" s="10">
        <v>454704</v>
      </c>
      <c r="PI33" s="3">
        <v>344497</v>
      </c>
      <c r="PJ33" s="3">
        <v>27521</v>
      </c>
      <c r="PK33" s="3">
        <v>41167</v>
      </c>
      <c r="PL33" s="3">
        <v>82686</v>
      </c>
      <c r="PM33" s="3">
        <v>460384</v>
      </c>
      <c r="PN33" s="3">
        <v>342997</v>
      </c>
      <c r="PO33" s="3">
        <v>23827</v>
      </c>
      <c r="PP33" s="3">
        <v>36205</v>
      </c>
      <c r="PQ33" s="3">
        <v>69108</v>
      </c>
      <c r="PR33" s="399"/>
      <c r="PS33" s="5"/>
      <c r="PT33" s="5"/>
      <c r="PU33" s="5"/>
      <c r="PV33" s="5"/>
      <c r="PW33" s="5">
        <v>533999</v>
      </c>
      <c r="PX33" s="5">
        <v>371503</v>
      </c>
      <c r="PY33" s="5">
        <v>33699</v>
      </c>
      <c r="PZ33" s="5">
        <v>48933</v>
      </c>
      <c r="QA33" s="408">
        <v>93835</v>
      </c>
      <c r="QB33" s="5">
        <v>553956</v>
      </c>
      <c r="QC33" s="5">
        <v>383410</v>
      </c>
      <c r="QD33" s="5">
        <v>36171</v>
      </c>
      <c r="QE33" s="5">
        <v>51894</v>
      </c>
      <c r="QF33" s="5">
        <v>98063</v>
      </c>
      <c r="QG33" s="5">
        <v>598406</v>
      </c>
      <c r="QH33" s="5">
        <v>404269</v>
      </c>
      <c r="QI33" s="5">
        <v>37210</v>
      </c>
      <c r="QJ33" s="5">
        <v>59999</v>
      </c>
      <c r="QK33" s="5">
        <v>116456</v>
      </c>
      <c r="QL33" s="399">
        <v>623291</v>
      </c>
      <c r="QM33" s="5">
        <v>420829</v>
      </c>
      <c r="QN33" s="5">
        <v>41437</v>
      </c>
      <c r="QO33" s="5">
        <v>62373</v>
      </c>
      <c r="QP33" s="5">
        <v>120250</v>
      </c>
      <c r="QQ33" s="399">
        <v>628117</v>
      </c>
      <c r="QR33" s="5">
        <v>407798</v>
      </c>
      <c r="QS33" s="5">
        <v>47380</v>
      </c>
      <c r="QT33" s="5">
        <v>66033</v>
      </c>
      <c r="QU33" s="5">
        <v>128791</v>
      </c>
      <c r="QV33" s="399">
        <v>678788</v>
      </c>
      <c r="QW33" s="5">
        <v>439182</v>
      </c>
      <c r="QX33" s="5">
        <v>47040</v>
      </c>
      <c r="QY33" s="5">
        <v>74213</v>
      </c>
      <c r="QZ33" s="5">
        <v>145249</v>
      </c>
      <c r="RA33" s="399">
        <v>698452</v>
      </c>
      <c r="RB33" s="5"/>
      <c r="RC33" s="5"/>
      <c r="RD33" s="5"/>
      <c r="RE33" s="5"/>
      <c r="RF33" s="5">
        <v>736388</v>
      </c>
      <c r="RG33" s="5">
        <v>464011</v>
      </c>
      <c r="RH33" s="5">
        <v>56036</v>
      </c>
      <c r="RI33" s="5">
        <v>82764</v>
      </c>
      <c r="RJ33" s="5">
        <v>161884</v>
      </c>
      <c r="RK33" s="5">
        <v>801262</v>
      </c>
      <c r="RL33" s="5">
        <v>476845</v>
      </c>
      <c r="RM33" s="5">
        <v>62668</v>
      </c>
      <c r="RN33" s="5">
        <v>111979</v>
      </c>
      <c r="RO33" s="5">
        <v>240667</v>
      </c>
      <c r="RP33" s="1">
        <v>104760</v>
      </c>
      <c r="RQ33" s="1">
        <v>4113</v>
      </c>
      <c r="RR33" s="1">
        <v>5402</v>
      </c>
      <c r="RS33" s="1">
        <v>85527</v>
      </c>
      <c r="RT33" s="1">
        <v>40865</v>
      </c>
      <c r="RU33" s="10">
        <v>79693</v>
      </c>
      <c r="RV33" s="3">
        <v>71722</v>
      </c>
      <c r="RW33" s="3">
        <v>2417</v>
      </c>
      <c r="RX33" s="3">
        <v>3088</v>
      </c>
      <c r="RY33" s="3">
        <v>5554</v>
      </c>
      <c r="RZ33" s="10">
        <v>158078</v>
      </c>
      <c r="SA33" s="3">
        <v>131490</v>
      </c>
      <c r="SB33" s="3">
        <v>5958</v>
      </c>
      <c r="SC33" s="3"/>
      <c r="SD33" s="3"/>
      <c r="SE33" s="10">
        <v>227920</v>
      </c>
      <c r="SF33" s="3">
        <v>167430</v>
      </c>
      <c r="SG33" s="3">
        <v>10562</v>
      </c>
      <c r="SH33" s="3">
        <v>17626</v>
      </c>
      <c r="SI33" s="3">
        <v>38272</v>
      </c>
      <c r="SJ33" s="10">
        <v>257994</v>
      </c>
      <c r="SK33" s="3">
        <v>192670</v>
      </c>
      <c r="SL33" s="3">
        <v>13738</v>
      </c>
      <c r="SM33" s="3">
        <v>21712</v>
      </c>
      <c r="SN33" s="3">
        <v>51586</v>
      </c>
      <c r="SO33" s="10">
        <v>261426.72399999999</v>
      </c>
      <c r="SP33" s="3">
        <v>195514.12800000003</v>
      </c>
      <c r="SQ33" s="3">
        <v>14575.356000000002</v>
      </c>
      <c r="SR33" s="3">
        <v>21617.353999999999</v>
      </c>
      <c r="SS33" s="3">
        <v>51337.239999999962</v>
      </c>
      <c r="ST33" s="10">
        <v>266668</v>
      </c>
      <c r="SU33" s="3">
        <v>182215</v>
      </c>
      <c r="SV33" s="3">
        <v>14826</v>
      </c>
      <c r="SW33" s="3">
        <v>23240</v>
      </c>
      <c r="SX33" s="3">
        <v>52098</v>
      </c>
      <c r="SY33" s="3">
        <v>275155</v>
      </c>
      <c r="SZ33" s="3">
        <v>186911</v>
      </c>
      <c r="TA33" s="3">
        <v>16015</v>
      </c>
      <c r="TB33" s="3">
        <v>24685</v>
      </c>
      <c r="TC33" s="3">
        <v>54068</v>
      </c>
      <c r="TD33" s="3">
        <v>291473</v>
      </c>
      <c r="TE33" s="3">
        <v>194248</v>
      </c>
      <c r="TF33" s="3">
        <v>11829</v>
      </c>
      <c r="TG33" s="3">
        <v>28372</v>
      </c>
      <c r="TH33" s="3">
        <v>66315</v>
      </c>
      <c r="TI33" s="3">
        <v>304948</v>
      </c>
      <c r="TJ33" s="3">
        <v>205399</v>
      </c>
      <c r="TK33" s="3">
        <v>17183</v>
      </c>
      <c r="TL33" s="3">
        <v>26118</v>
      </c>
      <c r="TM33" s="3">
        <v>66100</v>
      </c>
      <c r="TN33" s="3">
        <v>308547</v>
      </c>
      <c r="TO33" s="3">
        <v>192511</v>
      </c>
      <c r="TP33" s="3">
        <v>20816</v>
      </c>
      <c r="TQ33" s="3">
        <v>33430</v>
      </c>
      <c r="TR33" s="3">
        <v>73843</v>
      </c>
      <c r="TS33" s="10">
        <v>340110</v>
      </c>
      <c r="TT33" s="3">
        <v>209593</v>
      </c>
      <c r="TU33" s="3">
        <v>23631</v>
      </c>
      <c r="TV33" s="3">
        <v>38195</v>
      </c>
      <c r="TW33" s="3">
        <v>82921</v>
      </c>
      <c r="TX33" s="10">
        <v>339675</v>
      </c>
      <c r="TY33" s="3"/>
      <c r="TZ33" s="3"/>
      <c r="UA33" s="3"/>
      <c r="UB33" s="3"/>
      <c r="UC33" s="10">
        <v>355837</v>
      </c>
      <c r="UD33" s="3">
        <v>219270</v>
      </c>
      <c r="UE33" s="3">
        <v>21498</v>
      </c>
      <c r="UF33" s="3">
        <v>37951</v>
      </c>
      <c r="UG33" s="3">
        <v>90082</v>
      </c>
      <c r="UH33" s="10">
        <v>393208</v>
      </c>
      <c r="UI33" s="3">
        <v>227785</v>
      </c>
      <c r="UJ33" s="3">
        <v>30807</v>
      </c>
      <c r="UK33" s="3">
        <v>53740</v>
      </c>
      <c r="UL33" s="3">
        <v>123043</v>
      </c>
      <c r="UM33" s="1">
        <v>59022</v>
      </c>
      <c r="UN33" s="1">
        <v>2022</v>
      </c>
      <c r="UO33" s="1">
        <v>2189</v>
      </c>
      <c r="UP33" s="1">
        <v>40846</v>
      </c>
      <c r="UQ33" s="1">
        <v>26019</v>
      </c>
      <c r="UR33" s="588">
        <f t="shared" si="509"/>
        <v>13083</v>
      </c>
      <c r="US33" s="40">
        <v>8036</v>
      </c>
      <c r="UT33" s="40">
        <v>5047</v>
      </c>
      <c r="UU33" s="588">
        <f t="shared" si="510"/>
        <v>241</v>
      </c>
      <c r="UV33" s="40">
        <v>140</v>
      </c>
      <c r="UW33" s="40">
        <v>101</v>
      </c>
      <c r="UX33" s="42">
        <v>29048</v>
      </c>
      <c r="UY33" s="588">
        <f t="shared" si="511"/>
        <v>17949</v>
      </c>
      <c r="UZ33" s="588">
        <f t="shared" si="512"/>
        <v>11099</v>
      </c>
      <c r="VA33" s="588">
        <f t="shared" si="513"/>
        <v>27820</v>
      </c>
      <c r="VB33" s="40">
        <v>17182</v>
      </c>
      <c r="VC33" s="40">
        <v>10638</v>
      </c>
      <c r="VD33" s="588">
        <f t="shared" si="514"/>
        <v>412</v>
      </c>
      <c r="VE33" s="40">
        <v>218</v>
      </c>
      <c r="VF33" s="40">
        <v>194</v>
      </c>
      <c r="VG33" s="588">
        <f t="shared" si="515"/>
        <v>816</v>
      </c>
      <c r="VH33" s="40">
        <v>549</v>
      </c>
      <c r="VI33" s="40">
        <v>267</v>
      </c>
      <c r="VJ33" s="42">
        <v>69247</v>
      </c>
      <c r="VK33" s="588">
        <f t="shared" si="516"/>
        <v>43439</v>
      </c>
      <c r="VL33" s="588">
        <f t="shared" si="517"/>
        <v>25808</v>
      </c>
      <c r="VM33" s="240">
        <f t="shared" si="518"/>
        <v>63059</v>
      </c>
      <c r="VN33" s="40">
        <v>39861</v>
      </c>
      <c r="VO33" s="40">
        <v>23198</v>
      </c>
      <c r="VP33" s="40">
        <v>3578</v>
      </c>
      <c r="VQ33" s="40">
        <v>2610</v>
      </c>
      <c r="VR33" s="240">
        <f t="shared" si="519"/>
        <v>1827</v>
      </c>
      <c r="VS33" s="40">
        <v>1048</v>
      </c>
      <c r="VT33" s="40">
        <v>779</v>
      </c>
      <c r="VU33" s="240">
        <f t="shared" si="520"/>
        <v>1889</v>
      </c>
      <c r="VV33" s="40">
        <v>1148</v>
      </c>
      <c r="VW33" s="40">
        <v>741</v>
      </c>
      <c r="VX33" s="233">
        <f t="shared" si="521"/>
        <v>2472</v>
      </c>
      <c r="VY33" s="233">
        <f t="shared" si="522"/>
        <v>1382</v>
      </c>
      <c r="VZ33" s="233">
        <f t="shared" si="523"/>
        <v>1090</v>
      </c>
      <c r="WA33" s="234">
        <f t="shared" si="524"/>
        <v>55</v>
      </c>
      <c r="WB33" s="234">
        <f t="shared" si="525"/>
        <v>48</v>
      </c>
      <c r="WC33" s="234">
        <f t="shared" si="526"/>
        <v>7</v>
      </c>
      <c r="WD33" s="40">
        <v>2417</v>
      </c>
      <c r="WE33" s="40">
        <v>1334</v>
      </c>
      <c r="WF33" s="40">
        <v>1083</v>
      </c>
      <c r="WG33" s="12">
        <f t="shared" si="527"/>
        <v>165537</v>
      </c>
      <c r="WH33" s="588">
        <f t="shared" si="528"/>
        <v>70938</v>
      </c>
      <c r="WI33" s="588">
        <f t="shared" si="529"/>
        <v>49702</v>
      </c>
      <c r="WJ33" s="11">
        <f t="shared" si="530"/>
        <v>74279</v>
      </c>
      <c r="WK33" s="90">
        <f t="shared" si="531"/>
        <v>106196</v>
      </c>
      <c r="WL33" s="40">
        <v>63464</v>
      </c>
      <c r="WM33" s="40">
        <v>42732</v>
      </c>
      <c r="WN33" s="40">
        <v>7474</v>
      </c>
      <c r="WO33" s="40">
        <v>6970</v>
      </c>
      <c r="WP33" s="11">
        <f t="shared" si="532"/>
        <v>5898</v>
      </c>
      <c r="WQ33" s="90">
        <f t="shared" si="533"/>
        <v>3824</v>
      </c>
      <c r="WR33" s="40">
        <v>1819</v>
      </c>
      <c r="WS33" s="40">
        <v>2005</v>
      </c>
      <c r="WT33" s="11">
        <f t="shared" si="534"/>
        <v>4399</v>
      </c>
      <c r="WU33" s="40">
        <v>2527</v>
      </c>
      <c r="WV33" s="40">
        <v>1872</v>
      </c>
      <c r="WW33" s="9">
        <f t="shared" si="535"/>
        <v>31573</v>
      </c>
      <c r="WX33" s="235">
        <f t="shared" si="536"/>
        <v>3128</v>
      </c>
      <c r="WY33" s="235">
        <f t="shared" si="537"/>
        <v>3093</v>
      </c>
      <c r="WZ33" s="236">
        <f t="shared" si="538"/>
        <v>80</v>
      </c>
      <c r="XA33" s="236">
        <f t="shared" si="539"/>
        <v>56</v>
      </c>
      <c r="XB33" s="236">
        <f t="shared" si="540"/>
        <v>24</v>
      </c>
      <c r="XC33" s="589">
        <f t="shared" si="541"/>
        <v>6141</v>
      </c>
      <c r="XD33" s="589">
        <f t="shared" si="542"/>
        <v>3072</v>
      </c>
      <c r="XE33" s="589">
        <f t="shared" si="543"/>
        <v>3069</v>
      </c>
      <c r="XF33" s="40">
        <v>471</v>
      </c>
      <c r="XG33" s="40">
        <v>418</v>
      </c>
      <c r="XH33" s="40">
        <v>2601</v>
      </c>
      <c r="XI33" s="40">
        <v>2651</v>
      </c>
      <c r="XJ33" s="590">
        <v>237875</v>
      </c>
      <c r="XK33" s="40">
        <v>129642</v>
      </c>
      <c r="XL33" s="40">
        <v>108233</v>
      </c>
      <c r="XM33" s="5">
        <f t="shared" si="544"/>
        <v>199828</v>
      </c>
      <c r="XN33" s="5">
        <v>111516</v>
      </c>
      <c r="XO33" s="5">
        <v>88312</v>
      </c>
      <c r="XP33" s="84">
        <f t="shared" si="545"/>
        <v>192165</v>
      </c>
      <c r="XQ33" s="40">
        <v>107736</v>
      </c>
      <c r="XR33" s="40">
        <v>84429</v>
      </c>
      <c r="XS33" s="5">
        <f t="shared" si="546"/>
        <v>9486</v>
      </c>
      <c r="XT33" s="40">
        <v>4444</v>
      </c>
      <c r="XU33" s="40">
        <v>5042</v>
      </c>
      <c r="XV33" s="5">
        <f t="shared" si="547"/>
        <v>12486</v>
      </c>
      <c r="XW33" s="40">
        <v>6123</v>
      </c>
      <c r="XX33" s="40">
        <v>6363</v>
      </c>
      <c r="XY33" s="84">
        <f t="shared" si="548"/>
        <v>28561</v>
      </c>
      <c r="XZ33" s="84">
        <f t="shared" si="549"/>
        <v>13682</v>
      </c>
      <c r="YA33" s="84">
        <f t="shared" si="550"/>
        <v>14879</v>
      </c>
      <c r="YB33" s="587">
        <v>343078</v>
      </c>
      <c r="YC33" s="40">
        <v>257423</v>
      </c>
      <c r="YD33" s="40">
        <v>15791</v>
      </c>
      <c r="YE33" s="40">
        <v>24911</v>
      </c>
      <c r="YF33" s="5">
        <v>53030</v>
      </c>
      <c r="YG33" s="10">
        <v>359059</v>
      </c>
      <c r="YH33" s="3">
        <v>284040</v>
      </c>
      <c r="YI33" s="3">
        <v>17196</v>
      </c>
      <c r="YJ33" s="3">
        <v>57823</v>
      </c>
      <c r="YK33" s="3">
        <v>27720</v>
      </c>
      <c r="YL33" s="10">
        <v>370276</v>
      </c>
      <c r="YM33" s="3">
        <v>289113</v>
      </c>
      <c r="YN33" s="3">
        <v>19005</v>
      </c>
      <c r="YO33" s="3">
        <v>62158</v>
      </c>
      <c r="YP33" s="3">
        <v>28803</v>
      </c>
      <c r="YQ33" s="10">
        <v>386724</v>
      </c>
      <c r="YR33" s="3">
        <v>295958</v>
      </c>
      <c r="YS33" s="3">
        <v>21416</v>
      </c>
      <c r="YT33" s="3">
        <v>69350</v>
      </c>
      <c r="YU33" s="3">
        <v>30017</v>
      </c>
      <c r="YV33" s="10">
        <v>395721.27399999998</v>
      </c>
      <c r="YW33" s="3">
        <v>304133.08800000005</v>
      </c>
      <c r="YX33" s="3">
        <v>22402.862000000001</v>
      </c>
      <c r="YY33" s="3">
        <v>30189.752999999997</v>
      </c>
      <c r="YZ33" s="3">
        <v>69185.323999999935</v>
      </c>
      <c r="ZA33" s="3">
        <v>402429</v>
      </c>
      <c r="ZB33" s="3">
        <v>284525</v>
      </c>
      <c r="ZC33" s="3">
        <v>22324</v>
      </c>
      <c r="ZD33" s="3">
        <v>32402</v>
      </c>
      <c r="ZE33" s="1">
        <v>71805</v>
      </c>
      <c r="ZF33" s="1">
        <v>413938</v>
      </c>
      <c r="ZG33" s="1">
        <v>291642</v>
      </c>
      <c r="ZH33" s="1">
        <v>23816</v>
      </c>
      <c r="ZI33" s="1">
        <v>33851</v>
      </c>
      <c r="ZJ33" s="1">
        <v>73778</v>
      </c>
      <c r="ZK33" s="1">
        <v>443463</v>
      </c>
      <c r="ZL33" s="1">
        <v>307322</v>
      </c>
      <c r="ZM33" s="1">
        <v>21877</v>
      </c>
      <c r="ZN33" s="1">
        <v>38041</v>
      </c>
      <c r="ZO33" s="1">
        <v>88354</v>
      </c>
      <c r="ZP33" s="1">
        <v>463681</v>
      </c>
      <c r="ZQ33" s="1">
        <v>322096</v>
      </c>
      <c r="ZR33" s="1">
        <v>26510</v>
      </c>
      <c r="ZS33" s="1">
        <v>36882</v>
      </c>
      <c r="ZT33" s="1">
        <v>90977</v>
      </c>
      <c r="ZU33" s="1">
        <v>471775</v>
      </c>
      <c r="ZV33" s="1">
        <v>312974</v>
      </c>
      <c r="ZW33" s="1">
        <v>30779</v>
      </c>
      <c r="ZX33" s="1">
        <v>44071</v>
      </c>
      <c r="ZY33" s="1">
        <v>98487</v>
      </c>
      <c r="ZZ33" s="394">
        <v>69538</v>
      </c>
      <c r="AAA33" s="1">
        <v>1222</v>
      </c>
      <c r="AAB33" s="1">
        <v>2173</v>
      </c>
      <c r="AAC33" s="1">
        <v>13790</v>
      </c>
      <c r="AAD33" s="1">
        <v>11478</v>
      </c>
      <c r="AAE33" s="50">
        <v>513280</v>
      </c>
      <c r="AAF33" s="1">
        <v>337037</v>
      </c>
      <c r="AAG33" s="1">
        <v>32469</v>
      </c>
      <c r="AAH33" s="1">
        <v>50033</v>
      </c>
      <c r="AAI33" s="1">
        <v>111605</v>
      </c>
      <c r="AAJ33" s="50">
        <v>521834</v>
      </c>
      <c r="AAK33" s="1"/>
      <c r="AAL33" s="1"/>
      <c r="AAM33" s="1"/>
      <c r="AAN33" s="1"/>
      <c r="AAO33" s="68">
        <v>548919</v>
      </c>
      <c r="AAP33" s="37">
        <v>353173</v>
      </c>
      <c r="AAQ33" s="37">
        <v>35014</v>
      </c>
      <c r="AAR33" s="37">
        <v>54473</v>
      </c>
      <c r="AAS33" s="37">
        <v>125775</v>
      </c>
      <c r="AAT33" s="68">
        <v>604626</v>
      </c>
      <c r="AAU33" s="37">
        <v>369330</v>
      </c>
      <c r="AAV33" s="37">
        <v>43498</v>
      </c>
      <c r="AAW33" s="37">
        <v>74487</v>
      </c>
      <c r="AAX33" s="37">
        <v>175607</v>
      </c>
      <c r="AAY33" s="1">
        <v>85844</v>
      </c>
      <c r="AAZ33" s="1">
        <v>2557</v>
      </c>
      <c r="ABA33" s="1">
        <v>3481</v>
      </c>
      <c r="ABB33" s="1">
        <v>57706</v>
      </c>
      <c r="ABC33" s="1">
        <v>26019</v>
      </c>
      <c r="ABD33" s="10">
        <v>79797</v>
      </c>
      <c r="ABE33" s="3">
        <v>68338</v>
      </c>
      <c r="ABF33" s="3">
        <v>3528</v>
      </c>
      <c r="ABG33" s="3"/>
      <c r="ABH33" s="3"/>
      <c r="ABI33" s="10">
        <v>115158</v>
      </c>
      <c r="ABJ33" s="3">
        <v>89993</v>
      </c>
      <c r="ABK33" s="3">
        <v>5229</v>
      </c>
      <c r="ABL33" s="3">
        <v>7285</v>
      </c>
      <c r="ABM33" s="3">
        <v>14758</v>
      </c>
      <c r="ABN33" s="10">
        <v>128730</v>
      </c>
      <c r="ABO33" s="3">
        <v>103288</v>
      </c>
      <c r="ABP33" s="3">
        <v>7678</v>
      </c>
      <c r="ABQ33" s="3">
        <v>8305</v>
      </c>
      <c r="ABR33" s="3">
        <v>17764</v>
      </c>
      <c r="ABS33" s="10">
        <v>134294.54999999999</v>
      </c>
      <c r="ABT33" s="3">
        <v>108618.96</v>
      </c>
      <c r="ABU33" s="3">
        <v>7827.5059999999994</v>
      </c>
      <c r="ABV33" s="3">
        <v>8572.3989999999994</v>
      </c>
      <c r="ABW33" s="8">
        <v>17848.083999999981</v>
      </c>
      <c r="ABX33" s="1">
        <v>135761</v>
      </c>
      <c r="ABY33" s="1">
        <v>102310</v>
      </c>
      <c r="ABZ33" s="1">
        <v>7498</v>
      </c>
      <c r="ACA33" s="1">
        <v>9162</v>
      </c>
      <c r="ACB33" s="49">
        <v>19707</v>
      </c>
      <c r="ACC33" s="1">
        <v>138783</v>
      </c>
      <c r="ACD33" s="1">
        <v>104731</v>
      </c>
      <c r="ACE33" s="1">
        <v>7801</v>
      </c>
      <c r="ACF33" s="1">
        <v>9166</v>
      </c>
      <c r="ACG33" s="1">
        <v>19710</v>
      </c>
      <c r="ACH33" s="1">
        <v>151990</v>
      </c>
      <c r="ACI33" s="1">
        <v>113074</v>
      </c>
      <c r="ACJ33" s="1">
        <v>10048</v>
      </c>
      <c r="ACK33" s="1">
        <v>9669</v>
      </c>
      <c r="ACL33" s="1">
        <v>22039</v>
      </c>
      <c r="ACM33" s="1">
        <v>158733</v>
      </c>
      <c r="ACN33" s="1">
        <v>116697</v>
      </c>
      <c r="ACO33" s="1">
        <v>9327</v>
      </c>
      <c r="ACP33" s="1">
        <v>10764</v>
      </c>
      <c r="ACQ33" s="1">
        <v>24877</v>
      </c>
      <c r="ACR33" s="1">
        <v>163228</v>
      </c>
      <c r="ACS33" s="1">
        <v>120463</v>
      </c>
      <c r="ACT33" s="1">
        <v>9963</v>
      </c>
      <c r="ACU33" s="1">
        <v>10641</v>
      </c>
      <c r="ACV33" s="1">
        <v>24644</v>
      </c>
      <c r="ADB33" s="50">
        <v>173170</v>
      </c>
      <c r="ADC33" s="1">
        <v>127444</v>
      </c>
      <c r="ADD33" s="1">
        <v>8838</v>
      </c>
      <c r="ADE33" s="1">
        <v>11838</v>
      </c>
      <c r="ADF33" s="1">
        <v>28684</v>
      </c>
      <c r="ADG33" s="50">
        <v>182159</v>
      </c>
      <c r="ADL33" s="50">
        <v>193082</v>
      </c>
      <c r="ADM33" s="1">
        <v>133903</v>
      </c>
      <c r="ADN33" s="1">
        <v>13516</v>
      </c>
      <c r="ADO33" s="1">
        <v>16522</v>
      </c>
      <c r="ADP33" s="1">
        <v>35693</v>
      </c>
      <c r="ADQ33" s="50">
        <v>211418</v>
      </c>
      <c r="ADR33" s="1">
        <v>141545</v>
      </c>
      <c r="ADS33" s="1">
        <v>12691</v>
      </c>
      <c r="ADT33" s="1">
        <v>20747</v>
      </c>
      <c r="ADU33" s="1">
        <v>52564</v>
      </c>
      <c r="ADV33" s="1">
        <v>26822</v>
      </c>
      <c r="ADW33" s="1">
        <v>535</v>
      </c>
      <c r="ADX33" s="1">
        <v>1292</v>
      </c>
      <c r="ADY33" s="1">
        <v>16860</v>
      </c>
      <c r="ADZ33" s="1">
        <v>7055</v>
      </c>
    </row>
    <row r="34" spans="1:806" ht="14.1">
      <c r="A34" s="138" t="s">
        <v>33</v>
      </c>
      <c r="B34" s="174" t="s">
        <v>221</v>
      </c>
      <c r="C34" s="175" t="s">
        <v>221</v>
      </c>
      <c r="D34" s="175" t="s">
        <v>221</v>
      </c>
      <c r="E34" s="175" t="s">
        <v>221</v>
      </c>
      <c r="F34" s="176" t="s">
        <v>221</v>
      </c>
      <c r="G34" s="3">
        <v>105362</v>
      </c>
      <c r="H34" s="3">
        <v>69024</v>
      </c>
      <c r="I34" s="3">
        <v>1364</v>
      </c>
      <c r="J34" s="3">
        <v>67226</v>
      </c>
      <c r="K34" s="8">
        <v>34974</v>
      </c>
      <c r="L34" s="3">
        <v>104985</v>
      </c>
      <c r="M34" s="3">
        <v>55092</v>
      </c>
      <c r="N34" s="3">
        <v>1196</v>
      </c>
      <c r="O34" s="3">
        <v>76963</v>
      </c>
      <c r="P34" s="8">
        <v>48697</v>
      </c>
      <c r="Q34" s="3">
        <v>102144</v>
      </c>
      <c r="R34" s="3">
        <v>12974</v>
      </c>
      <c r="S34" s="3">
        <v>886</v>
      </c>
      <c r="T34" s="3">
        <v>76257</v>
      </c>
      <c r="U34" s="8">
        <v>36044</v>
      </c>
      <c r="V34" s="5">
        <v>100278</v>
      </c>
      <c r="W34" s="5">
        <v>68978</v>
      </c>
      <c r="X34" s="5">
        <v>553</v>
      </c>
      <c r="Y34" s="5">
        <v>79070</v>
      </c>
      <c r="Z34" s="408">
        <v>30747</v>
      </c>
      <c r="AA34" s="5">
        <v>97898</v>
      </c>
      <c r="AB34" s="5">
        <v>8806</v>
      </c>
      <c r="AC34" s="5">
        <v>942</v>
      </c>
      <c r="AD34" s="5">
        <v>78705</v>
      </c>
      <c r="AE34" s="5">
        <v>32586</v>
      </c>
      <c r="AF34" s="399">
        <v>98194</v>
      </c>
      <c r="AG34" s="5">
        <v>9772</v>
      </c>
      <c r="AH34" s="5">
        <v>831</v>
      </c>
      <c r="AI34" s="5">
        <v>77644</v>
      </c>
      <c r="AJ34" s="490">
        <v>32120</v>
      </c>
      <c r="AK34" s="490">
        <v>90947</v>
      </c>
      <c r="AL34" s="490">
        <v>7313</v>
      </c>
      <c r="AM34" s="685">
        <v>768</v>
      </c>
      <c r="AN34" s="685">
        <v>73639</v>
      </c>
      <c r="AO34" s="490">
        <v>29962</v>
      </c>
      <c r="AP34" s="394">
        <v>92820</v>
      </c>
      <c r="AQ34" s="394">
        <v>9131</v>
      </c>
      <c r="AR34" s="394">
        <v>803</v>
      </c>
      <c r="AS34" s="394">
        <v>72520</v>
      </c>
      <c r="AT34" s="394">
        <v>30543</v>
      </c>
      <c r="AU34" s="393">
        <v>84515</v>
      </c>
      <c r="AV34" s="394">
        <v>7907</v>
      </c>
      <c r="AW34" s="394">
        <v>528</v>
      </c>
      <c r="AX34" s="394">
        <v>67558</v>
      </c>
      <c r="AY34" s="394">
        <v>26161</v>
      </c>
      <c r="AZ34" s="1">
        <v>609</v>
      </c>
      <c r="BA34" s="1">
        <v>0</v>
      </c>
      <c r="BB34" s="1">
        <v>8035</v>
      </c>
      <c r="BC34" s="1">
        <v>809</v>
      </c>
      <c r="BD34" s="1">
        <v>16708</v>
      </c>
      <c r="BE34" s="393">
        <v>80805</v>
      </c>
      <c r="BF34" s="394">
        <v>6659</v>
      </c>
      <c r="BG34" s="394">
        <v>1174</v>
      </c>
      <c r="BH34" s="394">
        <v>63843</v>
      </c>
      <c r="BI34" s="394">
        <v>22014</v>
      </c>
      <c r="BJ34" s="393">
        <v>84348</v>
      </c>
      <c r="BK34" s="394"/>
      <c r="BL34" s="394"/>
      <c r="BM34" s="394"/>
      <c r="BN34" s="394"/>
      <c r="BO34" s="393">
        <v>82436</v>
      </c>
      <c r="BP34" s="394">
        <v>9869</v>
      </c>
      <c r="BQ34" s="394">
        <v>1007</v>
      </c>
      <c r="BR34" s="394">
        <v>64925</v>
      </c>
      <c r="BS34" s="394">
        <v>23616</v>
      </c>
      <c r="BT34" s="393">
        <v>73938</v>
      </c>
      <c r="BU34" s="394">
        <v>6602</v>
      </c>
      <c r="BV34" s="394">
        <v>462</v>
      </c>
      <c r="BW34" s="394">
        <v>58482</v>
      </c>
      <c r="BX34" s="394">
        <v>1214</v>
      </c>
      <c r="BY34" s="1">
        <v>0</v>
      </c>
      <c r="BZ34" s="1">
        <v>6833</v>
      </c>
      <c r="CA34" s="1">
        <v>29560</v>
      </c>
      <c r="CB34" s="1">
        <v>20398</v>
      </c>
      <c r="CC34" s="10">
        <v>124612</v>
      </c>
      <c r="CD34" s="3">
        <v>88247</v>
      </c>
      <c r="CE34" s="3">
        <v>2725</v>
      </c>
      <c r="CF34" s="3">
        <v>58482</v>
      </c>
      <c r="CG34" s="8">
        <v>33640</v>
      </c>
      <c r="CH34" s="3">
        <v>134996</v>
      </c>
      <c r="CI34" s="3">
        <v>81637</v>
      </c>
      <c r="CJ34" s="3">
        <v>2783</v>
      </c>
      <c r="CK34" s="3">
        <v>72986</v>
      </c>
      <c r="CL34" s="8">
        <v>50576</v>
      </c>
      <c r="CM34" s="1">
        <v>125385</v>
      </c>
      <c r="CN34" s="3">
        <v>31702</v>
      </c>
      <c r="CO34" s="3">
        <v>2287</v>
      </c>
      <c r="CP34" s="3">
        <v>74563</v>
      </c>
      <c r="CQ34" s="8">
        <v>47146</v>
      </c>
      <c r="CR34" s="3">
        <v>123127</v>
      </c>
      <c r="CS34" s="3">
        <v>80225</v>
      </c>
      <c r="CT34" s="3">
        <v>2429</v>
      </c>
      <c r="CU34" s="3">
        <v>74941</v>
      </c>
      <c r="CV34" s="8">
        <v>40473</v>
      </c>
      <c r="CW34" s="3">
        <v>122810</v>
      </c>
      <c r="CX34" s="3">
        <v>28233</v>
      </c>
      <c r="CY34" s="3">
        <v>2135</v>
      </c>
      <c r="CZ34" s="3">
        <v>76455</v>
      </c>
      <c r="DA34" s="3">
        <v>42262</v>
      </c>
      <c r="DB34" s="3">
        <v>121258</v>
      </c>
      <c r="DC34" s="3">
        <v>27408</v>
      </c>
      <c r="DD34" s="3">
        <v>2006</v>
      </c>
      <c r="DE34" s="3">
        <v>76231</v>
      </c>
      <c r="DF34" s="39">
        <v>40341</v>
      </c>
      <c r="DG34" s="39">
        <v>126165</v>
      </c>
      <c r="DH34" s="39">
        <v>25773</v>
      </c>
      <c r="DI34" s="39">
        <v>2237</v>
      </c>
      <c r="DJ34" s="39">
        <v>79059</v>
      </c>
      <c r="DK34" s="39">
        <v>40615</v>
      </c>
      <c r="DL34" s="39">
        <v>118788</v>
      </c>
      <c r="DM34" s="39">
        <v>24316</v>
      </c>
      <c r="DN34" s="39">
        <v>1953</v>
      </c>
      <c r="DO34" s="39">
        <v>74898</v>
      </c>
      <c r="DP34" s="39">
        <v>38783</v>
      </c>
      <c r="DQ34" s="39">
        <v>118426</v>
      </c>
      <c r="DR34" s="39">
        <v>24325</v>
      </c>
      <c r="DS34" s="39">
        <v>1466</v>
      </c>
      <c r="DT34" s="39">
        <v>76373</v>
      </c>
      <c r="DU34" s="39">
        <v>39230</v>
      </c>
      <c r="DV34" s="118">
        <v>112760</v>
      </c>
      <c r="DW34" s="39">
        <v>24251</v>
      </c>
      <c r="DX34" s="39">
        <v>2066</v>
      </c>
      <c r="DY34" s="39">
        <v>72453</v>
      </c>
      <c r="DZ34" s="39">
        <v>32995</v>
      </c>
      <c r="EA34" s="118">
        <v>122340</v>
      </c>
      <c r="EB34" s="39"/>
      <c r="EC34" s="39"/>
      <c r="ED34" s="39"/>
      <c r="EE34" s="39"/>
      <c r="EF34" s="118">
        <v>118892</v>
      </c>
      <c r="EG34" s="39">
        <v>24296</v>
      </c>
      <c r="EH34" s="39">
        <v>2796</v>
      </c>
      <c r="EI34" s="39">
        <v>73826</v>
      </c>
      <c r="EJ34" s="39">
        <v>38184</v>
      </c>
      <c r="EK34" s="118">
        <v>118892</v>
      </c>
      <c r="EL34" s="39">
        <v>24296</v>
      </c>
      <c r="EM34" s="39">
        <v>2796</v>
      </c>
      <c r="EN34" s="39">
        <v>73826</v>
      </c>
      <c r="EO34" s="39">
        <v>38184</v>
      </c>
      <c r="EP34" s="118">
        <v>107656</v>
      </c>
      <c r="EQ34" s="39">
        <v>18607</v>
      </c>
      <c r="ER34" s="39">
        <v>2240</v>
      </c>
      <c r="ES34" s="39">
        <v>69575</v>
      </c>
      <c r="ET34" s="1">
        <v>1254</v>
      </c>
      <c r="EU34" s="1">
        <v>0</v>
      </c>
      <c r="EV34" s="1">
        <v>14746</v>
      </c>
      <c r="EW34" s="1">
        <v>32884</v>
      </c>
      <c r="EX34" s="1">
        <v>28238</v>
      </c>
      <c r="EY34" s="10">
        <v>224640</v>
      </c>
      <c r="EZ34" s="3">
        <v>147195</v>
      </c>
      <c r="FA34" s="3">
        <v>3123</v>
      </c>
      <c r="FB34" s="3">
        <v>157814</v>
      </c>
      <c r="FC34" s="201">
        <f t="shared" si="497"/>
        <v>74322</v>
      </c>
      <c r="FD34" s="174" t="s">
        <v>221</v>
      </c>
      <c r="FE34" s="175" t="s">
        <v>221</v>
      </c>
      <c r="FF34" s="175" t="s">
        <v>221</v>
      </c>
      <c r="FG34" s="175" t="s">
        <v>221</v>
      </c>
      <c r="FH34" s="174" t="s">
        <v>221</v>
      </c>
      <c r="FI34" s="175" t="s">
        <v>221</v>
      </c>
      <c r="FJ34" s="175" t="s">
        <v>221</v>
      </c>
      <c r="FK34" s="175" t="s">
        <v>221</v>
      </c>
      <c r="FL34" s="176" t="s">
        <v>221</v>
      </c>
      <c r="FM34" s="3">
        <v>692616</v>
      </c>
      <c r="FN34" s="3">
        <v>576753</v>
      </c>
      <c r="FO34" s="3">
        <v>12087</v>
      </c>
      <c r="FP34" s="3">
        <v>185041</v>
      </c>
      <c r="FQ34" s="8">
        <v>103776</v>
      </c>
      <c r="FR34" s="3">
        <v>894820</v>
      </c>
      <c r="FS34" s="3">
        <v>682434</v>
      </c>
      <c r="FT34" s="3">
        <v>15312</v>
      </c>
      <c r="FU34" s="3">
        <v>270914</v>
      </c>
      <c r="FV34" s="3">
        <v>197074</v>
      </c>
      <c r="FW34" s="127">
        <v>1012813</v>
      </c>
      <c r="FX34" s="3">
        <v>557703</v>
      </c>
      <c r="FY34" s="3">
        <v>21354</v>
      </c>
      <c r="FZ34" s="3">
        <v>414880</v>
      </c>
      <c r="GA34" s="3">
        <v>340317</v>
      </c>
      <c r="GB34" s="10">
        <v>1031788</v>
      </c>
      <c r="GC34" s="3">
        <v>783775</v>
      </c>
      <c r="GD34" s="3">
        <v>21078</v>
      </c>
      <c r="GE34" s="3">
        <v>226935</v>
      </c>
      <c r="GF34" s="3">
        <v>349166</v>
      </c>
      <c r="GG34" s="42">
        <v>1057419</v>
      </c>
      <c r="GH34" s="40">
        <v>811904</v>
      </c>
      <c r="GI34" s="40">
        <v>22644</v>
      </c>
      <c r="GJ34" s="40">
        <v>222871</v>
      </c>
      <c r="GK34" s="40">
        <v>362643</v>
      </c>
      <c r="GL34" s="10">
        <v>1092648</v>
      </c>
      <c r="GM34" s="3">
        <v>856052</v>
      </c>
      <c r="GN34" s="3">
        <v>21835</v>
      </c>
      <c r="GO34" s="3">
        <v>376884</v>
      </c>
      <c r="GP34" s="3">
        <v>191716</v>
      </c>
      <c r="GQ34" s="10">
        <v>1112502.1439999999</v>
      </c>
      <c r="GR34" s="3">
        <v>868958.12800000003</v>
      </c>
      <c r="GS34" s="3">
        <v>22039.5</v>
      </c>
      <c r="GT34" s="3">
        <v>387708.99000000005</v>
      </c>
      <c r="GU34" s="373">
        <f t="shared" si="498"/>
        <v>221504.51599999983</v>
      </c>
      <c r="GV34" s="3">
        <v>1132351</v>
      </c>
      <c r="GW34" s="3">
        <v>597195</v>
      </c>
      <c r="GX34" s="3">
        <v>21928</v>
      </c>
      <c r="GY34" s="3">
        <v>402671</v>
      </c>
      <c r="GZ34" s="3">
        <v>230965</v>
      </c>
      <c r="HA34" s="3">
        <v>1139544</v>
      </c>
      <c r="HB34" s="3">
        <v>593266</v>
      </c>
      <c r="HC34" s="3">
        <v>22407</v>
      </c>
      <c r="HD34" s="3">
        <v>410331</v>
      </c>
      <c r="HE34" s="3">
        <v>229016</v>
      </c>
      <c r="HF34" s="3">
        <v>1156710</v>
      </c>
      <c r="HG34" s="3">
        <v>588589</v>
      </c>
      <c r="HH34" s="3">
        <v>23303</v>
      </c>
      <c r="HI34" s="3">
        <v>429327</v>
      </c>
      <c r="HJ34" s="3">
        <v>230257</v>
      </c>
      <c r="HK34" s="3">
        <v>1165940</v>
      </c>
      <c r="HL34" s="3">
        <v>584272</v>
      </c>
      <c r="HM34" s="3">
        <v>25655</v>
      </c>
      <c r="HN34" s="3">
        <v>441658</v>
      </c>
      <c r="HO34" s="3">
        <v>201968</v>
      </c>
      <c r="HP34" s="10">
        <v>1188440</v>
      </c>
      <c r="HQ34" s="3">
        <v>583993</v>
      </c>
      <c r="HR34" s="3">
        <v>23491</v>
      </c>
      <c r="HS34" s="3">
        <v>454346</v>
      </c>
      <c r="HT34" s="3">
        <v>212755</v>
      </c>
      <c r="HU34" s="394">
        <v>20995</v>
      </c>
      <c r="HV34" s="1">
        <v>0</v>
      </c>
      <c r="HW34" s="1">
        <v>94771</v>
      </c>
      <c r="HX34" s="1">
        <v>0</v>
      </c>
      <c r="HY34" s="1">
        <v>96989</v>
      </c>
      <c r="HZ34" s="10">
        <v>1197910</v>
      </c>
      <c r="IA34" s="3">
        <v>575935</v>
      </c>
      <c r="IB34" s="3">
        <v>24610</v>
      </c>
      <c r="IC34" s="3">
        <v>470306</v>
      </c>
      <c r="ID34" s="3">
        <v>220241</v>
      </c>
      <c r="IE34" s="399">
        <v>1209793</v>
      </c>
      <c r="IF34" s="5"/>
      <c r="IG34" s="5"/>
      <c r="IH34" s="5"/>
      <c r="II34" s="5"/>
      <c r="IJ34" s="399">
        <v>1224660</v>
      </c>
      <c r="IK34" s="5">
        <v>572313</v>
      </c>
      <c r="IL34" s="5">
        <v>25546</v>
      </c>
      <c r="IM34" s="5">
        <v>491970</v>
      </c>
      <c r="IN34" s="5">
        <v>252441</v>
      </c>
      <c r="IO34" s="399">
        <v>1268955</v>
      </c>
      <c r="IP34" s="5">
        <v>565763</v>
      </c>
      <c r="IQ34" s="5">
        <v>26404</v>
      </c>
      <c r="IR34" s="5">
        <v>519428</v>
      </c>
      <c r="IS34" s="5">
        <v>561202</v>
      </c>
      <c r="IT34" s="1">
        <v>22191</v>
      </c>
      <c r="IU34" s="1">
        <v>0</v>
      </c>
      <c r="IV34" s="1">
        <v>105894</v>
      </c>
      <c r="IW34" s="1">
        <v>283049</v>
      </c>
      <c r="IX34" s="1">
        <v>150068</v>
      </c>
      <c r="IY34" s="380" t="s">
        <v>221</v>
      </c>
      <c r="IZ34" s="188" t="s">
        <v>221</v>
      </c>
      <c r="JA34" s="188" t="s">
        <v>221</v>
      </c>
      <c r="JB34" s="188" t="s">
        <v>221</v>
      </c>
      <c r="JC34" s="635" t="s">
        <v>221</v>
      </c>
      <c r="JD34" s="5">
        <v>239337</v>
      </c>
      <c r="JE34" s="5">
        <v>199010</v>
      </c>
      <c r="JF34" s="5">
        <v>5692</v>
      </c>
      <c r="JG34" s="5">
        <v>59005</v>
      </c>
      <c r="JH34" s="408">
        <v>34635</v>
      </c>
      <c r="JI34" s="5">
        <v>326925</v>
      </c>
      <c r="JJ34" s="5">
        <v>245179</v>
      </c>
      <c r="JK34" s="5">
        <v>7047</v>
      </c>
      <c r="JL34" s="5">
        <v>98602</v>
      </c>
      <c r="JM34" s="408">
        <v>74699</v>
      </c>
      <c r="JN34" s="5">
        <v>352946</v>
      </c>
      <c r="JO34" s="5">
        <v>190408</v>
      </c>
      <c r="JP34" s="5">
        <v>7701</v>
      </c>
      <c r="JQ34" s="5">
        <v>119921</v>
      </c>
      <c r="JR34" s="5">
        <v>84490</v>
      </c>
      <c r="JS34" s="5">
        <v>413735</v>
      </c>
      <c r="JT34" s="5">
        <v>317741</v>
      </c>
      <c r="JU34" s="5">
        <v>9789</v>
      </c>
      <c r="JV34" s="5">
        <v>145164</v>
      </c>
      <c r="JW34" s="408">
        <v>86205</v>
      </c>
      <c r="JX34" s="5">
        <v>417188.304</v>
      </c>
      <c r="JY34" s="5">
        <v>318753.33199999999</v>
      </c>
      <c r="JZ34" s="5">
        <v>10175.951999999999</v>
      </c>
      <c r="KA34" s="5">
        <v>147438.63</v>
      </c>
      <c r="KB34" s="408">
        <v>88259.02</v>
      </c>
      <c r="KC34" s="5">
        <v>426099</v>
      </c>
      <c r="KD34" s="5">
        <v>216504</v>
      </c>
      <c r="KE34" s="5">
        <v>9944</v>
      </c>
      <c r="KF34" s="5">
        <v>154088</v>
      </c>
      <c r="KG34" s="439">
        <v>92161</v>
      </c>
      <c r="KH34" s="439">
        <v>427513</v>
      </c>
      <c r="KI34" s="439">
        <v>215723</v>
      </c>
      <c r="KJ34" s="439">
        <v>10466</v>
      </c>
      <c r="KK34" s="439">
        <v>154681</v>
      </c>
      <c r="KL34" s="439">
        <v>90753</v>
      </c>
      <c r="KM34" s="439">
        <v>431492</v>
      </c>
      <c r="KN34" s="439">
        <v>207536</v>
      </c>
      <c r="KO34" s="439">
        <v>9904</v>
      </c>
      <c r="KP34" s="439">
        <v>169462</v>
      </c>
      <c r="KQ34" s="439">
        <v>92296</v>
      </c>
      <c r="KR34" s="439">
        <v>431671</v>
      </c>
      <c r="KS34" s="439">
        <v>202503</v>
      </c>
      <c r="KT34" s="439">
        <v>10633</v>
      </c>
      <c r="KU34" s="439">
        <v>174215</v>
      </c>
      <c r="KV34" s="439">
        <v>95243</v>
      </c>
      <c r="KW34" s="630">
        <v>439699</v>
      </c>
      <c r="KX34" s="439">
        <v>207262</v>
      </c>
      <c r="KY34" s="439">
        <v>9695</v>
      </c>
      <c r="KZ34" s="439">
        <v>171156</v>
      </c>
      <c r="LA34" s="439">
        <v>94752</v>
      </c>
      <c r="LB34" s="652">
        <v>450811</v>
      </c>
      <c r="LC34" s="653">
        <v>200822</v>
      </c>
      <c r="LD34" s="653">
        <v>12430</v>
      </c>
      <c r="LE34" s="653">
        <v>185739</v>
      </c>
      <c r="LF34" s="653">
        <v>88184</v>
      </c>
      <c r="LG34" s="652">
        <v>448058</v>
      </c>
      <c r="LH34" s="653"/>
      <c r="LI34" s="439"/>
      <c r="LJ34" s="439"/>
      <c r="LK34" s="439"/>
      <c r="LL34" s="652">
        <v>453672</v>
      </c>
      <c r="LM34" s="653">
        <v>197621</v>
      </c>
      <c r="LN34" s="653">
        <v>11528</v>
      </c>
      <c r="LO34" s="653">
        <v>190338</v>
      </c>
      <c r="LP34" s="653">
        <v>103398</v>
      </c>
      <c r="LQ34" s="652">
        <v>460528</v>
      </c>
      <c r="LR34" s="653">
        <v>192191</v>
      </c>
      <c r="LS34" s="653">
        <v>12539</v>
      </c>
      <c r="LT34" s="653">
        <v>191529</v>
      </c>
      <c r="LU34" s="653">
        <v>210617</v>
      </c>
      <c r="LV34" s="1">
        <v>5212</v>
      </c>
      <c r="LW34" s="1">
        <v>0</v>
      </c>
      <c r="LX34" s="1">
        <v>48075</v>
      </c>
      <c r="LY34" s="1">
        <v>105471</v>
      </c>
      <c r="LZ34" s="1">
        <v>51859</v>
      </c>
      <c r="MA34" s="10">
        <v>46502</v>
      </c>
      <c r="MB34" s="3">
        <v>38021</v>
      </c>
      <c r="MC34" s="3">
        <v>964</v>
      </c>
      <c r="MD34" s="3">
        <v>10881</v>
      </c>
      <c r="ME34" s="8">
        <v>7517</v>
      </c>
      <c r="MF34" s="3">
        <v>67001</v>
      </c>
      <c r="MG34" s="3">
        <v>49490</v>
      </c>
      <c r="MH34" s="3">
        <v>1411</v>
      </c>
      <c r="MI34" s="3">
        <v>19315</v>
      </c>
      <c r="MJ34" s="8">
        <v>16100</v>
      </c>
      <c r="MK34" s="3">
        <v>86825</v>
      </c>
      <c r="ML34" s="3">
        <v>44441</v>
      </c>
      <c r="MM34" s="3">
        <v>2264</v>
      </c>
      <c r="MN34" s="3">
        <v>29290</v>
      </c>
      <c r="MO34" s="3">
        <v>23366</v>
      </c>
      <c r="MP34" s="10">
        <v>95760</v>
      </c>
      <c r="MQ34" s="3">
        <v>73113</v>
      </c>
      <c r="MR34" s="3">
        <v>2079</v>
      </c>
      <c r="MS34" s="3">
        <v>32812</v>
      </c>
      <c r="MT34" s="3">
        <v>20568</v>
      </c>
      <c r="MU34" s="10"/>
      <c r="MV34" s="3"/>
      <c r="MW34" s="3"/>
      <c r="MX34" s="3"/>
      <c r="MY34" s="8"/>
      <c r="MZ34" s="3">
        <v>102332</v>
      </c>
      <c r="NA34" s="3">
        <v>53601</v>
      </c>
      <c r="NB34" s="3">
        <v>1953</v>
      </c>
      <c r="NC34" s="3">
        <v>35734</v>
      </c>
      <c r="ND34" s="3">
        <v>21344</v>
      </c>
      <c r="NE34" s="3">
        <v>106166</v>
      </c>
      <c r="NF34" s="3">
        <v>54320</v>
      </c>
      <c r="NG34" s="3">
        <v>1950</v>
      </c>
      <c r="NH34" s="3">
        <v>37991</v>
      </c>
      <c r="NI34" s="3">
        <v>21878</v>
      </c>
      <c r="NJ34" s="3">
        <v>109771</v>
      </c>
      <c r="NK34" s="3">
        <v>55799</v>
      </c>
      <c r="NL34" s="3">
        <v>2266</v>
      </c>
      <c r="NM34" s="3">
        <v>41789</v>
      </c>
      <c r="NN34" s="3">
        <v>69523</v>
      </c>
      <c r="NO34" s="3">
        <v>106315</v>
      </c>
      <c r="NP34" s="3">
        <v>51582</v>
      </c>
      <c r="NQ34" s="3">
        <v>2906</v>
      </c>
      <c r="NR34" s="3">
        <v>40622</v>
      </c>
      <c r="NS34" s="3">
        <v>23057</v>
      </c>
      <c r="NT34" s="3">
        <v>116674</v>
      </c>
      <c r="NU34" s="3">
        <v>55176</v>
      </c>
      <c r="NV34" s="3">
        <v>2769</v>
      </c>
      <c r="NW34" s="3">
        <v>43695</v>
      </c>
      <c r="NX34" s="3">
        <v>24246</v>
      </c>
      <c r="NY34" s="10">
        <v>117531</v>
      </c>
      <c r="NZ34" s="3">
        <v>54663</v>
      </c>
      <c r="OA34" s="3">
        <v>4135</v>
      </c>
      <c r="OB34" s="3">
        <v>44785</v>
      </c>
      <c r="OC34" s="3">
        <v>23137</v>
      </c>
      <c r="OD34" s="10">
        <v>113481</v>
      </c>
      <c r="OE34" s="3"/>
      <c r="OF34" s="3"/>
      <c r="OG34" s="3"/>
      <c r="OH34" s="3"/>
      <c r="OI34" s="10">
        <v>129531</v>
      </c>
      <c r="OJ34" s="3">
        <v>60815</v>
      </c>
      <c r="OK34" s="3">
        <v>2608</v>
      </c>
      <c r="OL34" s="3">
        <v>51071</v>
      </c>
      <c r="OM34" s="3">
        <v>25669</v>
      </c>
      <c r="ON34" s="10">
        <v>131736</v>
      </c>
      <c r="OO34" s="3">
        <v>54414</v>
      </c>
      <c r="OP34" s="3">
        <v>4096</v>
      </c>
      <c r="OQ34" s="3">
        <v>54200</v>
      </c>
      <c r="OR34" s="3">
        <v>12947</v>
      </c>
      <c r="OS34" s="1">
        <v>1962</v>
      </c>
      <c r="OT34" s="1">
        <v>0</v>
      </c>
      <c r="OU34" s="1">
        <v>13098</v>
      </c>
      <c r="OV34" s="1">
        <v>32148</v>
      </c>
      <c r="OW34" s="1">
        <v>12947</v>
      </c>
      <c r="OX34" s="402">
        <f t="shared" si="499"/>
        <v>171420</v>
      </c>
      <c r="OY34" s="382">
        <f t="shared" si="500"/>
        <v>139557</v>
      </c>
      <c r="OZ34" s="382">
        <f t="shared" si="501"/>
        <v>17234</v>
      </c>
      <c r="PA34" s="382">
        <f t="shared" si="502"/>
        <v>105967</v>
      </c>
      <c r="PB34" s="382">
        <f t="shared" si="503"/>
        <v>46968</v>
      </c>
      <c r="PC34" s="402">
        <f t="shared" si="504"/>
        <v>333150</v>
      </c>
      <c r="PD34" s="382">
        <f t="shared" si="505"/>
        <v>278864</v>
      </c>
      <c r="PE34" s="382">
        <f t="shared" si="506"/>
        <v>5037</v>
      </c>
      <c r="PF34" s="382">
        <f t="shared" si="507"/>
        <v>64641</v>
      </c>
      <c r="PG34" s="382">
        <f t="shared" si="508"/>
        <v>49249</v>
      </c>
      <c r="PH34" s="10">
        <v>356214</v>
      </c>
      <c r="PI34" s="3">
        <v>296557</v>
      </c>
      <c r="PJ34" s="3">
        <v>6771</v>
      </c>
      <c r="PK34" s="3">
        <v>87657</v>
      </c>
      <c r="PL34" s="3">
        <v>52886</v>
      </c>
      <c r="PM34" s="3">
        <v>395836</v>
      </c>
      <c r="PN34" s="3">
        <v>267361</v>
      </c>
      <c r="PO34" s="3">
        <v>8012</v>
      </c>
      <c r="PP34" s="3">
        <v>89106</v>
      </c>
      <c r="PQ34" s="3">
        <v>65662</v>
      </c>
      <c r="PR34" s="399"/>
      <c r="PS34" s="5"/>
      <c r="PT34" s="5"/>
      <c r="PU34" s="5"/>
      <c r="PV34" s="5"/>
      <c r="PW34" s="5">
        <v>449566</v>
      </c>
      <c r="PX34" s="5">
        <v>295975</v>
      </c>
      <c r="PY34" s="5">
        <v>8627</v>
      </c>
      <c r="PZ34" s="5">
        <v>109712</v>
      </c>
      <c r="QA34" s="408">
        <v>62726</v>
      </c>
      <c r="QB34" s="5">
        <v>458932</v>
      </c>
      <c r="QC34" s="5">
        <v>297308</v>
      </c>
      <c r="QD34" s="5">
        <v>8762</v>
      </c>
      <c r="QE34" s="5">
        <v>116311</v>
      </c>
      <c r="QF34" s="5">
        <v>63006</v>
      </c>
      <c r="QG34" s="5">
        <v>472705</v>
      </c>
      <c r="QH34" s="5">
        <v>300469</v>
      </c>
      <c r="QI34" s="5">
        <v>9281</v>
      </c>
      <c r="QJ34" s="5">
        <v>123790</v>
      </c>
      <c r="QK34" s="5">
        <v>69523</v>
      </c>
      <c r="QL34" s="399">
        <v>470777</v>
      </c>
      <c r="QM34" s="5">
        <v>297625</v>
      </c>
      <c r="QN34" s="5">
        <v>11925</v>
      </c>
      <c r="QO34" s="5">
        <v>125220</v>
      </c>
      <c r="QP34" s="5">
        <v>55965</v>
      </c>
      <c r="QQ34" s="399">
        <v>494907</v>
      </c>
      <c r="QR34" s="5">
        <v>303142</v>
      </c>
      <c r="QS34" s="5">
        <v>10062</v>
      </c>
      <c r="QT34" s="5">
        <v>136013</v>
      </c>
      <c r="QU34" s="5">
        <v>61827</v>
      </c>
      <c r="QV34" s="399">
        <v>494031</v>
      </c>
      <c r="QW34" s="5">
        <v>297019</v>
      </c>
      <c r="QX34" s="5">
        <v>10390</v>
      </c>
      <c r="QY34" s="5">
        <v>142263</v>
      </c>
      <c r="QZ34" s="5">
        <v>74536</v>
      </c>
      <c r="RA34" s="399">
        <v>505193</v>
      </c>
      <c r="RB34" s="5"/>
      <c r="RC34" s="5"/>
      <c r="RD34" s="5"/>
      <c r="RE34" s="5"/>
      <c r="RF34" s="5">
        <v>524129</v>
      </c>
      <c r="RG34" s="5">
        <v>310598</v>
      </c>
      <c r="RH34" s="5">
        <v>10936</v>
      </c>
      <c r="RI34" s="5">
        <v>154992</v>
      </c>
      <c r="RJ34" s="5">
        <v>79445</v>
      </c>
      <c r="RK34" s="5">
        <v>567666</v>
      </c>
      <c r="RL34" s="5">
        <v>314170</v>
      </c>
      <c r="RM34" s="5">
        <v>11935</v>
      </c>
      <c r="RN34" s="5">
        <v>180260</v>
      </c>
      <c r="RO34" s="5">
        <v>196640</v>
      </c>
      <c r="RP34" s="1">
        <v>14923</v>
      </c>
      <c r="RQ34" s="1">
        <v>0</v>
      </c>
      <c r="RR34" s="1">
        <v>27996</v>
      </c>
      <c r="RS34" s="1">
        <v>110372</v>
      </c>
      <c r="RT34" s="1">
        <v>43349</v>
      </c>
      <c r="RU34" s="10">
        <v>111957</v>
      </c>
      <c r="RV34" s="3">
        <v>101536</v>
      </c>
      <c r="RW34" s="3">
        <v>1372</v>
      </c>
      <c r="RX34" s="3">
        <v>16862</v>
      </c>
      <c r="RY34" s="3">
        <v>9049</v>
      </c>
      <c r="RZ34" s="10">
        <v>154372</v>
      </c>
      <c r="SA34" s="3">
        <v>131501</v>
      </c>
      <c r="SB34" s="3">
        <v>2364</v>
      </c>
      <c r="SC34" s="3">
        <v>28847</v>
      </c>
      <c r="SD34" s="3">
        <v>20507</v>
      </c>
      <c r="SE34" s="10">
        <v>177875</v>
      </c>
      <c r="SF34" s="3">
        <v>124121</v>
      </c>
      <c r="SG34" s="3">
        <v>3663</v>
      </c>
      <c r="SH34" s="3">
        <v>38092</v>
      </c>
      <c r="SI34" s="3">
        <v>25879</v>
      </c>
      <c r="SJ34" s="10">
        <v>189688</v>
      </c>
      <c r="SK34" s="3">
        <v>161840</v>
      </c>
      <c r="SL34" s="3">
        <v>3361</v>
      </c>
      <c r="SM34" s="3">
        <v>43401</v>
      </c>
      <c r="SN34" s="3">
        <v>24487</v>
      </c>
      <c r="SO34" s="10">
        <v>195222.73199999999</v>
      </c>
      <c r="SP34" s="3">
        <v>166482.63199999998</v>
      </c>
      <c r="SQ34" s="3">
        <v>3828.576</v>
      </c>
      <c r="SR34" s="3">
        <v>45323.726999999999</v>
      </c>
      <c r="SS34" s="3">
        <v>24911.524000000005</v>
      </c>
      <c r="ST34" s="10">
        <v>197226</v>
      </c>
      <c r="SU34" s="3">
        <v>131650</v>
      </c>
      <c r="SV34" s="3">
        <v>3944</v>
      </c>
      <c r="SW34" s="3">
        <v>47356</v>
      </c>
      <c r="SX34" s="3">
        <v>25900</v>
      </c>
      <c r="SY34" s="3">
        <v>199989</v>
      </c>
      <c r="SZ34" s="3">
        <v>130363</v>
      </c>
      <c r="TA34" s="3">
        <v>4106</v>
      </c>
      <c r="TB34" s="3">
        <v>51533</v>
      </c>
      <c r="TC34" s="3">
        <v>25212</v>
      </c>
      <c r="TD34" s="3">
        <v>206947</v>
      </c>
      <c r="TE34" s="3">
        <v>129672</v>
      </c>
      <c r="TF34" s="3">
        <v>4179</v>
      </c>
      <c r="TG34" s="3">
        <v>55477</v>
      </c>
      <c r="TH34" s="3">
        <v>29894</v>
      </c>
      <c r="TI34" s="3">
        <v>198116</v>
      </c>
      <c r="TJ34" s="3">
        <v>127802</v>
      </c>
      <c r="TK34" s="3">
        <v>4809</v>
      </c>
      <c r="TL34" s="3">
        <v>52862</v>
      </c>
      <c r="TM34" s="3">
        <v>24861</v>
      </c>
      <c r="TN34" s="3">
        <v>215691</v>
      </c>
      <c r="TO34" s="3">
        <v>135114</v>
      </c>
      <c r="TP34" s="3">
        <v>3802</v>
      </c>
      <c r="TQ34" s="3">
        <v>59933</v>
      </c>
      <c r="TR34" s="3">
        <v>31571</v>
      </c>
      <c r="TS34" s="10">
        <v>211995</v>
      </c>
      <c r="TT34" s="3">
        <v>131621</v>
      </c>
      <c r="TU34" s="3">
        <v>3829</v>
      </c>
      <c r="TV34" s="3">
        <v>60276</v>
      </c>
      <c r="TW34" s="3">
        <v>30459</v>
      </c>
      <c r="TX34" s="10">
        <v>221735</v>
      </c>
      <c r="TY34" s="3"/>
      <c r="TZ34" s="3"/>
      <c r="UA34" s="3"/>
      <c r="UB34" s="3"/>
      <c r="UC34" s="10">
        <v>221281</v>
      </c>
      <c r="UD34" s="3">
        <v>132341</v>
      </c>
      <c r="UE34" s="3">
        <v>4267</v>
      </c>
      <c r="UF34" s="3">
        <v>65963</v>
      </c>
      <c r="UG34" s="3">
        <v>33318</v>
      </c>
      <c r="UH34" s="10">
        <v>231745</v>
      </c>
      <c r="UI34" s="3">
        <v>127387</v>
      </c>
      <c r="UJ34" s="3">
        <v>4436</v>
      </c>
      <c r="UK34" s="3">
        <v>75520</v>
      </c>
      <c r="UL34" s="3">
        <v>79753</v>
      </c>
      <c r="UM34" s="1">
        <v>5735</v>
      </c>
      <c r="UN34" s="1">
        <v>0</v>
      </c>
      <c r="UO34" s="1">
        <v>10244</v>
      </c>
      <c r="UP34" s="1">
        <v>46973</v>
      </c>
      <c r="UQ34" s="1">
        <v>30402</v>
      </c>
      <c r="UR34" s="588">
        <f t="shared" si="509"/>
        <v>42821</v>
      </c>
      <c r="US34" s="40">
        <v>25720</v>
      </c>
      <c r="UT34" s="40">
        <v>17101</v>
      </c>
      <c r="UU34" s="588">
        <f t="shared" si="510"/>
        <v>655</v>
      </c>
      <c r="UV34" s="40">
        <v>342</v>
      </c>
      <c r="UW34" s="40">
        <v>313</v>
      </c>
      <c r="UX34" s="42">
        <v>69703</v>
      </c>
      <c r="UY34" s="588">
        <f t="shared" si="511"/>
        <v>42044</v>
      </c>
      <c r="UZ34" s="588">
        <f t="shared" si="512"/>
        <v>27659</v>
      </c>
      <c r="VA34" s="588">
        <f t="shared" si="513"/>
        <v>61079</v>
      </c>
      <c r="VB34" s="40">
        <v>36427</v>
      </c>
      <c r="VC34" s="40">
        <v>24652</v>
      </c>
      <c r="VD34" s="588">
        <f t="shared" si="514"/>
        <v>546</v>
      </c>
      <c r="VE34" s="40">
        <v>305</v>
      </c>
      <c r="VF34" s="40">
        <v>241</v>
      </c>
      <c r="VG34" s="588">
        <f t="shared" si="515"/>
        <v>8078</v>
      </c>
      <c r="VH34" s="40">
        <v>5312</v>
      </c>
      <c r="VI34" s="40">
        <v>2766</v>
      </c>
      <c r="VJ34" s="42">
        <v>124345</v>
      </c>
      <c r="VK34" s="588">
        <f t="shared" si="516"/>
        <v>72925</v>
      </c>
      <c r="VL34" s="588">
        <f t="shared" si="517"/>
        <v>51420</v>
      </c>
      <c r="VM34" s="240">
        <f t="shared" si="518"/>
        <v>104228</v>
      </c>
      <c r="VN34" s="40">
        <v>60685</v>
      </c>
      <c r="VO34" s="40">
        <v>43543</v>
      </c>
      <c r="VP34" s="40">
        <v>12240</v>
      </c>
      <c r="VQ34" s="40">
        <v>7877</v>
      </c>
      <c r="VR34" s="240">
        <f t="shared" si="519"/>
        <v>1096</v>
      </c>
      <c r="VS34" s="40">
        <v>604</v>
      </c>
      <c r="VT34" s="40">
        <v>492</v>
      </c>
      <c r="VU34" s="240">
        <f t="shared" si="520"/>
        <v>15472</v>
      </c>
      <c r="VV34" s="40">
        <v>9807</v>
      </c>
      <c r="VW34" s="40">
        <v>5665</v>
      </c>
      <c r="VX34" s="233">
        <f t="shared" si="521"/>
        <v>3549</v>
      </c>
      <c r="VY34" s="233">
        <f t="shared" si="522"/>
        <v>1829</v>
      </c>
      <c r="VZ34" s="233">
        <f t="shared" si="523"/>
        <v>1720</v>
      </c>
      <c r="WA34" s="234">
        <f t="shared" si="524"/>
        <v>248</v>
      </c>
      <c r="WB34" s="234">
        <f t="shared" si="525"/>
        <v>152</v>
      </c>
      <c r="WC34" s="234">
        <f t="shared" si="526"/>
        <v>96</v>
      </c>
      <c r="WD34" s="40">
        <v>3301</v>
      </c>
      <c r="WE34" s="40">
        <v>1677</v>
      </c>
      <c r="WF34" s="40">
        <v>1624</v>
      </c>
      <c r="WG34" s="12">
        <f t="shared" si="527"/>
        <v>124918</v>
      </c>
      <c r="WH34" s="588">
        <f t="shared" si="528"/>
        <v>103296</v>
      </c>
      <c r="WI34" s="588">
        <f t="shared" si="529"/>
        <v>85040</v>
      </c>
      <c r="WJ34" s="11">
        <f t="shared" si="530"/>
        <v>101536</v>
      </c>
      <c r="WK34" s="90">
        <f t="shared" si="531"/>
        <v>152239</v>
      </c>
      <c r="WL34" s="40">
        <v>83306</v>
      </c>
      <c r="WM34" s="40">
        <v>68933</v>
      </c>
      <c r="WN34" s="40">
        <v>19990</v>
      </c>
      <c r="WO34" s="40">
        <v>16107</v>
      </c>
      <c r="WP34" s="11">
        <f t="shared" si="532"/>
        <v>16270</v>
      </c>
      <c r="WQ34" s="90">
        <f t="shared" si="533"/>
        <v>1236</v>
      </c>
      <c r="WR34" s="40">
        <v>324</v>
      </c>
      <c r="WS34" s="40">
        <v>912</v>
      </c>
      <c r="WT34" s="11">
        <f t="shared" si="534"/>
        <v>28009</v>
      </c>
      <c r="WU34" s="40">
        <v>16078</v>
      </c>
      <c r="WV34" s="40">
        <v>11931</v>
      </c>
      <c r="WW34" s="9">
        <f t="shared" si="535"/>
        <v>39451</v>
      </c>
      <c r="WX34" s="235">
        <f t="shared" si="536"/>
        <v>3588</v>
      </c>
      <c r="WY34" s="235">
        <f t="shared" si="537"/>
        <v>3264</v>
      </c>
      <c r="WZ34" s="236">
        <f t="shared" si="538"/>
        <v>129</v>
      </c>
      <c r="XA34" s="236">
        <f t="shared" si="539"/>
        <v>104</v>
      </c>
      <c r="XB34" s="236">
        <f t="shared" si="540"/>
        <v>25</v>
      </c>
      <c r="XC34" s="589">
        <f t="shared" si="541"/>
        <v>6723</v>
      </c>
      <c r="XD34" s="589">
        <f t="shared" si="542"/>
        <v>3484</v>
      </c>
      <c r="XE34" s="589">
        <f t="shared" si="543"/>
        <v>3239</v>
      </c>
      <c r="XF34" s="40">
        <v>1809</v>
      </c>
      <c r="XG34" s="40">
        <v>1748</v>
      </c>
      <c r="XH34" s="40">
        <v>1675</v>
      </c>
      <c r="XI34" s="40">
        <v>1491</v>
      </c>
      <c r="XJ34" s="590">
        <v>266149</v>
      </c>
      <c r="XK34" s="40">
        <v>134343</v>
      </c>
      <c r="XL34" s="40">
        <v>131806</v>
      </c>
      <c r="XM34" s="5">
        <f t="shared" si="544"/>
        <v>229374</v>
      </c>
      <c r="XN34" s="5">
        <v>116925</v>
      </c>
      <c r="XO34" s="5">
        <v>112449</v>
      </c>
      <c r="XP34" s="84">
        <f t="shared" si="545"/>
        <v>200816</v>
      </c>
      <c r="XQ34" s="40">
        <v>102698</v>
      </c>
      <c r="XR34" s="40">
        <v>98118</v>
      </c>
      <c r="XS34" s="5">
        <f t="shared" si="546"/>
        <v>3626</v>
      </c>
      <c r="XT34" s="40">
        <v>1868</v>
      </c>
      <c r="XU34" s="40">
        <v>1758</v>
      </c>
      <c r="XV34" s="5">
        <f t="shared" si="547"/>
        <v>45326</v>
      </c>
      <c r="XW34" s="40">
        <v>22348</v>
      </c>
      <c r="XX34" s="40">
        <v>22978</v>
      </c>
      <c r="XY34" s="84">
        <f t="shared" si="548"/>
        <v>33149</v>
      </c>
      <c r="XZ34" s="84">
        <f t="shared" si="549"/>
        <v>15550</v>
      </c>
      <c r="YA34" s="84">
        <f t="shared" si="550"/>
        <v>17599</v>
      </c>
      <c r="YB34" s="587">
        <v>309011</v>
      </c>
      <c r="YC34" s="40">
        <v>222920</v>
      </c>
      <c r="YD34" s="40">
        <v>5748</v>
      </c>
      <c r="YE34" s="40">
        <v>59816</v>
      </c>
      <c r="YF34" s="5">
        <v>42296</v>
      </c>
      <c r="YG34" s="10">
        <v>313926</v>
      </c>
      <c r="YH34" s="3">
        <v>266810</v>
      </c>
      <c r="YI34" s="3">
        <v>6305</v>
      </c>
      <c r="YJ34" s="3">
        <v>40811</v>
      </c>
      <c r="YK34" s="3">
        <v>62645</v>
      </c>
      <c r="YL34" s="10">
        <v>318844</v>
      </c>
      <c r="YM34" s="3">
        <v>273063</v>
      </c>
      <c r="YN34" s="3">
        <v>6175</v>
      </c>
      <c r="YO34" s="3">
        <v>39606</v>
      </c>
      <c r="YP34" s="3">
        <v>65292</v>
      </c>
      <c r="YQ34" s="10">
        <v>331497</v>
      </c>
      <c r="YR34" s="3">
        <v>285409</v>
      </c>
      <c r="YS34" s="3">
        <v>6193</v>
      </c>
      <c r="YT34" s="3">
        <v>39895</v>
      </c>
      <c r="YU34" s="3">
        <v>68497</v>
      </c>
      <c r="YV34" s="10">
        <v>339634.06799999997</v>
      </c>
      <c r="YW34" s="3">
        <v>293374.88199999998</v>
      </c>
      <c r="YX34" s="3">
        <v>6221.4359999999997</v>
      </c>
      <c r="YY34" s="3">
        <v>70988.97</v>
      </c>
      <c r="YZ34" s="3">
        <v>40037.749999999985</v>
      </c>
      <c r="ZA34" s="3">
        <v>347234</v>
      </c>
      <c r="ZB34" s="3">
        <v>242374</v>
      </c>
      <c r="ZC34" s="3">
        <v>6674</v>
      </c>
      <c r="ZD34" s="3">
        <v>73978</v>
      </c>
      <c r="ZE34" s="1">
        <v>41382</v>
      </c>
      <c r="ZF34" s="1">
        <v>352766</v>
      </c>
      <c r="ZG34" s="1">
        <v>242988</v>
      </c>
      <c r="ZH34" s="1">
        <v>6812</v>
      </c>
      <c r="ZI34" s="1">
        <v>78320</v>
      </c>
      <c r="ZJ34" s="1">
        <v>41128</v>
      </c>
      <c r="ZK34" s="1">
        <v>362934</v>
      </c>
      <c r="ZL34" s="1">
        <v>244670</v>
      </c>
      <c r="ZM34" s="1">
        <v>7015</v>
      </c>
      <c r="ZN34" s="1">
        <v>82001</v>
      </c>
      <c r="ZO34" s="1">
        <v>47229</v>
      </c>
      <c r="ZP34" s="1">
        <v>364462</v>
      </c>
      <c r="ZQ34" s="1">
        <v>246043</v>
      </c>
      <c r="ZR34" s="1">
        <v>9019</v>
      </c>
      <c r="ZS34" s="1">
        <v>84598</v>
      </c>
      <c r="ZT34" s="1">
        <v>35812</v>
      </c>
      <c r="ZU34" s="1">
        <v>378233</v>
      </c>
      <c r="ZV34" s="1">
        <v>247966</v>
      </c>
      <c r="ZW34" s="1">
        <v>7293</v>
      </c>
      <c r="ZX34" s="1">
        <v>92318</v>
      </c>
      <c r="ZY34" s="1">
        <v>40773</v>
      </c>
      <c r="ZZ34" s="394">
        <v>11611</v>
      </c>
      <c r="AAA34" s="1">
        <v>0</v>
      </c>
      <c r="AAB34" s="1">
        <v>13199</v>
      </c>
      <c r="AAC34" s="1">
        <v>0</v>
      </c>
      <c r="AAD34" s="1">
        <v>15963</v>
      </c>
      <c r="AAE34" s="50">
        <v>376500</v>
      </c>
      <c r="AAF34" s="1">
        <v>242356</v>
      </c>
      <c r="AAG34" s="1">
        <v>6255</v>
      </c>
      <c r="AAH34" s="1">
        <v>97478</v>
      </c>
      <c r="AAI34" s="1">
        <v>51399</v>
      </c>
      <c r="AAJ34" s="50">
        <v>391712</v>
      </c>
      <c r="AAK34" s="1"/>
      <c r="AAL34" s="1"/>
      <c r="AAM34" s="1"/>
      <c r="AAN34" s="1"/>
      <c r="AAO34" s="68">
        <v>394598</v>
      </c>
      <c r="AAP34" s="37">
        <v>249783</v>
      </c>
      <c r="AAQ34" s="37">
        <v>8328</v>
      </c>
      <c r="AAR34" s="37">
        <v>103921</v>
      </c>
      <c r="AAS34" s="37">
        <v>53776</v>
      </c>
      <c r="AAT34" s="68">
        <v>435930</v>
      </c>
      <c r="AAU34" s="37">
        <v>259756</v>
      </c>
      <c r="AAV34" s="37">
        <v>7839</v>
      </c>
      <c r="AAW34" s="37">
        <v>126060</v>
      </c>
      <c r="AAX34" s="37">
        <v>136485</v>
      </c>
      <c r="AAY34" s="1">
        <v>12961</v>
      </c>
      <c r="AAZ34" s="1">
        <v>0</v>
      </c>
      <c r="ABA34" s="1">
        <v>14898</v>
      </c>
      <c r="ABB34" s="1">
        <v>78224</v>
      </c>
      <c r="ABC34" s="1">
        <v>30402</v>
      </c>
      <c r="ABD34" s="10">
        <v>111777</v>
      </c>
      <c r="ABE34" s="3">
        <v>97873</v>
      </c>
      <c r="ABF34" s="3">
        <v>1262</v>
      </c>
      <c r="ABG34" s="3">
        <v>16479</v>
      </c>
      <c r="ABH34" s="3">
        <v>12642</v>
      </c>
      <c r="ABI34" s="10">
        <v>131136</v>
      </c>
      <c r="ABJ34" s="3">
        <v>98799</v>
      </c>
      <c r="ABK34" s="3">
        <v>2085</v>
      </c>
      <c r="ABL34" s="3">
        <v>21724</v>
      </c>
      <c r="ABM34" s="3">
        <v>16417</v>
      </c>
      <c r="ABN34" s="10">
        <v>141809</v>
      </c>
      <c r="ABO34" s="3">
        <v>123569</v>
      </c>
      <c r="ABP34" s="3">
        <v>2832</v>
      </c>
      <c r="ABQ34" s="3">
        <v>25096</v>
      </c>
      <c r="ABR34" s="3">
        <v>15408</v>
      </c>
      <c r="ABS34" s="10">
        <v>144411.33600000001</v>
      </c>
      <c r="ABT34" s="3">
        <v>126892.25</v>
      </c>
      <c r="ABU34" s="3">
        <v>2392.86</v>
      </c>
      <c r="ABV34" s="3">
        <v>25665.242999999999</v>
      </c>
      <c r="ABW34" s="8">
        <v>15126.22600000001</v>
      </c>
      <c r="ABX34" s="1">
        <v>150008</v>
      </c>
      <c r="ABY34" s="1">
        <v>110724</v>
      </c>
      <c r="ABZ34" s="1">
        <v>2730</v>
      </c>
      <c r="ACA34" s="1">
        <v>26622</v>
      </c>
      <c r="ACB34" s="49">
        <v>15482</v>
      </c>
      <c r="ACC34" s="1">
        <v>152777</v>
      </c>
      <c r="ACD34" s="1">
        <v>112625</v>
      </c>
      <c r="ACE34" s="1">
        <v>2706</v>
      </c>
      <c r="ACF34" s="1">
        <v>26787</v>
      </c>
      <c r="ACG34" s="1">
        <v>15916</v>
      </c>
      <c r="ACH34" s="1">
        <v>155987</v>
      </c>
      <c r="ACI34" s="1">
        <v>114998</v>
      </c>
      <c r="ACJ34" s="1">
        <v>2836</v>
      </c>
      <c r="ACK34" s="1">
        <v>26524</v>
      </c>
      <c r="ACL34" s="1">
        <v>17335</v>
      </c>
      <c r="ACM34" s="1">
        <v>166346</v>
      </c>
      <c r="ACN34" s="1">
        <v>118241</v>
      </c>
      <c r="ACO34" s="1">
        <v>4210</v>
      </c>
      <c r="ACP34" s="1">
        <v>31736</v>
      </c>
      <c r="ACQ34" s="1">
        <v>19800</v>
      </c>
      <c r="ACR34" s="1">
        <v>162542</v>
      </c>
      <c r="ACS34" s="1">
        <v>112852</v>
      </c>
      <c r="ACT34" s="1">
        <v>3491</v>
      </c>
      <c r="ACU34" s="1">
        <v>32385</v>
      </c>
      <c r="ACV34" s="1">
        <v>19670</v>
      </c>
      <c r="ADB34" s="50">
        <v>164505</v>
      </c>
      <c r="ADC34" s="1">
        <v>110735</v>
      </c>
      <c r="ADD34" s="1">
        <v>2426</v>
      </c>
      <c r="ADE34" s="1">
        <v>37202</v>
      </c>
      <c r="ADF34" s="1">
        <v>20940</v>
      </c>
      <c r="ADG34" s="50">
        <v>169977</v>
      </c>
      <c r="ADL34" s="50">
        <v>173317</v>
      </c>
      <c r="ADM34" s="1">
        <v>117442</v>
      </c>
      <c r="ADN34" s="1">
        <v>4061</v>
      </c>
      <c r="ADO34" s="1">
        <v>37958</v>
      </c>
      <c r="ADP34" s="1">
        <v>20458</v>
      </c>
      <c r="ADQ34" s="50">
        <v>204185</v>
      </c>
      <c r="ADR34" s="1">
        <v>132369</v>
      </c>
      <c r="ADS34" s="1">
        <v>3403</v>
      </c>
      <c r="ADT34" s="1">
        <v>50540</v>
      </c>
      <c r="ADU34" s="1">
        <v>56732</v>
      </c>
      <c r="ADV34" s="1">
        <v>7226</v>
      </c>
      <c r="ADW34" s="1">
        <v>0</v>
      </c>
      <c r="ADX34" s="1">
        <v>4654</v>
      </c>
      <c r="ADY34" s="1">
        <v>31251</v>
      </c>
      <c r="ADZ34" s="1">
        <v>13601</v>
      </c>
    </row>
    <row r="35" spans="1:806" ht="14.1">
      <c r="A35" s="138" t="s">
        <v>34</v>
      </c>
      <c r="B35" s="174" t="s">
        <v>221</v>
      </c>
      <c r="C35" s="175" t="s">
        <v>221</v>
      </c>
      <c r="D35" s="175" t="s">
        <v>221</v>
      </c>
      <c r="E35" s="175" t="s">
        <v>221</v>
      </c>
      <c r="F35" s="176" t="s">
        <v>221</v>
      </c>
      <c r="G35" s="3">
        <v>114724</v>
      </c>
      <c r="H35" s="3">
        <v>97482</v>
      </c>
      <c r="I35" s="3">
        <v>1741</v>
      </c>
      <c r="J35" s="3">
        <v>15420</v>
      </c>
      <c r="K35" s="8">
        <v>15501</v>
      </c>
      <c r="L35" s="3">
        <v>111705</v>
      </c>
      <c r="M35" s="3">
        <v>69979</v>
      </c>
      <c r="N35" s="3">
        <v>1622</v>
      </c>
      <c r="O35" s="3">
        <v>42174</v>
      </c>
      <c r="P35" s="8">
        <v>40104</v>
      </c>
      <c r="Q35" s="3">
        <v>114037</v>
      </c>
      <c r="R35" s="3">
        <v>44086</v>
      </c>
      <c r="S35" s="3">
        <v>1709</v>
      </c>
      <c r="T35" s="3">
        <v>58912</v>
      </c>
      <c r="U35" s="8">
        <v>40164</v>
      </c>
      <c r="V35" s="5">
        <v>106453</v>
      </c>
      <c r="W35" s="5">
        <v>66207</v>
      </c>
      <c r="X35" s="5">
        <v>1297</v>
      </c>
      <c r="Y35" s="5">
        <v>57258</v>
      </c>
      <c r="Z35" s="408">
        <v>38949</v>
      </c>
      <c r="AA35" s="5">
        <v>106595</v>
      </c>
      <c r="AB35" s="5">
        <v>35729</v>
      </c>
      <c r="AC35" s="5">
        <v>1713</v>
      </c>
      <c r="AD35" s="5">
        <v>58497</v>
      </c>
      <c r="AE35" s="5">
        <v>39862</v>
      </c>
      <c r="AF35" s="399">
        <v>108473</v>
      </c>
      <c r="AG35" s="5">
        <v>34594</v>
      </c>
      <c r="AH35" s="5">
        <v>1933</v>
      </c>
      <c r="AI35" s="5">
        <v>59739</v>
      </c>
      <c r="AJ35" s="490">
        <v>36696</v>
      </c>
      <c r="AK35" s="490">
        <v>115126</v>
      </c>
      <c r="AL35" s="490">
        <v>39497</v>
      </c>
      <c r="AM35" s="685">
        <v>2195</v>
      </c>
      <c r="AN35" s="685">
        <v>59758</v>
      </c>
      <c r="AO35" s="490">
        <v>38901</v>
      </c>
      <c r="AP35" s="394">
        <v>103304</v>
      </c>
      <c r="AQ35" s="394">
        <v>32465</v>
      </c>
      <c r="AR35" s="394">
        <v>2443</v>
      </c>
      <c r="AS35" s="394">
        <v>57051</v>
      </c>
      <c r="AT35" s="394">
        <v>31867</v>
      </c>
      <c r="AU35" s="393">
        <v>106021</v>
      </c>
      <c r="AV35" s="394">
        <v>31508</v>
      </c>
      <c r="AW35" s="394">
        <v>2873</v>
      </c>
      <c r="AX35" s="394">
        <v>59520</v>
      </c>
      <c r="AY35" s="394">
        <v>34030</v>
      </c>
      <c r="AZ35" s="1">
        <v>10316</v>
      </c>
      <c r="BA35" s="1">
        <v>394</v>
      </c>
      <c r="BB35" s="1">
        <v>993</v>
      </c>
      <c r="BC35" s="1">
        <v>5009</v>
      </c>
      <c r="BD35" s="1">
        <v>17318</v>
      </c>
      <c r="BE35" s="393">
        <v>102453</v>
      </c>
      <c r="BF35" s="394">
        <v>32469</v>
      </c>
      <c r="BG35" s="394">
        <v>2385</v>
      </c>
      <c r="BH35" s="394">
        <v>55244</v>
      </c>
      <c r="BI35" s="394">
        <v>30120</v>
      </c>
      <c r="BJ35" s="393">
        <v>106364</v>
      </c>
      <c r="BK35" s="394"/>
      <c r="BL35" s="394"/>
      <c r="BM35" s="394"/>
      <c r="BN35" s="394"/>
      <c r="BO35" s="393">
        <v>98217</v>
      </c>
      <c r="BP35" s="394">
        <v>26571</v>
      </c>
      <c r="BQ35" s="394">
        <v>1914</v>
      </c>
      <c r="BR35" s="394">
        <v>58339</v>
      </c>
      <c r="BS35" s="394">
        <v>34696</v>
      </c>
      <c r="BT35" s="393">
        <v>99327</v>
      </c>
      <c r="BU35" s="394">
        <v>24047</v>
      </c>
      <c r="BV35" s="394">
        <v>1634</v>
      </c>
      <c r="BW35" s="394">
        <v>59571</v>
      </c>
      <c r="BX35" s="394">
        <v>10573</v>
      </c>
      <c r="BY35" s="1">
        <v>910</v>
      </c>
      <c r="BZ35" s="1">
        <v>3134</v>
      </c>
      <c r="CA35" s="1">
        <v>21926</v>
      </c>
      <c r="CB35" s="1">
        <v>31157</v>
      </c>
      <c r="CC35" s="10">
        <v>228885</v>
      </c>
      <c r="CD35" s="3">
        <v>212542</v>
      </c>
      <c r="CE35" s="3">
        <v>4295</v>
      </c>
      <c r="CF35" s="3">
        <v>59571</v>
      </c>
      <c r="CG35" s="8">
        <v>12048</v>
      </c>
      <c r="CH35" s="3">
        <v>223106</v>
      </c>
      <c r="CI35" s="3">
        <v>189071</v>
      </c>
      <c r="CJ35" s="3">
        <v>4548</v>
      </c>
      <c r="CK35" s="3">
        <v>21884</v>
      </c>
      <c r="CL35" s="8">
        <v>29487</v>
      </c>
      <c r="CM35" s="1">
        <v>197157</v>
      </c>
      <c r="CN35" s="3">
        <v>149353</v>
      </c>
      <c r="CO35" s="3">
        <v>3583</v>
      </c>
      <c r="CP35" s="3">
        <v>30836</v>
      </c>
      <c r="CQ35" s="8">
        <v>28856</v>
      </c>
      <c r="CR35" s="3">
        <v>180491</v>
      </c>
      <c r="CS35" s="3">
        <v>146601</v>
      </c>
      <c r="CT35" s="3">
        <v>4657</v>
      </c>
      <c r="CU35" s="3">
        <v>33853</v>
      </c>
      <c r="CV35" s="8">
        <v>29233</v>
      </c>
      <c r="CW35" s="3">
        <v>178192</v>
      </c>
      <c r="CX35" s="3">
        <v>124885</v>
      </c>
      <c r="CY35" s="3">
        <v>4082</v>
      </c>
      <c r="CZ35" s="3">
        <v>35507</v>
      </c>
      <c r="DA35" s="3">
        <v>30333</v>
      </c>
      <c r="DB35" s="3">
        <v>170171</v>
      </c>
      <c r="DC35" s="3">
        <v>118921</v>
      </c>
      <c r="DD35" s="3">
        <v>3654</v>
      </c>
      <c r="DE35" s="3">
        <v>34311</v>
      </c>
      <c r="DF35" s="39">
        <v>27838</v>
      </c>
      <c r="DG35" s="39">
        <v>168320</v>
      </c>
      <c r="DH35" s="39">
        <v>119991</v>
      </c>
      <c r="DI35" s="39">
        <v>3569</v>
      </c>
      <c r="DJ35" s="39">
        <v>32764</v>
      </c>
      <c r="DK35" s="39">
        <v>24761</v>
      </c>
      <c r="DL35" s="39">
        <v>176281</v>
      </c>
      <c r="DM35" s="39">
        <v>117446</v>
      </c>
      <c r="DN35" s="39">
        <v>3705</v>
      </c>
      <c r="DO35" s="39">
        <v>41049</v>
      </c>
      <c r="DP35" s="39">
        <v>27062</v>
      </c>
      <c r="DQ35" s="39">
        <v>171461</v>
      </c>
      <c r="DR35" s="39">
        <v>114889</v>
      </c>
      <c r="DS35" s="39">
        <v>3670</v>
      </c>
      <c r="DT35" s="39">
        <v>38343</v>
      </c>
      <c r="DU35" s="39">
        <v>29579</v>
      </c>
      <c r="DV35" s="118">
        <v>159928</v>
      </c>
      <c r="DW35" s="39">
        <v>107648</v>
      </c>
      <c r="DX35" s="39">
        <v>3337</v>
      </c>
      <c r="DY35" s="39">
        <v>32807</v>
      </c>
      <c r="DZ35" s="39">
        <v>27150</v>
      </c>
      <c r="EA35" s="118">
        <v>173561</v>
      </c>
      <c r="EB35" s="39"/>
      <c r="EC35" s="39"/>
      <c r="ED35" s="39"/>
      <c r="EE35" s="39"/>
      <c r="EF35" s="118">
        <v>160182</v>
      </c>
      <c r="EG35" s="39">
        <v>106906</v>
      </c>
      <c r="EH35" s="39">
        <v>3015</v>
      </c>
      <c r="EI35" s="39">
        <v>35456</v>
      </c>
      <c r="EJ35" s="39">
        <v>28068</v>
      </c>
      <c r="EK35" s="118">
        <v>160182</v>
      </c>
      <c r="EL35" s="39">
        <v>106906</v>
      </c>
      <c r="EM35" s="39">
        <v>3015</v>
      </c>
      <c r="EN35" s="39">
        <v>35456</v>
      </c>
      <c r="EO35" s="39">
        <v>28068</v>
      </c>
      <c r="EP35" s="118">
        <v>146935</v>
      </c>
      <c r="EQ35" s="39">
        <v>94217</v>
      </c>
      <c r="ER35" s="39">
        <v>2758</v>
      </c>
      <c r="ES35" s="39">
        <v>31391</v>
      </c>
      <c r="ET35" s="1">
        <v>6594</v>
      </c>
      <c r="EU35" s="1">
        <v>580</v>
      </c>
      <c r="EV35" s="1">
        <v>4099</v>
      </c>
      <c r="EW35" s="1">
        <v>19355</v>
      </c>
      <c r="EX35" s="1">
        <v>15521</v>
      </c>
      <c r="EY35" s="10">
        <v>287495</v>
      </c>
      <c r="EZ35" s="3">
        <v>209088</v>
      </c>
      <c r="FA35" s="3">
        <v>6340</v>
      </c>
      <c r="FB35" s="3">
        <v>93853</v>
      </c>
      <c r="FC35" s="201">
        <f t="shared" si="497"/>
        <v>72067</v>
      </c>
      <c r="FD35" s="174" t="s">
        <v>221</v>
      </c>
      <c r="FE35" s="175" t="s">
        <v>221</v>
      </c>
      <c r="FF35" s="175" t="s">
        <v>221</v>
      </c>
      <c r="FG35" s="175" t="s">
        <v>221</v>
      </c>
      <c r="FH35" s="174" t="s">
        <v>221</v>
      </c>
      <c r="FI35" s="175" t="s">
        <v>221</v>
      </c>
      <c r="FJ35" s="175" t="s">
        <v>221</v>
      </c>
      <c r="FK35" s="175" t="s">
        <v>221</v>
      </c>
      <c r="FL35" s="176" t="s">
        <v>221</v>
      </c>
      <c r="FM35" s="3">
        <v>1511760</v>
      </c>
      <c r="FN35" s="3">
        <v>1438476</v>
      </c>
      <c r="FO35" s="3">
        <v>18087</v>
      </c>
      <c r="FP35" s="3">
        <v>26558</v>
      </c>
      <c r="FQ35" s="8">
        <v>55197</v>
      </c>
      <c r="FR35" s="3">
        <v>1916187</v>
      </c>
      <c r="FS35" s="3">
        <v>1750346</v>
      </c>
      <c r="FT35" s="3">
        <v>24332</v>
      </c>
      <c r="FU35" s="3">
        <v>61105</v>
      </c>
      <c r="FV35" s="3">
        <v>141509</v>
      </c>
      <c r="FW35" s="127">
        <v>2185793</v>
      </c>
      <c r="FX35" s="3">
        <v>1920532</v>
      </c>
      <c r="FY35" s="3">
        <v>33086</v>
      </c>
      <c r="FZ35" s="3">
        <v>131025</v>
      </c>
      <c r="GA35" s="3">
        <v>100189</v>
      </c>
      <c r="GB35" s="10">
        <v>2235745</v>
      </c>
      <c r="GC35" s="3">
        <v>2024452</v>
      </c>
      <c r="GD35" s="3">
        <v>31630</v>
      </c>
      <c r="GE35" s="3">
        <v>179663</v>
      </c>
      <c r="GF35" s="3">
        <v>106645</v>
      </c>
      <c r="GG35" s="42">
        <v>2264060</v>
      </c>
      <c r="GH35" s="40">
        <v>2047400</v>
      </c>
      <c r="GI35" s="40">
        <v>33228</v>
      </c>
      <c r="GJ35" s="40">
        <v>183432</v>
      </c>
      <c r="GK35" s="40">
        <v>109999</v>
      </c>
      <c r="GL35" s="10">
        <v>2293249</v>
      </c>
      <c r="GM35" s="3">
        <v>2067892</v>
      </c>
      <c r="GN35" s="3">
        <v>34098</v>
      </c>
      <c r="GO35" s="3">
        <v>117671</v>
      </c>
      <c r="GP35" s="3">
        <v>140203</v>
      </c>
      <c r="GQ35" s="10">
        <v>2326092.4299999997</v>
      </c>
      <c r="GR35" s="3">
        <v>2088582.939</v>
      </c>
      <c r="GS35" s="3">
        <v>35411.79</v>
      </c>
      <c r="GT35" s="3">
        <v>122897.25</v>
      </c>
      <c r="GU35" s="373">
        <f t="shared" si="498"/>
        <v>202097.70099999968</v>
      </c>
      <c r="GV35" s="3">
        <v>2359135</v>
      </c>
      <c r="GW35" s="3">
        <v>2032568</v>
      </c>
      <c r="GX35" s="3">
        <v>35953</v>
      </c>
      <c r="GY35" s="3">
        <v>128715</v>
      </c>
      <c r="GZ35" s="3">
        <v>209706</v>
      </c>
      <c r="HA35" s="3">
        <v>2394755</v>
      </c>
      <c r="HB35" s="3">
        <v>2056528</v>
      </c>
      <c r="HC35" s="3">
        <v>37417</v>
      </c>
      <c r="HD35" s="3">
        <v>135103</v>
      </c>
      <c r="HE35" s="3">
        <v>213623</v>
      </c>
      <c r="HF35" s="3">
        <v>2463511</v>
      </c>
      <c r="HG35" s="3">
        <v>2089756</v>
      </c>
      <c r="HH35" s="3">
        <v>37604</v>
      </c>
      <c r="HI35" s="3">
        <v>154923</v>
      </c>
      <c r="HJ35" s="3">
        <v>237708</v>
      </c>
      <c r="HK35" s="3">
        <v>2524876</v>
      </c>
      <c r="HL35" s="3">
        <v>2131141</v>
      </c>
      <c r="HM35" s="3">
        <v>43787</v>
      </c>
      <c r="HN35" s="3">
        <v>159098</v>
      </c>
      <c r="HO35" s="3">
        <v>240529</v>
      </c>
      <c r="HP35" s="10">
        <v>2580470</v>
      </c>
      <c r="HQ35" s="3">
        <v>2172370</v>
      </c>
      <c r="HR35" s="3">
        <v>42669</v>
      </c>
      <c r="HS35" s="3">
        <v>166142</v>
      </c>
      <c r="HT35" s="3">
        <v>257063</v>
      </c>
      <c r="HU35" s="394">
        <v>102457</v>
      </c>
      <c r="HV35" s="1">
        <v>7380</v>
      </c>
      <c r="HW35" s="1">
        <v>24603</v>
      </c>
      <c r="HX35" s="1">
        <v>82675</v>
      </c>
      <c r="HY35" s="1">
        <v>39948</v>
      </c>
      <c r="HZ35" s="10">
        <v>2638814</v>
      </c>
      <c r="IA35" s="3">
        <v>2197798</v>
      </c>
      <c r="IB35" s="3">
        <v>43699</v>
      </c>
      <c r="IC35" s="3">
        <v>189004</v>
      </c>
      <c r="ID35" s="3">
        <v>268280</v>
      </c>
      <c r="IE35" s="399">
        <v>2672455</v>
      </c>
      <c r="IF35" s="5"/>
      <c r="IG35" s="5"/>
      <c r="IH35" s="5"/>
      <c r="II35" s="5"/>
      <c r="IJ35" s="399">
        <v>2729719</v>
      </c>
      <c r="IK35" s="5">
        <v>2242942</v>
      </c>
      <c r="IL35" s="5">
        <v>46574</v>
      </c>
      <c r="IM35" s="5">
        <v>207828</v>
      </c>
      <c r="IN35" s="5">
        <v>305424</v>
      </c>
      <c r="IO35" s="399">
        <v>2784373</v>
      </c>
      <c r="IP35" s="5">
        <v>2202659</v>
      </c>
      <c r="IQ35" s="5">
        <v>46463</v>
      </c>
      <c r="IR35" s="5">
        <v>234474</v>
      </c>
      <c r="IS35" s="5">
        <v>486942</v>
      </c>
      <c r="IT35" s="1">
        <v>122171</v>
      </c>
      <c r="IU35" s="1">
        <v>8283</v>
      </c>
      <c r="IV35" s="1">
        <v>28517</v>
      </c>
      <c r="IW35" s="1">
        <v>236303</v>
      </c>
      <c r="IX35" s="1">
        <v>91668</v>
      </c>
      <c r="IY35" s="380" t="s">
        <v>221</v>
      </c>
      <c r="IZ35" s="188" t="s">
        <v>221</v>
      </c>
      <c r="JA35" s="188" t="s">
        <v>221</v>
      </c>
      <c r="JB35" s="188" t="s">
        <v>221</v>
      </c>
      <c r="JC35" s="635" t="s">
        <v>221</v>
      </c>
      <c r="JD35" s="5">
        <v>592902</v>
      </c>
      <c r="JE35" s="5">
        <v>562581</v>
      </c>
      <c r="JF35" s="5">
        <v>8326</v>
      </c>
      <c r="JG35" s="5">
        <v>11294</v>
      </c>
      <c r="JH35" s="408">
        <v>21995</v>
      </c>
      <c r="JI35" s="5">
        <v>760392</v>
      </c>
      <c r="JJ35" s="5">
        <v>694912</v>
      </c>
      <c r="JK35" s="5">
        <v>10906</v>
      </c>
      <c r="JL35" s="5">
        <v>23437</v>
      </c>
      <c r="JM35" s="408">
        <v>54574</v>
      </c>
      <c r="JN35" s="5">
        <v>823544</v>
      </c>
      <c r="JO35" s="5">
        <v>730437</v>
      </c>
      <c r="JP35" s="5">
        <v>13169</v>
      </c>
      <c r="JQ35" s="5">
        <v>35231</v>
      </c>
      <c r="JR35" s="5">
        <v>60244</v>
      </c>
      <c r="JS35" s="5">
        <v>909049</v>
      </c>
      <c r="JT35" s="5">
        <v>823136</v>
      </c>
      <c r="JU35" s="5">
        <v>15234</v>
      </c>
      <c r="JV35" s="5">
        <v>46567</v>
      </c>
      <c r="JW35" s="408">
        <v>70679</v>
      </c>
      <c r="JX35" s="5">
        <v>919982.62400000007</v>
      </c>
      <c r="JY35" s="5">
        <v>829459.23100000003</v>
      </c>
      <c r="JZ35" s="5">
        <v>16058.35</v>
      </c>
      <c r="KA35" s="5">
        <v>48768.75</v>
      </c>
      <c r="KB35" s="408">
        <v>74465.043000000034</v>
      </c>
      <c r="KC35" s="5">
        <v>924271</v>
      </c>
      <c r="KD35" s="5">
        <v>798822</v>
      </c>
      <c r="KE35" s="5">
        <v>16523</v>
      </c>
      <c r="KF35" s="5">
        <v>49926</v>
      </c>
      <c r="KG35" s="439">
        <v>77558</v>
      </c>
      <c r="KH35" s="439">
        <v>933263</v>
      </c>
      <c r="KI35" s="439">
        <v>803474</v>
      </c>
      <c r="KJ35" s="439">
        <v>16790</v>
      </c>
      <c r="KK35" s="439">
        <v>52031</v>
      </c>
      <c r="KL35" s="439">
        <v>78480</v>
      </c>
      <c r="KM35" s="439">
        <v>950487</v>
      </c>
      <c r="KN35" s="439">
        <v>811728</v>
      </c>
      <c r="KO35" s="439">
        <v>16568</v>
      </c>
      <c r="KP35" s="439">
        <v>55085</v>
      </c>
      <c r="KQ35" s="439">
        <v>87366</v>
      </c>
      <c r="KR35" s="439">
        <v>968279</v>
      </c>
      <c r="KS35" s="439">
        <v>821853</v>
      </c>
      <c r="KT35" s="439">
        <v>18927</v>
      </c>
      <c r="KU35" s="439">
        <v>61185</v>
      </c>
      <c r="KV35" s="439">
        <v>85219</v>
      </c>
      <c r="KW35" s="630">
        <v>990047</v>
      </c>
      <c r="KX35" s="439">
        <v>835202</v>
      </c>
      <c r="KY35" s="439">
        <v>19194</v>
      </c>
      <c r="KZ35" s="439">
        <v>65199</v>
      </c>
      <c r="LA35" s="439">
        <v>91267</v>
      </c>
      <c r="LB35" s="652">
        <v>986587</v>
      </c>
      <c r="LC35" s="653">
        <v>823821</v>
      </c>
      <c r="LD35" s="653">
        <v>17765</v>
      </c>
      <c r="LE35" s="653">
        <v>72982</v>
      </c>
      <c r="LF35" s="653">
        <v>94580</v>
      </c>
      <c r="LG35" s="652">
        <v>1014101</v>
      </c>
      <c r="LH35" s="653"/>
      <c r="LI35" s="439"/>
      <c r="LJ35" s="439"/>
      <c r="LK35" s="439"/>
      <c r="LL35" s="652">
        <v>1010160</v>
      </c>
      <c r="LM35" s="653">
        <v>834427</v>
      </c>
      <c r="LN35" s="653">
        <v>17545</v>
      </c>
      <c r="LO35" s="653">
        <v>81871</v>
      </c>
      <c r="LP35" s="653">
        <v>101687</v>
      </c>
      <c r="LQ35" s="652">
        <v>1018721</v>
      </c>
      <c r="LR35" s="653">
        <v>805724</v>
      </c>
      <c r="LS35" s="653">
        <v>19168</v>
      </c>
      <c r="LT35" s="653">
        <v>89874</v>
      </c>
      <c r="LU35" s="653">
        <v>174372</v>
      </c>
      <c r="LV35" s="1">
        <v>29857</v>
      </c>
      <c r="LW35" s="1">
        <v>2955</v>
      </c>
      <c r="LX35" s="1">
        <v>11860</v>
      </c>
      <c r="LY35" s="1">
        <v>95266</v>
      </c>
      <c r="LZ35" s="1">
        <v>34434</v>
      </c>
      <c r="MA35" s="10">
        <v>128482</v>
      </c>
      <c r="MB35" s="3">
        <v>121097</v>
      </c>
      <c r="MC35" s="3">
        <v>1452</v>
      </c>
      <c r="MD35" s="3">
        <v>2576</v>
      </c>
      <c r="ME35" s="8">
        <v>5933</v>
      </c>
      <c r="MF35" s="3">
        <v>149639</v>
      </c>
      <c r="MG35" s="3">
        <v>134843</v>
      </c>
      <c r="MH35" s="3">
        <v>2006</v>
      </c>
      <c r="MI35" s="3">
        <v>4456</v>
      </c>
      <c r="MJ35" s="8">
        <v>12790</v>
      </c>
      <c r="MK35" s="3">
        <v>192032</v>
      </c>
      <c r="ML35" s="3">
        <v>168240</v>
      </c>
      <c r="MM35" s="3">
        <v>3264</v>
      </c>
      <c r="MN35" s="3">
        <v>7878</v>
      </c>
      <c r="MO35" s="3">
        <v>15990</v>
      </c>
      <c r="MP35" s="10">
        <v>209217</v>
      </c>
      <c r="MQ35" s="3">
        <v>189006</v>
      </c>
      <c r="MR35" s="3">
        <v>2845</v>
      </c>
      <c r="MS35" s="3">
        <v>9263</v>
      </c>
      <c r="MT35" s="3">
        <v>17366</v>
      </c>
      <c r="MU35" s="10"/>
      <c r="MV35" s="3"/>
      <c r="MW35" s="3"/>
      <c r="MX35" s="3"/>
      <c r="MY35" s="8"/>
      <c r="MZ35" s="3">
        <v>212941</v>
      </c>
      <c r="NA35" s="3">
        <v>184360</v>
      </c>
      <c r="NB35" s="3">
        <v>3341</v>
      </c>
      <c r="NC35" s="3">
        <v>10626</v>
      </c>
      <c r="ND35" s="3">
        <v>18521</v>
      </c>
      <c r="NE35" s="3">
        <v>221551</v>
      </c>
      <c r="NF35" s="3">
        <v>190489</v>
      </c>
      <c r="NG35" s="3">
        <v>3961</v>
      </c>
      <c r="NH35" s="3">
        <v>11461</v>
      </c>
      <c r="NI35" s="3">
        <v>19414</v>
      </c>
      <c r="NJ35" s="3">
        <v>231853</v>
      </c>
      <c r="NK35" s="3">
        <v>198443</v>
      </c>
      <c r="NL35" s="3">
        <v>3422</v>
      </c>
      <c r="NM35" s="3">
        <v>11214</v>
      </c>
      <c r="NN35" s="3">
        <v>105356</v>
      </c>
      <c r="NO35" s="3">
        <v>245431</v>
      </c>
      <c r="NP35" s="3">
        <v>205615</v>
      </c>
      <c r="NQ35" s="3">
        <v>4359</v>
      </c>
      <c r="NR35" s="3">
        <v>15240</v>
      </c>
      <c r="NS35" s="3">
        <v>24707</v>
      </c>
      <c r="NT35" s="3">
        <v>244515</v>
      </c>
      <c r="NU35" s="3">
        <v>202153</v>
      </c>
      <c r="NV35" s="3">
        <v>4366</v>
      </c>
      <c r="NW35" s="3">
        <v>15976</v>
      </c>
      <c r="NX35" s="3">
        <v>27524</v>
      </c>
      <c r="NY35" s="10">
        <v>255783</v>
      </c>
      <c r="NZ35" s="3">
        <v>212381</v>
      </c>
      <c r="OA35" s="3">
        <v>4750</v>
      </c>
      <c r="OB35" s="3">
        <v>19563</v>
      </c>
      <c r="OC35" s="3">
        <v>24925</v>
      </c>
      <c r="OD35" s="10">
        <v>269508</v>
      </c>
      <c r="OE35" s="3"/>
      <c r="OF35" s="3"/>
      <c r="OG35" s="3"/>
      <c r="OH35" s="3"/>
      <c r="OI35" s="10">
        <v>269102</v>
      </c>
      <c r="OJ35" s="3">
        <v>226443</v>
      </c>
      <c r="OK35" s="3">
        <v>4954</v>
      </c>
      <c r="OL35" s="3">
        <v>19220</v>
      </c>
      <c r="OM35" s="3">
        <v>24223</v>
      </c>
      <c r="ON35" s="10">
        <v>271776</v>
      </c>
      <c r="OO35" s="3">
        <v>216780</v>
      </c>
      <c r="OP35" s="3">
        <v>5157</v>
      </c>
      <c r="OQ35" s="3">
        <v>20998</v>
      </c>
      <c r="OR35" s="3">
        <v>7481</v>
      </c>
      <c r="OS35" s="1">
        <v>11726</v>
      </c>
      <c r="OT35" s="1">
        <v>226</v>
      </c>
      <c r="OU35" s="1">
        <v>2427</v>
      </c>
      <c r="OV35" s="1">
        <v>22444</v>
      </c>
      <c r="OW35" s="1">
        <v>7481</v>
      </c>
      <c r="OX35" s="402">
        <f t="shared" si="499"/>
        <v>453741</v>
      </c>
      <c r="OY35" s="382">
        <f t="shared" si="500"/>
        <v>362835</v>
      </c>
      <c r="OZ35" s="382">
        <f t="shared" si="501"/>
        <v>9492</v>
      </c>
      <c r="PA35" s="382">
        <f t="shared" si="502"/>
        <v>89006</v>
      </c>
      <c r="PB35" s="382">
        <f t="shared" si="503"/>
        <v>38951</v>
      </c>
      <c r="PC35" s="402">
        <f t="shared" si="504"/>
        <v>714205</v>
      </c>
      <c r="PD35" s="382">
        <f t="shared" si="505"/>
        <v>651422</v>
      </c>
      <c r="PE35" s="382">
        <f t="shared" si="506"/>
        <v>7435</v>
      </c>
      <c r="PF35" s="382">
        <f t="shared" si="507"/>
        <v>16506</v>
      </c>
      <c r="PG35" s="382">
        <f t="shared" si="508"/>
        <v>55348</v>
      </c>
      <c r="PH35" s="10">
        <v>820109</v>
      </c>
      <c r="PI35" s="3">
        <v>737706</v>
      </c>
      <c r="PJ35" s="3">
        <v>11027</v>
      </c>
      <c r="PK35" s="3">
        <v>28422</v>
      </c>
      <c r="PL35" s="3">
        <v>71376</v>
      </c>
      <c r="PM35" s="3">
        <v>882135</v>
      </c>
      <c r="PN35" s="3">
        <v>778834</v>
      </c>
      <c r="PO35" s="3">
        <v>9983</v>
      </c>
      <c r="PP35" s="3">
        <v>26537</v>
      </c>
      <c r="PQ35" s="3">
        <v>77333</v>
      </c>
      <c r="PR35" s="399"/>
      <c r="PS35" s="5"/>
      <c r="PT35" s="5"/>
      <c r="PU35" s="5"/>
      <c r="PV35" s="5"/>
      <c r="PW35" s="5">
        <v>987923</v>
      </c>
      <c r="PX35" s="5">
        <v>860088</v>
      </c>
      <c r="PY35" s="5">
        <v>12993</v>
      </c>
      <c r="PZ35" s="5">
        <v>36071</v>
      </c>
      <c r="QA35" s="408">
        <v>89892</v>
      </c>
      <c r="QB35" s="5">
        <v>1023910</v>
      </c>
      <c r="QC35" s="5">
        <v>889206</v>
      </c>
      <c r="QD35" s="5">
        <v>13474</v>
      </c>
      <c r="QE35" s="5">
        <v>39716</v>
      </c>
      <c r="QF35" s="5">
        <v>93493</v>
      </c>
      <c r="QG35" s="5">
        <v>1078099</v>
      </c>
      <c r="QH35" s="5">
        <v>928628</v>
      </c>
      <c r="QI35" s="5">
        <v>14527</v>
      </c>
      <c r="QJ35" s="5">
        <v>42738</v>
      </c>
      <c r="QK35" s="5">
        <v>105356</v>
      </c>
      <c r="QL35" s="399">
        <v>1147098</v>
      </c>
      <c r="QM35" s="5">
        <v>972732</v>
      </c>
      <c r="QN35" s="5">
        <v>18674</v>
      </c>
      <c r="QO35" s="5">
        <v>54511</v>
      </c>
      <c r="QP35" s="5">
        <v>116458</v>
      </c>
      <c r="QQ35" s="399">
        <v>1179045</v>
      </c>
      <c r="QR35" s="5">
        <v>1001641</v>
      </c>
      <c r="QS35" s="5">
        <v>14984</v>
      </c>
      <c r="QT35" s="5">
        <v>52430</v>
      </c>
      <c r="QU35" s="5">
        <v>126857</v>
      </c>
      <c r="QV35" s="399">
        <v>1234200</v>
      </c>
      <c r="QW35" s="5">
        <v>1037153</v>
      </c>
      <c r="QX35" s="5">
        <v>19022</v>
      </c>
      <c r="QY35" s="5">
        <v>65362</v>
      </c>
      <c r="QZ35" s="5">
        <v>133158</v>
      </c>
      <c r="RA35" s="399">
        <v>1272051</v>
      </c>
      <c r="RB35" s="5"/>
      <c r="RC35" s="5"/>
      <c r="RD35" s="5"/>
      <c r="RE35" s="5"/>
      <c r="RF35" s="5">
        <v>1301418</v>
      </c>
      <c r="RG35" s="5">
        <v>1084396</v>
      </c>
      <c r="RH35" s="5">
        <v>20647</v>
      </c>
      <c r="RI35" s="5">
        <v>67351</v>
      </c>
      <c r="RJ35" s="5">
        <v>150839</v>
      </c>
      <c r="RK35" s="5">
        <v>1372837</v>
      </c>
      <c r="RL35" s="5">
        <v>1100982</v>
      </c>
      <c r="RM35" s="5">
        <v>20882</v>
      </c>
      <c r="RN35" s="5">
        <v>85931</v>
      </c>
      <c r="RO35" s="5">
        <v>230055</v>
      </c>
      <c r="RP35" s="1">
        <v>84359</v>
      </c>
      <c r="RQ35" s="1">
        <v>1756</v>
      </c>
      <c r="RR35" s="1">
        <v>8031</v>
      </c>
      <c r="RS35" s="1">
        <v>105392</v>
      </c>
      <c r="RT35" s="1">
        <v>30517</v>
      </c>
      <c r="RU35" s="10">
        <v>252626</v>
      </c>
      <c r="RV35" s="3">
        <v>240208</v>
      </c>
      <c r="RW35" s="3">
        <v>2436</v>
      </c>
      <c r="RX35" s="3">
        <v>3482</v>
      </c>
      <c r="RY35" s="3">
        <v>9982</v>
      </c>
      <c r="RZ35" s="10">
        <v>369252</v>
      </c>
      <c r="SA35" s="3">
        <v>337979</v>
      </c>
      <c r="SB35" s="3">
        <v>3640</v>
      </c>
      <c r="SC35" s="3">
        <v>7977</v>
      </c>
      <c r="SD35" s="3">
        <v>27633</v>
      </c>
      <c r="SE35" s="10">
        <v>439941</v>
      </c>
      <c r="SF35" s="3">
        <v>390130</v>
      </c>
      <c r="SG35" s="3">
        <v>4482</v>
      </c>
      <c r="SH35" s="3">
        <v>12343</v>
      </c>
      <c r="SI35" s="3">
        <v>37973</v>
      </c>
      <c r="SJ35" s="10">
        <v>474140</v>
      </c>
      <c r="SK35" s="3">
        <v>426563</v>
      </c>
      <c r="SL35" s="3">
        <v>6560</v>
      </c>
      <c r="SM35" s="3">
        <v>15502</v>
      </c>
      <c r="SN35" s="3">
        <v>41017</v>
      </c>
      <c r="SO35" s="10">
        <v>483513.59499999997</v>
      </c>
      <c r="SP35" s="3">
        <v>434259.81899999996</v>
      </c>
      <c r="SQ35" s="3">
        <v>6506.76</v>
      </c>
      <c r="SR35" s="3">
        <v>16039.500000000002</v>
      </c>
      <c r="SS35" s="3">
        <v>42747.016000000011</v>
      </c>
      <c r="ST35" s="10">
        <v>488199</v>
      </c>
      <c r="SU35" s="3">
        <v>427554</v>
      </c>
      <c r="SV35" s="3">
        <v>6158</v>
      </c>
      <c r="SW35" s="3">
        <v>16627</v>
      </c>
      <c r="SX35" s="3">
        <v>42744</v>
      </c>
      <c r="SY35" s="3">
        <v>502238</v>
      </c>
      <c r="SZ35" s="3">
        <v>439187</v>
      </c>
      <c r="TA35" s="3">
        <v>6184</v>
      </c>
      <c r="TB35" s="3">
        <v>17844</v>
      </c>
      <c r="TC35" s="3">
        <v>44712</v>
      </c>
      <c r="TD35" s="3">
        <v>528064</v>
      </c>
      <c r="TE35" s="3">
        <v>458127</v>
      </c>
      <c r="TF35" s="3">
        <v>6791</v>
      </c>
      <c r="TG35" s="3">
        <v>19691</v>
      </c>
      <c r="TH35" s="3">
        <v>48750</v>
      </c>
      <c r="TI35" s="3">
        <v>566244</v>
      </c>
      <c r="TJ35" s="3">
        <v>483107</v>
      </c>
      <c r="TK35" s="3">
        <v>9289</v>
      </c>
      <c r="TL35" s="3">
        <v>27341</v>
      </c>
      <c r="TM35" s="3">
        <v>54663</v>
      </c>
      <c r="TN35" s="3">
        <v>572508</v>
      </c>
      <c r="TO35" s="3">
        <v>494082</v>
      </c>
      <c r="TP35" s="3">
        <v>7027</v>
      </c>
      <c r="TQ35" s="3">
        <v>21648</v>
      </c>
      <c r="TR35" s="3">
        <v>56125</v>
      </c>
      <c r="TS35" s="10">
        <v>609160</v>
      </c>
      <c r="TT35" s="3">
        <v>517104</v>
      </c>
      <c r="TU35" s="3">
        <v>8632</v>
      </c>
      <c r="TV35" s="3">
        <v>31111</v>
      </c>
      <c r="TW35" s="3">
        <v>63007</v>
      </c>
      <c r="TX35" s="10">
        <v>621190</v>
      </c>
      <c r="TY35" s="3"/>
      <c r="TZ35" s="3"/>
      <c r="UA35" s="3"/>
      <c r="UB35" s="3"/>
      <c r="UC35" s="10">
        <v>627911</v>
      </c>
      <c r="UD35" s="3">
        <v>523917</v>
      </c>
      <c r="UE35" s="3">
        <v>9563</v>
      </c>
      <c r="UF35" s="3">
        <v>31616</v>
      </c>
      <c r="UG35" s="3">
        <v>73935</v>
      </c>
      <c r="UH35" s="10">
        <v>680306</v>
      </c>
      <c r="UI35" s="3">
        <v>549437</v>
      </c>
      <c r="UJ35" s="3">
        <v>9509</v>
      </c>
      <c r="UK35" s="3">
        <v>42001</v>
      </c>
      <c r="UL35" s="3">
        <v>111422</v>
      </c>
      <c r="UM35" s="1">
        <v>39130</v>
      </c>
      <c r="UN35" s="1">
        <v>1112</v>
      </c>
      <c r="UO35" s="1">
        <v>3280</v>
      </c>
      <c r="UP35" s="1">
        <v>52523</v>
      </c>
      <c r="UQ35" s="1">
        <v>23036</v>
      </c>
      <c r="UR35" s="588">
        <f t="shared" si="509"/>
        <v>83240</v>
      </c>
      <c r="US35" s="40">
        <v>49288</v>
      </c>
      <c r="UT35" s="40">
        <v>33952</v>
      </c>
      <c r="UU35" s="588">
        <f t="shared" si="510"/>
        <v>1175</v>
      </c>
      <c r="UV35" s="40">
        <v>773</v>
      </c>
      <c r="UW35" s="40">
        <v>402</v>
      </c>
      <c r="UX35" s="42">
        <v>135501</v>
      </c>
      <c r="UY35" s="588">
        <f t="shared" si="511"/>
        <v>80111</v>
      </c>
      <c r="UZ35" s="588">
        <f t="shared" si="512"/>
        <v>55390</v>
      </c>
      <c r="VA35" s="588">
        <f t="shared" si="513"/>
        <v>133310</v>
      </c>
      <c r="VB35" s="40">
        <v>78751</v>
      </c>
      <c r="VC35" s="40">
        <v>54559</v>
      </c>
      <c r="VD35" s="588">
        <f t="shared" si="514"/>
        <v>829</v>
      </c>
      <c r="VE35" s="40">
        <v>498</v>
      </c>
      <c r="VF35" s="40">
        <v>331</v>
      </c>
      <c r="VG35" s="588">
        <f t="shared" si="515"/>
        <v>1362</v>
      </c>
      <c r="VH35" s="40">
        <v>862</v>
      </c>
      <c r="VI35" s="40">
        <v>500</v>
      </c>
      <c r="VJ35" s="42">
        <v>282036</v>
      </c>
      <c r="VK35" s="588">
        <f t="shared" si="516"/>
        <v>164467</v>
      </c>
      <c r="VL35" s="588">
        <f t="shared" si="517"/>
        <v>117569</v>
      </c>
      <c r="VM35" s="240">
        <f t="shared" si="518"/>
        <v>269598</v>
      </c>
      <c r="VN35" s="40">
        <v>157078</v>
      </c>
      <c r="VO35" s="40">
        <v>112520</v>
      </c>
      <c r="VP35" s="40">
        <v>7389</v>
      </c>
      <c r="VQ35" s="40">
        <v>5049</v>
      </c>
      <c r="VR35" s="240">
        <f t="shared" si="519"/>
        <v>2190</v>
      </c>
      <c r="VS35" s="40">
        <v>1388</v>
      </c>
      <c r="VT35" s="40">
        <v>802</v>
      </c>
      <c r="VU35" s="240">
        <f t="shared" si="520"/>
        <v>3115</v>
      </c>
      <c r="VV35" s="40">
        <v>1923</v>
      </c>
      <c r="VW35" s="40">
        <v>1192</v>
      </c>
      <c r="VX35" s="233">
        <f t="shared" si="521"/>
        <v>7133</v>
      </c>
      <c r="VY35" s="233">
        <f t="shared" si="522"/>
        <v>4078</v>
      </c>
      <c r="VZ35" s="233">
        <f t="shared" si="523"/>
        <v>3055</v>
      </c>
      <c r="WA35" s="234">
        <f t="shared" si="524"/>
        <v>198</v>
      </c>
      <c r="WB35" s="234">
        <f t="shared" si="525"/>
        <v>145</v>
      </c>
      <c r="WC35" s="234">
        <f t="shared" si="526"/>
        <v>53</v>
      </c>
      <c r="WD35" s="40">
        <v>6935</v>
      </c>
      <c r="WE35" s="40">
        <v>3933</v>
      </c>
      <c r="WF35" s="40">
        <v>3002</v>
      </c>
      <c r="WG35" s="12">
        <f t="shared" si="527"/>
        <v>325259</v>
      </c>
      <c r="WH35" s="588">
        <f t="shared" si="528"/>
        <v>209235</v>
      </c>
      <c r="WI35" s="588">
        <f t="shared" si="529"/>
        <v>172936</v>
      </c>
      <c r="WJ35" s="11">
        <f t="shared" si="530"/>
        <v>241738</v>
      </c>
      <c r="WK35" s="90">
        <f t="shared" si="531"/>
        <v>359612</v>
      </c>
      <c r="WL35" s="40">
        <v>196555</v>
      </c>
      <c r="WM35" s="40">
        <v>163057</v>
      </c>
      <c r="WN35" s="40">
        <v>12680</v>
      </c>
      <c r="WO35" s="40">
        <v>9879</v>
      </c>
      <c r="WP35" s="11">
        <f t="shared" si="532"/>
        <v>8040</v>
      </c>
      <c r="WQ35" s="90">
        <f t="shared" si="533"/>
        <v>3640</v>
      </c>
      <c r="WR35" s="40">
        <v>2108</v>
      </c>
      <c r="WS35" s="40">
        <v>1532</v>
      </c>
      <c r="WT35" s="11">
        <f t="shared" si="534"/>
        <v>5065</v>
      </c>
      <c r="WU35" s="40">
        <v>2856</v>
      </c>
      <c r="WV35" s="40">
        <v>2209</v>
      </c>
      <c r="WW35" s="9">
        <f t="shared" si="535"/>
        <v>33018</v>
      </c>
      <c r="WX35" s="235">
        <f t="shared" si="536"/>
        <v>7716</v>
      </c>
      <c r="WY35" s="235">
        <f t="shared" si="537"/>
        <v>6138</v>
      </c>
      <c r="WZ35" s="236">
        <f t="shared" si="538"/>
        <v>65</v>
      </c>
      <c r="XA35" s="236">
        <f t="shared" si="539"/>
        <v>36</v>
      </c>
      <c r="XB35" s="236">
        <f t="shared" si="540"/>
        <v>29</v>
      </c>
      <c r="XC35" s="589">
        <f t="shared" si="541"/>
        <v>13789</v>
      </c>
      <c r="XD35" s="589">
        <f t="shared" si="542"/>
        <v>7680</v>
      </c>
      <c r="XE35" s="589">
        <f t="shared" si="543"/>
        <v>6109</v>
      </c>
      <c r="XF35" s="40">
        <v>907</v>
      </c>
      <c r="XG35" s="40">
        <v>942</v>
      </c>
      <c r="XH35" s="40">
        <v>6773</v>
      </c>
      <c r="XI35" s="40">
        <v>5167</v>
      </c>
      <c r="XJ35" s="590">
        <v>564566</v>
      </c>
      <c r="XK35" s="40">
        <v>293352</v>
      </c>
      <c r="XL35" s="40">
        <v>271214</v>
      </c>
      <c r="XM35" s="5">
        <f t="shared" si="544"/>
        <v>516579</v>
      </c>
      <c r="XN35" s="5">
        <v>268241</v>
      </c>
      <c r="XO35" s="5">
        <v>248338</v>
      </c>
      <c r="XP35" s="84">
        <f t="shared" si="545"/>
        <v>510197</v>
      </c>
      <c r="XQ35" s="40">
        <v>265171</v>
      </c>
      <c r="XR35" s="40">
        <v>245026</v>
      </c>
      <c r="XS35" s="5">
        <f t="shared" si="546"/>
        <v>5429</v>
      </c>
      <c r="XT35" s="40">
        <v>3213</v>
      </c>
      <c r="XU35" s="40">
        <v>2216</v>
      </c>
      <c r="XV35" s="5">
        <f t="shared" si="547"/>
        <v>12050</v>
      </c>
      <c r="XW35" s="40">
        <v>6131</v>
      </c>
      <c r="XX35" s="40">
        <v>5919</v>
      </c>
      <c r="XY35" s="84">
        <f t="shared" si="548"/>
        <v>42558</v>
      </c>
      <c r="XZ35" s="84">
        <f t="shared" si="549"/>
        <v>21898</v>
      </c>
      <c r="YA35" s="84">
        <f t="shared" si="550"/>
        <v>20660</v>
      </c>
      <c r="YB35" s="587">
        <v>690103</v>
      </c>
      <c r="YC35" s="40">
        <v>610594</v>
      </c>
      <c r="YD35" s="40">
        <v>6719</v>
      </c>
      <c r="YE35" s="40">
        <v>18659</v>
      </c>
      <c r="YF35" s="5">
        <v>61343</v>
      </c>
      <c r="YG35" s="10">
        <v>710463</v>
      </c>
      <c r="YH35" s="3">
        <v>640162</v>
      </c>
      <c r="YI35" s="3">
        <v>7233</v>
      </c>
      <c r="YJ35" s="3">
        <v>63068</v>
      </c>
      <c r="YK35" s="3">
        <v>20600</v>
      </c>
      <c r="YL35" s="10">
        <v>731580</v>
      </c>
      <c r="YM35" s="3">
        <v>658488</v>
      </c>
      <c r="YN35" s="3">
        <v>8560</v>
      </c>
      <c r="YO35" s="3">
        <v>64532</v>
      </c>
      <c r="YP35" s="3">
        <v>22008</v>
      </c>
      <c r="YQ35" s="10">
        <v>742258</v>
      </c>
      <c r="YR35" s="3">
        <v>666126</v>
      </c>
      <c r="YS35" s="3">
        <v>9701</v>
      </c>
      <c r="YT35" s="3">
        <v>66431</v>
      </c>
      <c r="YU35" s="3">
        <v>23259</v>
      </c>
      <c r="YV35" s="10">
        <v>760553.81700000004</v>
      </c>
      <c r="YW35" s="3">
        <v>682408.28700000001</v>
      </c>
      <c r="YX35" s="3">
        <v>9718.43</v>
      </c>
      <c r="YY35" s="3">
        <v>24492.75</v>
      </c>
      <c r="YZ35" s="3">
        <v>68427.100000000035</v>
      </c>
      <c r="ZA35" s="3">
        <v>774982</v>
      </c>
      <c r="ZB35" s="3">
        <v>675728</v>
      </c>
      <c r="ZC35" s="3">
        <v>9652</v>
      </c>
      <c r="ZD35" s="3">
        <v>25445</v>
      </c>
      <c r="ZE35" s="1">
        <v>71371</v>
      </c>
      <c r="ZF35" s="1">
        <v>802359</v>
      </c>
      <c r="ZG35" s="1">
        <v>698717</v>
      </c>
      <c r="ZH35" s="1">
        <v>9513</v>
      </c>
      <c r="ZI35" s="1">
        <v>28255</v>
      </c>
      <c r="ZJ35" s="1">
        <v>74079</v>
      </c>
      <c r="ZK35" s="1">
        <v>846246</v>
      </c>
      <c r="ZL35" s="1">
        <v>730185</v>
      </c>
      <c r="ZM35" s="1">
        <v>11105</v>
      </c>
      <c r="ZN35" s="1">
        <v>31524</v>
      </c>
      <c r="ZO35" s="1">
        <v>82379</v>
      </c>
      <c r="ZP35" s="1">
        <v>901667</v>
      </c>
      <c r="ZQ35" s="1">
        <v>767117</v>
      </c>
      <c r="ZR35" s="1">
        <v>14315</v>
      </c>
      <c r="ZS35" s="1">
        <v>39271</v>
      </c>
      <c r="ZT35" s="1">
        <v>91751</v>
      </c>
      <c r="ZU35" s="1">
        <v>934530</v>
      </c>
      <c r="ZV35" s="1">
        <v>799488</v>
      </c>
      <c r="ZW35" s="1">
        <v>10618</v>
      </c>
      <c r="ZX35" s="1">
        <v>36454</v>
      </c>
      <c r="ZY35" s="1">
        <v>99333</v>
      </c>
      <c r="ZZ35" s="394">
        <v>60912</v>
      </c>
      <c r="AAA35" s="1">
        <v>803</v>
      </c>
      <c r="AAB35" s="1">
        <v>4340</v>
      </c>
      <c r="AAC35" s="1">
        <v>24718</v>
      </c>
      <c r="AAD35" s="1">
        <v>7943</v>
      </c>
      <c r="AAE35" s="50">
        <v>978417</v>
      </c>
      <c r="AAF35" s="1">
        <v>824772</v>
      </c>
      <c r="AAG35" s="1">
        <v>14272</v>
      </c>
      <c r="AAH35" s="1">
        <v>45799</v>
      </c>
      <c r="AAI35" s="1">
        <v>108233</v>
      </c>
      <c r="AAJ35" s="50">
        <v>1002543</v>
      </c>
      <c r="AAK35" s="1"/>
      <c r="AAL35" s="1"/>
      <c r="AAM35" s="1"/>
      <c r="AAN35" s="1"/>
      <c r="AAO35" s="68">
        <v>1032316</v>
      </c>
      <c r="AAP35" s="37">
        <v>857953</v>
      </c>
      <c r="AAQ35" s="37">
        <v>15693</v>
      </c>
      <c r="AAR35" s="37">
        <v>48131</v>
      </c>
      <c r="AAS35" s="37">
        <v>126616</v>
      </c>
      <c r="AAT35" s="68">
        <v>1101061</v>
      </c>
      <c r="AAU35" s="37">
        <v>884202</v>
      </c>
      <c r="AAV35" s="37">
        <v>15725</v>
      </c>
      <c r="AAW35" s="37">
        <v>64933</v>
      </c>
      <c r="AAX35" s="37">
        <v>185751</v>
      </c>
      <c r="AAY35" s="1">
        <v>72633</v>
      </c>
      <c r="AAZ35" s="1">
        <v>1530</v>
      </c>
      <c r="ABA35" s="1">
        <v>5604</v>
      </c>
      <c r="ABB35" s="1">
        <v>82948</v>
      </c>
      <c r="ABC35" s="1">
        <v>23036</v>
      </c>
      <c r="ABD35" s="10">
        <v>195314</v>
      </c>
      <c r="ABE35" s="3">
        <v>178600</v>
      </c>
      <c r="ABF35" s="3">
        <v>1789</v>
      </c>
      <c r="ABG35" s="3">
        <v>4073</v>
      </c>
      <c r="ABH35" s="3">
        <v>14925</v>
      </c>
      <c r="ABI35" s="10">
        <v>250162</v>
      </c>
      <c r="ABJ35" s="3">
        <v>220464</v>
      </c>
      <c r="ABK35" s="3">
        <v>2237</v>
      </c>
      <c r="ABL35" s="3">
        <v>6316</v>
      </c>
      <c r="ABM35" s="3">
        <v>23370</v>
      </c>
      <c r="ABN35" s="10">
        <v>268118</v>
      </c>
      <c r="ABO35" s="3">
        <v>239563</v>
      </c>
      <c r="ABP35" s="3">
        <v>3141</v>
      </c>
      <c r="ABQ35" s="3">
        <v>7757</v>
      </c>
      <c r="ABR35" s="3">
        <v>25414</v>
      </c>
      <c r="ABS35" s="10">
        <v>277040.22200000001</v>
      </c>
      <c r="ABT35" s="3">
        <v>248148.46800000002</v>
      </c>
      <c r="ABU35" s="3">
        <v>3211.67</v>
      </c>
      <c r="ABV35" s="3">
        <v>8453.25</v>
      </c>
      <c r="ABW35" s="8">
        <v>25680.083999999988</v>
      </c>
      <c r="ABX35" s="1">
        <v>286783</v>
      </c>
      <c r="ABY35" s="1">
        <v>248174</v>
      </c>
      <c r="ABZ35" s="1">
        <v>3494</v>
      </c>
      <c r="ACA35" s="1">
        <v>8818</v>
      </c>
      <c r="ACB35" s="49">
        <v>28627</v>
      </c>
      <c r="ACC35" s="1">
        <v>300121</v>
      </c>
      <c r="ACD35" s="1">
        <v>259530</v>
      </c>
      <c r="ACE35" s="1">
        <v>3329</v>
      </c>
      <c r="ACF35" s="1">
        <v>10411</v>
      </c>
      <c r="ACG35" s="1">
        <v>29367</v>
      </c>
      <c r="ACH35" s="1">
        <v>318182</v>
      </c>
      <c r="ACI35" s="1">
        <v>272058</v>
      </c>
      <c r="ACJ35" s="1">
        <v>4314</v>
      </c>
      <c r="ACK35" s="1">
        <v>11833</v>
      </c>
      <c r="ACL35" s="1">
        <v>33629</v>
      </c>
      <c r="ACM35" s="1">
        <v>335423</v>
      </c>
      <c r="ACN35" s="1">
        <v>284010</v>
      </c>
      <c r="ACO35" s="1">
        <v>5026</v>
      </c>
      <c r="ACP35" s="1">
        <v>11930</v>
      </c>
      <c r="ACQ35" s="1">
        <v>37088</v>
      </c>
      <c r="ACR35" s="1">
        <v>362022</v>
      </c>
      <c r="ACS35" s="1">
        <v>305406</v>
      </c>
      <c r="ACT35" s="1">
        <v>3591</v>
      </c>
      <c r="ACU35" s="1">
        <v>14806</v>
      </c>
      <c r="ACV35" s="1">
        <v>43208</v>
      </c>
      <c r="ADB35" s="50">
        <v>369257</v>
      </c>
      <c r="ADC35" s="1">
        <v>307668</v>
      </c>
      <c r="ADD35" s="1">
        <v>5640</v>
      </c>
      <c r="ADE35" s="1">
        <v>14688</v>
      </c>
      <c r="ADF35" s="1">
        <v>45226</v>
      </c>
      <c r="ADG35" s="50">
        <v>381353</v>
      </c>
      <c r="ADL35" s="50">
        <v>404405</v>
      </c>
      <c r="ADM35" s="1">
        <v>334036</v>
      </c>
      <c r="ADN35" s="1">
        <v>6130</v>
      </c>
      <c r="ADO35" s="1">
        <v>16515</v>
      </c>
      <c r="ADP35" s="1">
        <v>52681</v>
      </c>
      <c r="ADQ35" s="50">
        <v>420755</v>
      </c>
      <c r="ADR35" s="1">
        <v>334765</v>
      </c>
      <c r="ADS35" s="1">
        <v>6216</v>
      </c>
      <c r="ADT35" s="1">
        <v>22932</v>
      </c>
      <c r="ADU35" s="1">
        <v>74329</v>
      </c>
      <c r="ADV35" s="1">
        <v>33503</v>
      </c>
      <c r="ADW35" s="1">
        <v>418</v>
      </c>
      <c r="ADX35" s="1">
        <v>2324</v>
      </c>
      <c r="ADY35" s="1">
        <v>30425</v>
      </c>
      <c r="ADZ35" s="1">
        <v>7659</v>
      </c>
    </row>
    <row r="36" spans="1:806" ht="14.1">
      <c r="A36" s="138" t="s">
        <v>35</v>
      </c>
      <c r="B36" s="174" t="s">
        <v>221</v>
      </c>
      <c r="C36" s="175" t="s">
        <v>221</v>
      </c>
      <c r="D36" s="175" t="s">
        <v>221</v>
      </c>
      <c r="E36" s="175" t="s">
        <v>221</v>
      </c>
      <c r="F36" s="176" t="s">
        <v>221</v>
      </c>
      <c r="G36" s="3">
        <v>30379</v>
      </c>
      <c r="H36" s="3">
        <v>22568</v>
      </c>
      <c r="I36" s="3">
        <v>368</v>
      </c>
      <c r="J36" s="3">
        <v>6544</v>
      </c>
      <c r="K36" s="8">
        <v>7443</v>
      </c>
      <c r="L36" s="3">
        <v>38426</v>
      </c>
      <c r="M36" s="3">
        <v>20405</v>
      </c>
      <c r="N36" s="3">
        <v>450</v>
      </c>
      <c r="O36" s="3">
        <v>20588</v>
      </c>
      <c r="P36" s="8">
        <v>17571</v>
      </c>
      <c r="Q36" s="3">
        <v>46037</v>
      </c>
      <c r="R36" s="3">
        <v>11513</v>
      </c>
      <c r="S36" s="3">
        <v>516</v>
      </c>
      <c r="T36" s="3">
        <v>29622</v>
      </c>
      <c r="U36" s="8">
        <v>14478</v>
      </c>
      <c r="V36" s="5">
        <v>49102</v>
      </c>
      <c r="W36" s="5">
        <v>34057</v>
      </c>
      <c r="X36" s="5">
        <v>890</v>
      </c>
      <c r="Y36" s="5">
        <v>32279</v>
      </c>
      <c r="Z36" s="408">
        <v>14155</v>
      </c>
      <c r="AA36" s="5">
        <v>49455</v>
      </c>
      <c r="AB36" s="5">
        <v>10461</v>
      </c>
      <c r="AC36" s="5">
        <v>1132</v>
      </c>
      <c r="AD36" s="5">
        <v>32793</v>
      </c>
      <c r="AE36" s="5">
        <v>18884</v>
      </c>
      <c r="AF36" s="399">
        <v>50522</v>
      </c>
      <c r="AG36" s="5">
        <v>10959</v>
      </c>
      <c r="AH36" s="5">
        <v>991</v>
      </c>
      <c r="AI36" s="5">
        <v>33369</v>
      </c>
      <c r="AJ36" s="490">
        <v>20682</v>
      </c>
      <c r="AK36" s="490">
        <v>50703</v>
      </c>
      <c r="AL36" s="490">
        <v>10541</v>
      </c>
      <c r="AM36" s="685">
        <v>925</v>
      </c>
      <c r="AN36" s="685">
        <v>33343</v>
      </c>
      <c r="AO36" s="490">
        <v>22170</v>
      </c>
      <c r="AP36" s="394">
        <v>49949</v>
      </c>
      <c r="AQ36" s="394">
        <v>12114</v>
      </c>
      <c r="AR36" s="394">
        <v>466</v>
      </c>
      <c r="AS36" s="394">
        <v>32345</v>
      </c>
      <c r="AT36" s="394">
        <v>20270</v>
      </c>
      <c r="AU36" s="393">
        <v>51995</v>
      </c>
      <c r="AV36" s="394">
        <v>11419</v>
      </c>
      <c r="AW36" s="394">
        <v>1979</v>
      </c>
      <c r="AX36" s="394">
        <v>32733</v>
      </c>
      <c r="AY36" s="394">
        <v>25252</v>
      </c>
      <c r="AZ36" s="1">
        <v>4264</v>
      </c>
      <c r="BA36" s="1">
        <v>547</v>
      </c>
      <c r="BB36" s="1">
        <v>795</v>
      </c>
      <c r="BC36" s="1">
        <v>484</v>
      </c>
      <c r="BD36" s="1">
        <v>19162</v>
      </c>
      <c r="BE36" s="393">
        <v>50122</v>
      </c>
      <c r="BF36" s="394">
        <v>12940</v>
      </c>
      <c r="BG36" s="394">
        <v>1086</v>
      </c>
      <c r="BH36" s="394">
        <v>31071</v>
      </c>
      <c r="BI36" s="394">
        <v>23087</v>
      </c>
      <c r="BJ36" s="393">
        <v>47361</v>
      </c>
      <c r="BK36" s="394"/>
      <c r="BL36" s="394"/>
      <c r="BM36" s="394"/>
      <c r="BN36" s="394"/>
      <c r="BO36" s="393">
        <v>46767</v>
      </c>
      <c r="BP36" s="394">
        <v>10256</v>
      </c>
      <c r="BQ36" s="394">
        <v>649</v>
      </c>
      <c r="BR36" s="394">
        <v>30817</v>
      </c>
      <c r="BS36" s="394">
        <v>17771</v>
      </c>
      <c r="BT36" s="393">
        <v>54245</v>
      </c>
      <c r="BU36" s="394">
        <v>15989</v>
      </c>
      <c r="BV36" s="394">
        <v>699</v>
      </c>
      <c r="BW36" s="394">
        <v>31647</v>
      </c>
      <c r="BX36" s="394">
        <v>4051</v>
      </c>
      <c r="BY36" s="1">
        <v>565</v>
      </c>
      <c r="BZ36" s="1">
        <v>1104</v>
      </c>
      <c r="CA36" s="1">
        <v>9814</v>
      </c>
      <c r="CB36" s="1">
        <v>17117</v>
      </c>
      <c r="CC36" s="10">
        <v>102936</v>
      </c>
      <c r="CD36" s="3">
        <v>94304</v>
      </c>
      <c r="CE36" s="3">
        <v>902</v>
      </c>
      <c r="CF36" s="3">
        <v>31647</v>
      </c>
      <c r="CG36" s="8">
        <v>7730</v>
      </c>
      <c r="CH36" s="3">
        <v>108585</v>
      </c>
      <c r="CI36" s="3">
        <v>89602</v>
      </c>
      <c r="CJ36" s="3">
        <v>895</v>
      </c>
      <c r="CK36" s="3">
        <v>19294</v>
      </c>
      <c r="CL36" s="8">
        <v>18088</v>
      </c>
      <c r="CM36" s="1">
        <v>98875</v>
      </c>
      <c r="CN36" s="3">
        <v>69005</v>
      </c>
      <c r="CO36" s="3">
        <v>1191</v>
      </c>
      <c r="CP36" s="3">
        <v>23371</v>
      </c>
      <c r="CQ36" s="8">
        <v>15200</v>
      </c>
      <c r="CR36" s="3">
        <v>96666</v>
      </c>
      <c r="CS36" s="3">
        <v>80899</v>
      </c>
      <c r="CT36" s="3">
        <v>1358</v>
      </c>
      <c r="CU36" s="3">
        <v>26915</v>
      </c>
      <c r="CV36" s="8">
        <v>14409</v>
      </c>
      <c r="CW36" s="3">
        <v>100807</v>
      </c>
      <c r="CX36" s="3">
        <v>63044</v>
      </c>
      <c r="CY36" s="3">
        <v>926</v>
      </c>
      <c r="CZ36" s="3">
        <v>30753</v>
      </c>
      <c r="DA36" s="3">
        <v>18651</v>
      </c>
      <c r="DB36" s="3">
        <v>97606</v>
      </c>
      <c r="DC36" s="3">
        <v>59456</v>
      </c>
      <c r="DD36" s="3">
        <v>1276</v>
      </c>
      <c r="DE36" s="3">
        <v>30771</v>
      </c>
      <c r="DF36" s="39">
        <v>19653</v>
      </c>
      <c r="DG36" s="39">
        <v>95821</v>
      </c>
      <c r="DH36" s="39">
        <v>54203</v>
      </c>
      <c r="DI36" s="39">
        <v>978</v>
      </c>
      <c r="DJ36" s="39">
        <v>33693</v>
      </c>
      <c r="DK36" s="39">
        <v>22895</v>
      </c>
      <c r="DL36" s="39">
        <v>97817</v>
      </c>
      <c r="DM36" s="39">
        <v>57577</v>
      </c>
      <c r="DN36" s="39">
        <v>1468</v>
      </c>
      <c r="DO36" s="39">
        <v>31983</v>
      </c>
      <c r="DP36" s="39">
        <v>20875</v>
      </c>
      <c r="DQ36" s="39">
        <v>95408</v>
      </c>
      <c r="DR36" s="39">
        <v>55337</v>
      </c>
      <c r="DS36" s="39">
        <v>773</v>
      </c>
      <c r="DT36" s="39">
        <v>33323</v>
      </c>
      <c r="DU36" s="39">
        <v>24583</v>
      </c>
      <c r="DV36" s="118">
        <v>93413</v>
      </c>
      <c r="DW36" s="39">
        <v>52169</v>
      </c>
      <c r="DX36" s="39">
        <v>1519</v>
      </c>
      <c r="DY36" s="39">
        <v>33324</v>
      </c>
      <c r="DZ36" s="39">
        <v>26158</v>
      </c>
      <c r="EA36" s="118">
        <v>94721</v>
      </c>
      <c r="EB36" s="39"/>
      <c r="EC36" s="39"/>
      <c r="ED36" s="39"/>
      <c r="EE36" s="39"/>
      <c r="EF36" s="118">
        <v>86293</v>
      </c>
      <c r="EG36" s="39">
        <v>50138</v>
      </c>
      <c r="EH36" s="39">
        <v>2092</v>
      </c>
      <c r="EI36" s="39">
        <v>28155</v>
      </c>
      <c r="EJ36" s="39">
        <v>19024</v>
      </c>
      <c r="EK36" s="118">
        <v>86293</v>
      </c>
      <c r="EL36" s="39">
        <v>50138</v>
      </c>
      <c r="EM36" s="39">
        <v>2092</v>
      </c>
      <c r="EN36" s="39">
        <v>28155</v>
      </c>
      <c r="EO36" s="39">
        <v>19024</v>
      </c>
      <c r="EP36" s="118">
        <v>83003</v>
      </c>
      <c r="EQ36" s="39">
        <v>47371</v>
      </c>
      <c r="ER36" s="39">
        <v>1097</v>
      </c>
      <c r="ES36" s="39">
        <v>27138</v>
      </c>
      <c r="ET36" s="1">
        <v>2497</v>
      </c>
      <c r="EU36" s="1">
        <v>684</v>
      </c>
      <c r="EV36" s="1">
        <v>3178</v>
      </c>
      <c r="EW36" s="1">
        <v>12225</v>
      </c>
      <c r="EX36" s="1">
        <v>12560</v>
      </c>
      <c r="EY36" s="10">
        <v>150036</v>
      </c>
      <c r="EZ36" s="3">
        <v>112959</v>
      </c>
      <c r="FA36" s="3">
        <v>2337</v>
      </c>
      <c r="FB36" s="3">
        <v>62209</v>
      </c>
      <c r="FC36" s="201">
        <f t="shared" si="497"/>
        <v>34740</v>
      </c>
      <c r="FD36" s="174" t="s">
        <v>221</v>
      </c>
      <c r="FE36" s="175" t="s">
        <v>221</v>
      </c>
      <c r="FF36" s="175" t="s">
        <v>221</v>
      </c>
      <c r="FG36" s="175" t="s">
        <v>221</v>
      </c>
      <c r="FH36" s="174" t="s">
        <v>221</v>
      </c>
      <c r="FI36" s="175" t="s">
        <v>221</v>
      </c>
      <c r="FJ36" s="175" t="s">
        <v>221</v>
      </c>
      <c r="FK36" s="175" t="s">
        <v>221</v>
      </c>
      <c r="FL36" s="176" t="s">
        <v>221</v>
      </c>
      <c r="FM36" s="3">
        <v>764006</v>
      </c>
      <c r="FN36" s="3">
        <v>730612</v>
      </c>
      <c r="FO36" s="3">
        <v>4256</v>
      </c>
      <c r="FP36" s="3">
        <v>22620</v>
      </c>
      <c r="FQ36" s="8">
        <v>29138</v>
      </c>
      <c r="FR36" s="3">
        <v>1050881</v>
      </c>
      <c r="FS36" s="3">
        <v>975302</v>
      </c>
      <c r="FT36" s="3">
        <v>6651</v>
      </c>
      <c r="FU36" s="3">
        <v>51790</v>
      </c>
      <c r="FV36" s="3">
        <v>68928</v>
      </c>
      <c r="FW36" s="127">
        <v>1305002</v>
      </c>
      <c r="FX36" s="3">
        <v>1151153</v>
      </c>
      <c r="FY36" s="3">
        <v>10157</v>
      </c>
      <c r="FZ36" s="3">
        <v>112895</v>
      </c>
      <c r="GA36" s="3">
        <v>89524</v>
      </c>
      <c r="GB36" s="10">
        <v>1362276</v>
      </c>
      <c r="GC36" s="3">
        <v>1261808</v>
      </c>
      <c r="GD36" s="3">
        <v>10192</v>
      </c>
      <c r="GE36" s="3">
        <v>90276</v>
      </c>
      <c r="GF36" s="3">
        <v>93289</v>
      </c>
      <c r="GG36" s="42">
        <v>1388562</v>
      </c>
      <c r="GH36" s="40">
        <v>1288286</v>
      </c>
      <c r="GI36" s="40">
        <v>10734</v>
      </c>
      <c r="GJ36" s="40">
        <v>89542</v>
      </c>
      <c r="GK36" s="40">
        <v>96535</v>
      </c>
      <c r="GL36" s="10">
        <v>1400767</v>
      </c>
      <c r="GM36" s="3">
        <v>1293880</v>
      </c>
      <c r="GN36" s="3">
        <v>11017</v>
      </c>
      <c r="GO36" s="3">
        <v>104224</v>
      </c>
      <c r="GP36" s="3">
        <v>80002</v>
      </c>
      <c r="GQ36" s="10">
        <v>1427711.608</v>
      </c>
      <c r="GR36" s="3">
        <v>1315470.2799999998</v>
      </c>
      <c r="GS36" s="3">
        <v>11477.239999999998</v>
      </c>
      <c r="GT36" s="3">
        <v>108055.79000000001</v>
      </c>
      <c r="GU36" s="373">
        <f t="shared" si="498"/>
        <v>100764.08800000022</v>
      </c>
      <c r="GV36" s="3">
        <v>1462148</v>
      </c>
      <c r="GW36" s="3">
        <v>1268830</v>
      </c>
      <c r="GX36" s="3">
        <v>12608</v>
      </c>
      <c r="GY36" s="3">
        <v>112929</v>
      </c>
      <c r="GZ36" s="3">
        <v>105763</v>
      </c>
      <c r="HA36" s="3">
        <v>1493622</v>
      </c>
      <c r="HB36" s="3">
        <v>1292546</v>
      </c>
      <c r="HC36" s="3">
        <v>13329</v>
      </c>
      <c r="HD36" s="3">
        <v>116471</v>
      </c>
      <c r="HE36" s="3">
        <v>111528</v>
      </c>
      <c r="HF36" s="3">
        <v>1558210</v>
      </c>
      <c r="HG36" s="3">
        <v>1338749</v>
      </c>
      <c r="HH36" s="3">
        <v>15304</v>
      </c>
      <c r="HI36" s="3">
        <v>126843</v>
      </c>
      <c r="HJ36" s="3">
        <v>122356</v>
      </c>
      <c r="HK36" s="3">
        <v>1594183</v>
      </c>
      <c r="HL36" s="3">
        <v>1359217</v>
      </c>
      <c r="HM36" s="3">
        <v>15265</v>
      </c>
      <c r="HN36" s="3">
        <v>136844</v>
      </c>
      <c r="HO36" s="3">
        <v>133175</v>
      </c>
      <c r="HP36" s="10">
        <v>1635841</v>
      </c>
      <c r="HQ36" s="3">
        <v>1393386</v>
      </c>
      <c r="HR36" s="3">
        <v>14565</v>
      </c>
      <c r="HS36" s="3">
        <v>140662</v>
      </c>
      <c r="HT36" s="3">
        <v>145128</v>
      </c>
      <c r="HU36" s="394">
        <v>39876</v>
      </c>
      <c r="HV36" s="1">
        <v>13494</v>
      </c>
      <c r="HW36" s="1">
        <v>15074</v>
      </c>
      <c r="HX36" s="1">
        <v>26173</v>
      </c>
      <c r="HY36" s="1">
        <v>50511</v>
      </c>
      <c r="HZ36" s="10">
        <v>1683500</v>
      </c>
      <c r="IA36" s="3">
        <v>1420826</v>
      </c>
      <c r="IB36" s="3">
        <v>16467</v>
      </c>
      <c r="IC36" s="3">
        <v>151108</v>
      </c>
      <c r="ID36" s="3">
        <v>158408</v>
      </c>
      <c r="IE36" s="399">
        <v>1729820</v>
      </c>
      <c r="IF36" s="5"/>
      <c r="IG36" s="5"/>
      <c r="IH36" s="5"/>
      <c r="II36" s="5"/>
      <c r="IJ36" s="399">
        <v>1778532</v>
      </c>
      <c r="IK36" s="5">
        <v>1479904</v>
      </c>
      <c r="IL36" s="5">
        <v>17196</v>
      </c>
      <c r="IM36" s="5">
        <v>174694</v>
      </c>
      <c r="IN36" s="5">
        <v>160742</v>
      </c>
      <c r="IO36" s="399">
        <v>1873479</v>
      </c>
      <c r="IP36" s="5">
        <v>1523859</v>
      </c>
      <c r="IQ36" s="5">
        <v>17539</v>
      </c>
      <c r="IR36" s="5">
        <v>195802</v>
      </c>
      <c r="IS36" s="5">
        <v>288924</v>
      </c>
      <c r="IT36" s="1">
        <v>50032</v>
      </c>
      <c r="IU36" s="1">
        <v>15860</v>
      </c>
      <c r="IV36" s="1">
        <v>15511</v>
      </c>
      <c r="IW36" s="1">
        <v>129073</v>
      </c>
      <c r="IX36" s="1">
        <v>78448</v>
      </c>
      <c r="IY36" s="380" t="s">
        <v>221</v>
      </c>
      <c r="IZ36" s="188" t="s">
        <v>221</v>
      </c>
      <c r="JA36" s="188" t="s">
        <v>221</v>
      </c>
      <c r="JB36" s="188" t="s">
        <v>221</v>
      </c>
      <c r="JC36" s="635" t="s">
        <v>221</v>
      </c>
      <c r="JD36" s="5">
        <v>320121</v>
      </c>
      <c r="JE36" s="5">
        <v>306612</v>
      </c>
      <c r="JF36" s="5">
        <v>2202</v>
      </c>
      <c r="JG36" s="5">
        <v>9802</v>
      </c>
      <c r="JH36" s="408">
        <v>11307</v>
      </c>
      <c r="JI36" s="5">
        <v>443492</v>
      </c>
      <c r="JJ36" s="5">
        <v>413450</v>
      </c>
      <c r="JK36" s="5">
        <v>3213</v>
      </c>
      <c r="JL36" s="5">
        <v>20101</v>
      </c>
      <c r="JM36" s="408">
        <v>26829</v>
      </c>
      <c r="JN36" s="5">
        <v>515078</v>
      </c>
      <c r="JO36" s="5">
        <v>461697</v>
      </c>
      <c r="JP36" s="5">
        <v>4613</v>
      </c>
      <c r="JQ36" s="5">
        <v>29640</v>
      </c>
      <c r="JR36" s="5">
        <v>31370</v>
      </c>
      <c r="JS36" s="5">
        <v>571281</v>
      </c>
      <c r="JT36" s="5">
        <v>531960</v>
      </c>
      <c r="JU36" s="5">
        <v>4251</v>
      </c>
      <c r="JV36" s="5">
        <v>38739</v>
      </c>
      <c r="JW36" s="408">
        <v>35070</v>
      </c>
      <c r="JX36" s="5">
        <v>582771.66299999994</v>
      </c>
      <c r="JY36" s="5">
        <v>540486.70199999993</v>
      </c>
      <c r="JZ36" s="5">
        <v>5185.5</v>
      </c>
      <c r="KA36" s="5">
        <v>39881.79</v>
      </c>
      <c r="KB36" s="408">
        <v>37099.46100000001</v>
      </c>
      <c r="KC36" s="5">
        <v>595467</v>
      </c>
      <c r="KD36" s="5">
        <v>522998</v>
      </c>
      <c r="KE36" s="5">
        <v>5610</v>
      </c>
      <c r="KF36" s="5">
        <v>42644</v>
      </c>
      <c r="KG36" s="439">
        <v>39227</v>
      </c>
      <c r="KH36" s="439">
        <v>608968</v>
      </c>
      <c r="KI36" s="439">
        <v>533584</v>
      </c>
      <c r="KJ36" s="439">
        <v>5990</v>
      </c>
      <c r="KK36" s="439">
        <v>45204</v>
      </c>
      <c r="KL36" s="439">
        <v>40217</v>
      </c>
      <c r="KM36" s="439">
        <v>636145</v>
      </c>
      <c r="KN36" s="439">
        <v>553312</v>
      </c>
      <c r="KO36" s="439">
        <v>7851</v>
      </c>
      <c r="KP36" s="439">
        <v>48274</v>
      </c>
      <c r="KQ36" s="439">
        <v>41915</v>
      </c>
      <c r="KR36" s="439">
        <v>617649</v>
      </c>
      <c r="KS36" s="439">
        <v>535694</v>
      </c>
      <c r="KT36" s="439">
        <v>7423</v>
      </c>
      <c r="KU36" s="439">
        <v>48905</v>
      </c>
      <c r="KV36" s="439">
        <v>42033</v>
      </c>
      <c r="KW36" s="630">
        <v>650301</v>
      </c>
      <c r="KX36" s="439">
        <v>562442</v>
      </c>
      <c r="KY36" s="439">
        <v>6797</v>
      </c>
      <c r="KZ36" s="439">
        <v>51618</v>
      </c>
      <c r="LA36" s="439">
        <v>48764</v>
      </c>
      <c r="LB36" s="652">
        <v>642980</v>
      </c>
      <c r="LC36" s="653">
        <v>553123</v>
      </c>
      <c r="LD36" s="653">
        <v>6629</v>
      </c>
      <c r="LE36" s="653">
        <v>53822</v>
      </c>
      <c r="LF36" s="653">
        <v>52312</v>
      </c>
      <c r="LG36" s="652">
        <v>653968</v>
      </c>
      <c r="LH36" s="653"/>
      <c r="LI36" s="439"/>
      <c r="LJ36" s="439"/>
      <c r="LK36" s="439"/>
      <c r="LL36" s="652">
        <v>671665</v>
      </c>
      <c r="LM36" s="653">
        <v>559566</v>
      </c>
      <c r="LN36" s="653">
        <v>8863</v>
      </c>
      <c r="LO36" s="653">
        <v>68166</v>
      </c>
      <c r="LP36" s="653">
        <v>54300</v>
      </c>
      <c r="LQ36" s="652">
        <v>688372</v>
      </c>
      <c r="LR36" s="653">
        <v>568564</v>
      </c>
      <c r="LS36" s="653">
        <v>6665</v>
      </c>
      <c r="LT36" s="653">
        <v>65685</v>
      </c>
      <c r="LU36" s="653">
        <v>97616</v>
      </c>
      <c r="LV36" s="1">
        <v>11662</v>
      </c>
      <c r="LW36" s="1">
        <v>5458</v>
      </c>
      <c r="LX36" s="1">
        <v>6302</v>
      </c>
      <c r="LY36" s="1">
        <v>48141</v>
      </c>
      <c r="LZ36" s="1">
        <v>26053</v>
      </c>
      <c r="MA36" s="10">
        <v>69715</v>
      </c>
      <c r="MB36" s="3">
        <v>66655</v>
      </c>
      <c r="MC36" s="3">
        <v>465</v>
      </c>
      <c r="MD36" s="3">
        <v>2172</v>
      </c>
      <c r="ME36" s="8">
        <v>2595</v>
      </c>
      <c r="MF36" s="3">
        <v>94812</v>
      </c>
      <c r="MG36" s="3">
        <v>87886</v>
      </c>
      <c r="MH36" s="3">
        <v>576</v>
      </c>
      <c r="MI36" s="3">
        <v>4206</v>
      </c>
      <c r="MJ36" s="8">
        <v>6350</v>
      </c>
      <c r="MK36" s="3">
        <v>132546</v>
      </c>
      <c r="ML36" s="3">
        <v>118947</v>
      </c>
      <c r="MM36" s="3">
        <v>1395</v>
      </c>
      <c r="MN36" s="3">
        <v>6970</v>
      </c>
      <c r="MO36" s="3">
        <v>7817</v>
      </c>
      <c r="MP36" s="10">
        <v>143060</v>
      </c>
      <c r="MQ36" s="3">
        <v>134013</v>
      </c>
      <c r="MR36" s="3">
        <v>1140</v>
      </c>
      <c r="MS36" s="3">
        <v>8291</v>
      </c>
      <c r="MT36" s="3">
        <v>7907</v>
      </c>
      <c r="MU36" s="10"/>
      <c r="MV36" s="3"/>
      <c r="MW36" s="3"/>
      <c r="MX36" s="3"/>
      <c r="MY36" s="8"/>
      <c r="MZ36" s="3">
        <v>150219</v>
      </c>
      <c r="NA36" s="3">
        <v>134272</v>
      </c>
      <c r="NB36" s="3">
        <v>1234</v>
      </c>
      <c r="NC36" s="3">
        <v>8786</v>
      </c>
      <c r="ND36" s="3">
        <v>9100</v>
      </c>
      <c r="NE36" s="3">
        <v>156278</v>
      </c>
      <c r="NF36" s="3">
        <v>138793</v>
      </c>
      <c r="NG36" s="3">
        <v>1441</v>
      </c>
      <c r="NH36" s="3">
        <v>9756</v>
      </c>
      <c r="NI36" s="3">
        <v>9970</v>
      </c>
      <c r="NJ36" s="3">
        <v>168810</v>
      </c>
      <c r="NK36" s="3">
        <v>149054</v>
      </c>
      <c r="NL36" s="3">
        <v>1013</v>
      </c>
      <c r="NM36" s="3">
        <v>11506</v>
      </c>
      <c r="NN36" s="3">
        <v>46011</v>
      </c>
      <c r="NO36" s="3">
        <v>159609</v>
      </c>
      <c r="NP36" s="3">
        <v>139759</v>
      </c>
      <c r="NQ36" s="3">
        <v>1651</v>
      </c>
      <c r="NR36" s="3">
        <v>10696</v>
      </c>
      <c r="NS36" s="3">
        <v>11155</v>
      </c>
      <c r="NT36" s="3">
        <v>178193</v>
      </c>
      <c r="NU36" s="3">
        <v>155007</v>
      </c>
      <c r="NV36" s="3">
        <v>1676</v>
      </c>
      <c r="NW36" s="3">
        <v>14735</v>
      </c>
      <c r="NX36" s="3">
        <v>12591</v>
      </c>
      <c r="NY36" s="10">
        <v>172999</v>
      </c>
      <c r="NZ36" s="3">
        <v>150628</v>
      </c>
      <c r="OA36" s="3">
        <v>2152</v>
      </c>
      <c r="OB36" s="3">
        <v>13496</v>
      </c>
      <c r="OC36" s="3">
        <v>12695</v>
      </c>
      <c r="OD36" s="10">
        <v>191808</v>
      </c>
      <c r="OE36" s="3"/>
      <c r="OF36" s="3"/>
      <c r="OG36" s="3"/>
      <c r="OH36" s="3"/>
      <c r="OI36" s="10">
        <v>184777</v>
      </c>
      <c r="OJ36" s="3">
        <v>154388</v>
      </c>
      <c r="OK36" s="3">
        <v>2909</v>
      </c>
      <c r="OL36" s="3">
        <v>17962</v>
      </c>
      <c r="OM36" s="3">
        <v>14032</v>
      </c>
      <c r="ON36" s="10">
        <v>191196</v>
      </c>
      <c r="OO36" s="3">
        <v>159413</v>
      </c>
      <c r="OP36" s="3">
        <v>2018</v>
      </c>
      <c r="OQ36" s="3">
        <v>17464</v>
      </c>
      <c r="OR36" s="3">
        <v>7055</v>
      </c>
      <c r="OS36" s="1">
        <v>3665</v>
      </c>
      <c r="OT36" s="1">
        <v>1712</v>
      </c>
      <c r="OU36" s="1">
        <v>1902</v>
      </c>
      <c r="OV36" s="1">
        <v>11330</v>
      </c>
      <c r="OW36" s="1">
        <v>7055</v>
      </c>
      <c r="OX36" s="402">
        <f t="shared" si="499"/>
        <v>234138</v>
      </c>
      <c r="OY36" s="382">
        <f t="shared" si="500"/>
        <v>203932</v>
      </c>
      <c r="OZ36" s="382">
        <f t="shared" si="501"/>
        <v>4697</v>
      </c>
      <c r="PA36" s="382">
        <f t="shared" si="502"/>
        <v>47640</v>
      </c>
      <c r="PB36" s="382">
        <f t="shared" si="503"/>
        <v>22977</v>
      </c>
      <c r="PC36" s="402">
        <f t="shared" si="504"/>
        <v>407775</v>
      </c>
      <c r="PD36" s="382">
        <f t="shared" si="505"/>
        <v>382015</v>
      </c>
      <c r="PE36" s="382">
        <f t="shared" si="506"/>
        <v>2157</v>
      </c>
      <c r="PF36" s="382">
        <f t="shared" si="507"/>
        <v>13152</v>
      </c>
      <c r="PG36" s="382">
        <f t="shared" si="508"/>
        <v>23603</v>
      </c>
      <c r="PH36" s="10">
        <v>541958</v>
      </c>
      <c r="PI36" s="3">
        <v>507273</v>
      </c>
      <c r="PJ36" s="3">
        <v>3893</v>
      </c>
      <c r="PK36" s="3">
        <v>23954</v>
      </c>
      <c r="PL36" s="3">
        <v>30792</v>
      </c>
      <c r="PM36" s="3">
        <v>541778</v>
      </c>
      <c r="PN36" s="3">
        <v>492831</v>
      </c>
      <c r="PO36" s="3">
        <v>3754</v>
      </c>
      <c r="PP36" s="3">
        <v>22395</v>
      </c>
      <c r="PQ36" s="3">
        <v>30548</v>
      </c>
      <c r="PR36" s="399"/>
      <c r="PS36" s="5"/>
      <c r="PT36" s="5"/>
      <c r="PU36" s="5"/>
      <c r="PV36" s="5"/>
      <c r="PW36" s="5">
        <v>634980</v>
      </c>
      <c r="PX36" s="5">
        <v>569624</v>
      </c>
      <c r="PY36" s="5">
        <v>4525</v>
      </c>
      <c r="PZ36" s="5">
        <v>30621</v>
      </c>
      <c r="QA36" s="408">
        <v>39893</v>
      </c>
      <c r="QB36" s="5">
        <v>661137</v>
      </c>
      <c r="QC36" s="5">
        <v>590026</v>
      </c>
      <c r="QD36" s="5">
        <v>4946</v>
      </c>
      <c r="QE36" s="5">
        <v>32799</v>
      </c>
      <c r="QF36" s="5">
        <v>44062</v>
      </c>
      <c r="QG36" s="5">
        <v>699013</v>
      </c>
      <c r="QH36" s="5">
        <v>623272</v>
      </c>
      <c r="QI36" s="5">
        <v>4968</v>
      </c>
      <c r="QJ36" s="5">
        <v>35097</v>
      </c>
      <c r="QK36" s="5">
        <v>46011</v>
      </c>
      <c r="QL36" s="399">
        <v>714321</v>
      </c>
      <c r="QM36" s="5">
        <v>633462</v>
      </c>
      <c r="QN36" s="5">
        <v>6089</v>
      </c>
      <c r="QO36" s="5">
        <v>33776</v>
      </c>
      <c r="QP36" s="5">
        <v>51055</v>
      </c>
      <c r="QQ36" s="399">
        <v>759128</v>
      </c>
      <c r="QR36" s="5">
        <v>671093</v>
      </c>
      <c r="QS36" s="5">
        <v>5548</v>
      </c>
      <c r="QT36" s="5">
        <v>41803</v>
      </c>
      <c r="QU36" s="5">
        <v>57086</v>
      </c>
      <c r="QV36" s="399">
        <v>805441</v>
      </c>
      <c r="QW36" s="5">
        <v>705361</v>
      </c>
      <c r="QX36" s="5">
        <v>8238</v>
      </c>
      <c r="QY36" s="5">
        <v>44462</v>
      </c>
      <c r="QZ36" s="5">
        <v>62758</v>
      </c>
      <c r="RA36" s="399">
        <v>844253</v>
      </c>
      <c r="RB36" s="5"/>
      <c r="RC36" s="5"/>
      <c r="RD36" s="5"/>
      <c r="RE36" s="5"/>
      <c r="RF36" s="5">
        <v>849438</v>
      </c>
      <c r="RG36" s="5">
        <v>734180</v>
      </c>
      <c r="RH36" s="5">
        <v>6386</v>
      </c>
      <c r="RI36" s="5">
        <v>54519</v>
      </c>
      <c r="RJ36" s="5">
        <v>69283</v>
      </c>
      <c r="RK36" s="5">
        <v>931293</v>
      </c>
      <c r="RL36" s="5">
        <v>788885</v>
      </c>
      <c r="RM36" s="5">
        <v>7671</v>
      </c>
      <c r="RN36" s="5">
        <v>67021</v>
      </c>
      <c r="RO36" s="5">
        <v>118017</v>
      </c>
      <c r="RP36" s="1">
        <v>29554</v>
      </c>
      <c r="RQ36" s="1">
        <v>5324</v>
      </c>
      <c r="RR36" s="1">
        <v>5549</v>
      </c>
      <c r="RS36" s="1">
        <v>54437</v>
      </c>
      <c r="RT36" s="1">
        <v>23153</v>
      </c>
      <c r="RU36" s="10">
        <v>138534</v>
      </c>
      <c r="RV36" s="3">
        <v>133665</v>
      </c>
      <c r="RW36" s="3">
        <v>585</v>
      </c>
      <c r="RX36" s="3">
        <v>2361</v>
      </c>
      <c r="RY36" s="3">
        <v>4284</v>
      </c>
      <c r="RZ36" s="10">
        <v>213959</v>
      </c>
      <c r="SA36" s="3">
        <v>201514</v>
      </c>
      <c r="SB36" s="3">
        <v>1194</v>
      </c>
      <c r="SC36" s="3">
        <v>6107</v>
      </c>
      <c r="SD36" s="3">
        <v>11251</v>
      </c>
      <c r="SE36" s="10">
        <v>278034</v>
      </c>
      <c r="SF36" s="3">
        <v>254555</v>
      </c>
      <c r="SG36" s="3">
        <v>1497</v>
      </c>
      <c r="SH36" s="3">
        <v>11494</v>
      </c>
      <c r="SI36" s="3">
        <v>14469</v>
      </c>
      <c r="SJ36" s="10">
        <v>306538</v>
      </c>
      <c r="SK36" s="3">
        <v>286965</v>
      </c>
      <c r="SL36" s="3">
        <v>2187</v>
      </c>
      <c r="SM36" s="3">
        <v>13166</v>
      </c>
      <c r="SN36" s="3">
        <v>17386</v>
      </c>
      <c r="SO36" s="10">
        <v>314286.07299999997</v>
      </c>
      <c r="SP36" s="3">
        <v>293121.09499999997</v>
      </c>
      <c r="SQ36" s="3">
        <v>2018.8879999999999</v>
      </c>
      <c r="SR36" s="3">
        <v>14657.409999999998</v>
      </c>
      <c r="SS36" s="3">
        <v>19146.090000000004</v>
      </c>
      <c r="ST36" s="10">
        <v>325184</v>
      </c>
      <c r="SU36" s="3">
        <v>291732</v>
      </c>
      <c r="SV36" s="3">
        <v>2383</v>
      </c>
      <c r="SW36" s="3">
        <v>16243</v>
      </c>
      <c r="SX36" s="3">
        <v>19881</v>
      </c>
      <c r="SY36" s="3">
        <v>336832</v>
      </c>
      <c r="SZ36" s="3">
        <v>301311</v>
      </c>
      <c r="TA36" s="3">
        <v>2521</v>
      </c>
      <c r="TB36" s="3">
        <v>16997</v>
      </c>
      <c r="TC36" s="3">
        <v>21487</v>
      </c>
      <c r="TD36" s="3">
        <v>353832</v>
      </c>
      <c r="TE36" s="3">
        <v>315162</v>
      </c>
      <c r="TF36" s="3">
        <v>2453</v>
      </c>
      <c r="TG36" s="3">
        <v>18020</v>
      </c>
      <c r="TH36" s="3">
        <v>23864</v>
      </c>
      <c r="TI36" s="3">
        <v>368302</v>
      </c>
      <c r="TJ36" s="3">
        <v>327937</v>
      </c>
      <c r="TK36" s="3">
        <v>2978</v>
      </c>
      <c r="TL36" s="3">
        <v>17018</v>
      </c>
      <c r="TM36" s="3">
        <v>25280</v>
      </c>
      <c r="TN36" s="3">
        <v>381130</v>
      </c>
      <c r="TO36" s="3">
        <v>338632</v>
      </c>
      <c r="TP36" s="3">
        <v>2232</v>
      </c>
      <c r="TQ36" s="3">
        <v>19731</v>
      </c>
      <c r="TR36" s="3">
        <v>27683</v>
      </c>
      <c r="TS36" s="10">
        <v>416804</v>
      </c>
      <c r="TT36" s="3">
        <v>364364</v>
      </c>
      <c r="TU36" s="3">
        <v>4598</v>
      </c>
      <c r="TV36" s="3">
        <v>22648</v>
      </c>
      <c r="TW36" s="3">
        <v>32804</v>
      </c>
      <c r="TX36" s="10">
        <v>427561</v>
      </c>
      <c r="TY36" s="3"/>
      <c r="TZ36" s="3"/>
      <c r="UA36" s="3"/>
      <c r="UB36" s="3"/>
      <c r="UC36" s="10">
        <v>448109</v>
      </c>
      <c r="UD36" s="3">
        <v>390103</v>
      </c>
      <c r="UE36" s="3">
        <v>2253</v>
      </c>
      <c r="UF36" s="3">
        <v>26416</v>
      </c>
      <c r="UG36" s="3">
        <v>37421</v>
      </c>
      <c r="UH36" s="10">
        <v>484882</v>
      </c>
      <c r="UI36" s="3">
        <v>410373</v>
      </c>
      <c r="UJ36" s="3">
        <v>3819</v>
      </c>
      <c r="UK36" s="3">
        <v>36325</v>
      </c>
      <c r="UL36" s="3">
        <v>61854</v>
      </c>
      <c r="UM36" s="1">
        <v>14484</v>
      </c>
      <c r="UN36" s="1">
        <v>2633</v>
      </c>
      <c r="UO36" s="1">
        <v>2725</v>
      </c>
      <c r="UP36" s="1">
        <v>29405</v>
      </c>
      <c r="UQ36" s="1">
        <v>16098</v>
      </c>
      <c r="UR36" s="588">
        <f t="shared" si="509"/>
        <v>42202</v>
      </c>
      <c r="US36" s="40">
        <v>27469</v>
      </c>
      <c r="UT36" s="40">
        <v>14733</v>
      </c>
      <c r="UU36" s="588">
        <f t="shared" si="510"/>
        <v>536</v>
      </c>
      <c r="UV36" s="40">
        <v>347</v>
      </c>
      <c r="UW36" s="40">
        <v>189</v>
      </c>
      <c r="UX36" s="42">
        <v>68836</v>
      </c>
      <c r="UY36" s="588">
        <f t="shared" si="511"/>
        <v>44498</v>
      </c>
      <c r="UZ36" s="588">
        <f t="shared" si="512"/>
        <v>24338</v>
      </c>
      <c r="VA36" s="588">
        <f t="shared" si="513"/>
        <v>67723</v>
      </c>
      <c r="VB36" s="40">
        <v>43769</v>
      </c>
      <c r="VC36" s="40">
        <v>23954</v>
      </c>
      <c r="VD36" s="588">
        <f t="shared" si="514"/>
        <v>196</v>
      </c>
      <c r="VE36" s="40">
        <v>110</v>
      </c>
      <c r="VF36" s="40">
        <v>86</v>
      </c>
      <c r="VG36" s="588">
        <f t="shared" si="515"/>
        <v>917</v>
      </c>
      <c r="VH36" s="40">
        <v>619</v>
      </c>
      <c r="VI36" s="40">
        <v>298</v>
      </c>
      <c r="VJ36" s="42">
        <v>140102</v>
      </c>
      <c r="VK36" s="588">
        <f t="shared" si="516"/>
        <v>87735</v>
      </c>
      <c r="VL36" s="588">
        <f t="shared" si="517"/>
        <v>52367</v>
      </c>
      <c r="VM36" s="240">
        <f t="shared" si="518"/>
        <v>134664</v>
      </c>
      <c r="VN36" s="40">
        <v>84312</v>
      </c>
      <c r="VO36" s="40">
        <v>50352</v>
      </c>
      <c r="VP36" s="40">
        <v>3423</v>
      </c>
      <c r="VQ36" s="40">
        <v>2015</v>
      </c>
      <c r="VR36" s="240">
        <f t="shared" si="519"/>
        <v>567</v>
      </c>
      <c r="VS36" s="40">
        <v>363</v>
      </c>
      <c r="VT36" s="40">
        <v>204</v>
      </c>
      <c r="VU36" s="240">
        <f t="shared" si="520"/>
        <v>1855</v>
      </c>
      <c r="VV36" s="40">
        <v>1192</v>
      </c>
      <c r="VW36" s="40">
        <v>663</v>
      </c>
      <c r="VX36" s="233">
        <f t="shared" si="521"/>
        <v>3016</v>
      </c>
      <c r="VY36" s="233">
        <f t="shared" si="522"/>
        <v>1868</v>
      </c>
      <c r="VZ36" s="233">
        <f t="shared" si="523"/>
        <v>1148</v>
      </c>
      <c r="WA36" s="234">
        <f t="shared" si="524"/>
        <v>70</v>
      </c>
      <c r="WB36" s="234">
        <f t="shared" si="525"/>
        <v>44</v>
      </c>
      <c r="WC36" s="234">
        <f t="shared" si="526"/>
        <v>26</v>
      </c>
      <c r="WD36" s="40">
        <v>2946</v>
      </c>
      <c r="WE36" s="40">
        <v>1824</v>
      </c>
      <c r="WF36" s="40">
        <v>1122</v>
      </c>
      <c r="WG36" s="12">
        <f t="shared" si="527"/>
        <v>164423</v>
      </c>
      <c r="WH36" s="588">
        <f t="shared" si="528"/>
        <v>119563</v>
      </c>
      <c r="WI36" s="588">
        <f t="shared" si="529"/>
        <v>80190</v>
      </c>
      <c r="WJ36" s="11">
        <f t="shared" si="530"/>
        <v>137277</v>
      </c>
      <c r="WK36" s="90">
        <f t="shared" si="531"/>
        <v>189898</v>
      </c>
      <c r="WL36" s="40">
        <v>113836</v>
      </c>
      <c r="WM36" s="40">
        <v>76062</v>
      </c>
      <c r="WN36" s="40">
        <v>5727</v>
      </c>
      <c r="WO36" s="40">
        <v>4128</v>
      </c>
      <c r="WP36" s="11">
        <f t="shared" si="532"/>
        <v>4232</v>
      </c>
      <c r="WQ36" s="90">
        <f t="shared" si="533"/>
        <v>840</v>
      </c>
      <c r="WR36" s="40">
        <v>546</v>
      </c>
      <c r="WS36" s="40">
        <v>294</v>
      </c>
      <c r="WT36" s="11">
        <f t="shared" si="534"/>
        <v>3382</v>
      </c>
      <c r="WU36" s="40">
        <v>2061</v>
      </c>
      <c r="WV36" s="40">
        <v>1321</v>
      </c>
      <c r="WW36" s="9">
        <f t="shared" si="535"/>
        <v>20382</v>
      </c>
      <c r="WX36" s="235">
        <f t="shared" si="536"/>
        <v>3120</v>
      </c>
      <c r="WY36" s="235">
        <f t="shared" si="537"/>
        <v>2513</v>
      </c>
      <c r="WZ36" s="236">
        <f t="shared" si="538"/>
        <v>38</v>
      </c>
      <c r="XA36" s="236">
        <f t="shared" si="539"/>
        <v>25</v>
      </c>
      <c r="XB36" s="236">
        <f t="shared" si="540"/>
        <v>13</v>
      </c>
      <c r="XC36" s="589">
        <f t="shared" si="541"/>
        <v>5595</v>
      </c>
      <c r="XD36" s="589">
        <f t="shared" si="542"/>
        <v>3095</v>
      </c>
      <c r="XE36" s="589">
        <f t="shared" si="543"/>
        <v>2500</v>
      </c>
      <c r="XF36" s="40">
        <v>314</v>
      </c>
      <c r="XG36" s="40">
        <v>316</v>
      </c>
      <c r="XH36" s="40">
        <v>2781</v>
      </c>
      <c r="XI36" s="40">
        <v>2184</v>
      </c>
      <c r="XJ36" s="590">
        <v>312963</v>
      </c>
      <c r="XK36" s="40">
        <v>177724</v>
      </c>
      <c r="XL36" s="40">
        <v>135239</v>
      </c>
      <c r="XM36" s="5">
        <f t="shared" si="544"/>
        <v>294129</v>
      </c>
      <c r="XN36" s="5">
        <v>167616</v>
      </c>
      <c r="XO36" s="5">
        <v>126513</v>
      </c>
      <c r="XP36" s="84">
        <f t="shared" si="545"/>
        <v>289266</v>
      </c>
      <c r="XQ36" s="40">
        <v>165109</v>
      </c>
      <c r="XR36" s="40">
        <v>124157</v>
      </c>
      <c r="XS36" s="5">
        <f t="shared" si="546"/>
        <v>1581</v>
      </c>
      <c r="XT36" s="40">
        <v>965</v>
      </c>
      <c r="XU36" s="40">
        <v>616</v>
      </c>
      <c r="XV36" s="5">
        <f t="shared" si="547"/>
        <v>8946</v>
      </c>
      <c r="XW36" s="40">
        <v>4706</v>
      </c>
      <c r="XX36" s="40">
        <v>4240</v>
      </c>
      <c r="XY36" s="84">
        <f t="shared" si="548"/>
        <v>17253</v>
      </c>
      <c r="XZ36" s="84">
        <f t="shared" si="549"/>
        <v>9143</v>
      </c>
      <c r="YA36" s="84">
        <f t="shared" si="550"/>
        <v>8110</v>
      </c>
      <c r="YB36" s="587">
        <v>409232</v>
      </c>
      <c r="YC36" s="40">
        <v>373884</v>
      </c>
      <c r="YD36" s="40">
        <v>2359</v>
      </c>
      <c r="YE36" s="40">
        <v>15425</v>
      </c>
      <c r="YF36" s="5">
        <v>22731</v>
      </c>
      <c r="YG36" s="10">
        <v>434984</v>
      </c>
      <c r="YH36" s="3">
        <v>406961</v>
      </c>
      <c r="YI36" s="3">
        <v>2949</v>
      </c>
      <c r="YJ36" s="3">
        <v>25074</v>
      </c>
      <c r="YK36" s="3">
        <v>16745</v>
      </c>
      <c r="YL36" s="10">
        <v>442561</v>
      </c>
      <c r="YM36" s="3">
        <v>414750</v>
      </c>
      <c r="YN36" s="3">
        <v>3062</v>
      </c>
      <c r="YO36" s="3">
        <v>24749</v>
      </c>
      <c r="YP36" s="3">
        <v>16912</v>
      </c>
      <c r="YQ36" s="10">
        <v>452016</v>
      </c>
      <c r="YR36" s="3">
        <v>421825</v>
      </c>
      <c r="YS36" s="3">
        <v>3214</v>
      </c>
      <c r="YT36" s="3">
        <v>26977</v>
      </c>
      <c r="YU36" s="3">
        <v>18113</v>
      </c>
      <c r="YV36" s="10">
        <v>464322.13799999998</v>
      </c>
      <c r="YW36" s="3">
        <v>433247.277</v>
      </c>
      <c r="YX36" s="3">
        <v>2613.4919999999997</v>
      </c>
      <c r="YY36" s="3">
        <v>19600.024999999998</v>
      </c>
      <c r="YZ36" s="3">
        <v>28461.368999999977</v>
      </c>
      <c r="ZA36" s="3">
        <v>484761</v>
      </c>
      <c r="ZB36" s="3">
        <v>435352</v>
      </c>
      <c r="ZC36" s="3">
        <v>3291</v>
      </c>
      <c r="ZD36" s="3">
        <v>21835</v>
      </c>
      <c r="ZE36" s="1">
        <v>30793</v>
      </c>
      <c r="ZF36" s="1">
        <v>504859</v>
      </c>
      <c r="ZG36" s="1">
        <v>451233</v>
      </c>
      <c r="ZH36" s="1">
        <v>3505</v>
      </c>
      <c r="ZI36" s="1">
        <v>23043</v>
      </c>
      <c r="ZJ36" s="1">
        <v>34092</v>
      </c>
      <c r="ZK36" s="1">
        <v>530203</v>
      </c>
      <c r="ZL36" s="1">
        <v>474218</v>
      </c>
      <c r="ZM36" s="1">
        <v>3955</v>
      </c>
      <c r="ZN36" s="1">
        <v>23591</v>
      </c>
      <c r="ZO36" s="1">
        <v>35177</v>
      </c>
      <c r="ZP36" s="1">
        <v>554712</v>
      </c>
      <c r="ZQ36" s="1">
        <v>493703</v>
      </c>
      <c r="ZR36" s="1">
        <v>4438</v>
      </c>
      <c r="ZS36" s="1">
        <v>23080</v>
      </c>
      <c r="ZT36" s="1">
        <v>39900</v>
      </c>
      <c r="ZU36" s="1">
        <v>580935</v>
      </c>
      <c r="ZV36" s="1">
        <v>516086</v>
      </c>
      <c r="ZW36" s="1">
        <v>3872</v>
      </c>
      <c r="ZX36" s="1">
        <v>27068</v>
      </c>
      <c r="ZY36" s="1">
        <v>44495</v>
      </c>
      <c r="ZZ36" s="394">
        <v>21875</v>
      </c>
      <c r="AAA36" s="1">
        <v>1103</v>
      </c>
      <c r="AAB36" s="1">
        <v>1887</v>
      </c>
      <c r="AAC36" s="1">
        <v>10226</v>
      </c>
      <c r="AAD36" s="1">
        <v>8724</v>
      </c>
      <c r="AAE36" s="50">
        <v>632442</v>
      </c>
      <c r="AAF36" s="1">
        <v>554733</v>
      </c>
      <c r="AAG36" s="1">
        <v>6086</v>
      </c>
      <c r="AAH36" s="1">
        <v>30966</v>
      </c>
      <c r="AAI36" s="1">
        <v>50063</v>
      </c>
      <c r="AAJ36" s="50">
        <v>652445</v>
      </c>
      <c r="AAK36" s="1"/>
      <c r="AAL36" s="1"/>
      <c r="AAM36" s="1"/>
      <c r="AAN36" s="1"/>
      <c r="AAO36" s="68">
        <v>664661</v>
      </c>
      <c r="AAP36" s="37">
        <v>579792</v>
      </c>
      <c r="AAQ36" s="37">
        <v>3477</v>
      </c>
      <c r="AAR36" s="37">
        <v>36557</v>
      </c>
      <c r="AAS36" s="37">
        <v>55251</v>
      </c>
      <c r="AAT36" s="68">
        <v>740097</v>
      </c>
      <c r="AAU36" s="37">
        <v>629472</v>
      </c>
      <c r="AAV36" s="37">
        <v>5653</v>
      </c>
      <c r="AAW36" s="37">
        <v>49557</v>
      </c>
      <c r="AAX36" s="37">
        <v>92353</v>
      </c>
      <c r="AAY36" s="1">
        <v>25889</v>
      </c>
      <c r="AAZ36" s="1">
        <v>3612</v>
      </c>
      <c r="ABA36" s="1">
        <v>3647</v>
      </c>
      <c r="ABB36" s="1">
        <v>43107</v>
      </c>
      <c r="ABC36" s="1">
        <v>16098</v>
      </c>
      <c r="ABD36" s="10">
        <v>99004</v>
      </c>
      <c r="ABE36" s="3">
        <v>92615</v>
      </c>
      <c r="ABF36" s="3">
        <v>387</v>
      </c>
      <c r="ABG36" s="3">
        <v>2839</v>
      </c>
      <c r="ABH36" s="3">
        <v>6002</v>
      </c>
      <c r="ABI36" s="10">
        <v>131198</v>
      </c>
      <c r="ABJ36" s="3">
        <v>119329</v>
      </c>
      <c r="ABK36" s="3">
        <v>862</v>
      </c>
      <c r="ABL36" s="3">
        <v>3931</v>
      </c>
      <c r="ABM36" s="3">
        <v>8262</v>
      </c>
      <c r="ABN36" s="10">
        <v>145478</v>
      </c>
      <c r="ABO36" s="3">
        <v>134860</v>
      </c>
      <c r="ABP36" s="3">
        <v>1027</v>
      </c>
      <c r="ABQ36" s="3">
        <v>4947</v>
      </c>
      <c r="ABR36" s="3">
        <v>9591</v>
      </c>
      <c r="ABS36" s="10">
        <v>150036.065</v>
      </c>
      <c r="ABT36" s="3">
        <v>140126.182</v>
      </c>
      <c r="ABU36" s="3">
        <v>594.60399999999993</v>
      </c>
      <c r="ABV36" s="3">
        <v>4942.6149999999998</v>
      </c>
      <c r="ABW36" s="8">
        <v>9315.2790000000023</v>
      </c>
      <c r="ABX36" s="1">
        <v>159577</v>
      </c>
      <c r="ABY36" s="1">
        <v>143620</v>
      </c>
      <c r="ABZ36" s="1">
        <v>908</v>
      </c>
      <c r="ACA36" s="1">
        <v>5592</v>
      </c>
      <c r="ACB36" s="49">
        <v>10912</v>
      </c>
      <c r="ACC36" s="1">
        <v>168027</v>
      </c>
      <c r="ACD36" s="1">
        <v>149922</v>
      </c>
      <c r="ACE36" s="1">
        <v>984</v>
      </c>
      <c r="ACF36" s="1">
        <v>6046</v>
      </c>
      <c r="ACG36" s="1">
        <v>12605</v>
      </c>
      <c r="ACH36" s="1">
        <v>176371</v>
      </c>
      <c r="ACI36" s="1">
        <v>159056</v>
      </c>
      <c r="ACJ36" s="1">
        <v>1502</v>
      </c>
      <c r="ACK36" s="1">
        <v>5571</v>
      </c>
      <c r="ACL36" s="1">
        <v>11313</v>
      </c>
      <c r="ACM36" s="1">
        <v>186410</v>
      </c>
      <c r="ACN36" s="1">
        <v>165766</v>
      </c>
      <c r="ACO36" s="1">
        <v>1460</v>
      </c>
      <c r="ACP36" s="1">
        <v>6062</v>
      </c>
      <c r="ACQ36" s="1">
        <v>14620</v>
      </c>
      <c r="ACR36" s="1">
        <v>199805</v>
      </c>
      <c r="ACS36" s="1">
        <v>177454</v>
      </c>
      <c r="ACT36" s="1">
        <v>1640</v>
      </c>
      <c r="ACU36" s="1">
        <v>7337</v>
      </c>
      <c r="ACV36" s="1">
        <v>16812</v>
      </c>
      <c r="ADB36" s="50">
        <v>215638</v>
      </c>
      <c r="ADC36" s="1">
        <v>190369</v>
      </c>
      <c r="ADD36" s="1">
        <v>1488</v>
      </c>
      <c r="ADE36" s="1">
        <v>8318</v>
      </c>
      <c r="ADF36" s="1">
        <v>17259</v>
      </c>
      <c r="ADG36" s="50">
        <v>224884</v>
      </c>
      <c r="ADL36" s="50">
        <v>216552</v>
      </c>
      <c r="ADM36" s="1">
        <v>189689</v>
      </c>
      <c r="ADN36" s="1">
        <v>1224</v>
      </c>
      <c r="ADO36" s="1">
        <v>10141</v>
      </c>
      <c r="ADP36" s="1">
        <v>17830</v>
      </c>
      <c r="ADQ36" s="50">
        <v>255215</v>
      </c>
      <c r="ADR36" s="1">
        <v>219099</v>
      </c>
      <c r="ADS36" s="1">
        <v>1834</v>
      </c>
      <c r="ADT36" s="1">
        <v>13232</v>
      </c>
      <c r="ADU36" s="1">
        <v>30499</v>
      </c>
      <c r="ADV36" s="1">
        <v>11405</v>
      </c>
      <c r="ADW36" s="1">
        <v>979</v>
      </c>
      <c r="ADX36" s="1">
        <v>922</v>
      </c>
      <c r="ADY36" s="1">
        <v>13702</v>
      </c>
      <c r="ADZ36" s="1">
        <v>3491</v>
      </c>
    </row>
    <row r="37" spans="1:806" ht="14.1">
      <c r="A37" s="138" t="s">
        <v>36</v>
      </c>
      <c r="B37" s="174" t="s">
        <v>221</v>
      </c>
      <c r="C37" s="175" t="s">
        <v>221</v>
      </c>
      <c r="D37" s="175" t="s">
        <v>221</v>
      </c>
      <c r="E37" s="175" t="s">
        <v>221</v>
      </c>
      <c r="F37" s="176" t="s">
        <v>221</v>
      </c>
      <c r="G37" s="3">
        <v>171311</v>
      </c>
      <c r="H37" s="3">
        <v>127886</v>
      </c>
      <c r="I37" s="3">
        <v>4446</v>
      </c>
      <c r="J37" s="3">
        <v>27002</v>
      </c>
      <c r="K37" s="8">
        <v>38979</v>
      </c>
      <c r="L37" s="3">
        <v>165205</v>
      </c>
      <c r="M37" s="3">
        <v>89311</v>
      </c>
      <c r="N37" s="3">
        <v>4559</v>
      </c>
      <c r="O37" s="3">
        <v>60802</v>
      </c>
      <c r="P37" s="8">
        <v>71335</v>
      </c>
      <c r="Q37" s="3">
        <v>171153</v>
      </c>
      <c r="R37" s="3">
        <v>56985</v>
      </c>
      <c r="S37" s="3">
        <v>5376</v>
      </c>
      <c r="T37" s="3">
        <v>79477</v>
      </c>
      <c r="U37" s="8">
        <v>73042</v>
      </c>
      <c r="V37" s="5">
        <v>181423</v>
      </c>
      <c r="W37" s="5">
        <v>97548</v>
      </c>
      <c r="X37" s="5">
        <v>6255</v>
      </c>
      <c r="Y37" s="5">
        <v>91762</v>
      </c>
      <c r="Z37" s="408">
        <v>77620</v>
      </c>
      <c r="AA37" s="5">
        <v>189474</v>
      </c>
      <c r="AB37" s="5">
        <v>51407</v>
      </c>
      <c r="AC37" s="5">
        <v>7059</v>
      </c>
      <c r="AD37" s="5">
        <v>96543</v>
      </c>
      <c r="AE37" s="5">
        <v>82760</v>
      </c>
      <c r="AF37" s="399">
        <v>188876</v>
      </c>
      <c r="AG37" s="5">
        <v>50390</v>
      </c>
      <c r="AH37" s="5">
        <v>6842</v>
      </c>
      <c r="AI37" s="5">
        <v>96188</v>
      </c>
      <c r="AJ37" s="490">
        <v>80774</v>
      </c>
      <c r="AK37" s="490">
        <v>193566</v>
      </c>
      <c r="AL37" s="490">
        <v>50475</v>
      </c>
      <c r="AM37" s="685">
        <v>7440</v>
      </c>
      <c r="AN37" s="685">
        <v>99955</v>
      </c>
      <c r="AO37" s="490">
        <v>77310</v>
      </c>
      <c r="AP37" s="394">
        <v>191853</v>
      </c>
      <c r="AQ37" s="394">
        <v>47981</v>
      </c>
      <c r="AR37" s="394">
        <v>6080</v>
      </c>
      <c r="AS37" s="394">
        <v>101287</v>
      </c>
      <c r="AT37" s="394">
        <v>80420</v>
      </c>
      <c r="AU37" s="393">
        <v>192181</v>
      </c>
      <c r="AV37" s="394">
        <v>43703</v>
      </c>
      <c r="AW37" s="394">
        <v>12070</v>
      </c>
      <c r="AX37" s="394">
        <v>99189</v>
      </c>
      <c r="AY37" s="394">
        <v>95860</v>
      </c>
      <c r="AZ37" s="1">
        <v>31328</v>
      </c>
      <c r="BA37" s="1">
        <v>1528</v>
      </c>
      <c r="BB37" s="1">
        <v>2906</v>
      </c>
      <c r="BC37" s="1">
        <v>4933</v>
      </c>
      <c r="BD37" s="1">
        <v>55165</v>
      </c>
      <c r="BE37" s="393">
        <v>189334</v>
      </c>
      <c r="BF37" s="394">
        <v>43803</v>
      </c>
      <c r="BG37" s="394">
        <v>6402</v>
      </c>
      <c r="BH37" s="394">
        <v>103484</v>
      </c>
      <c r="BI37" s="394">
        <v>96447</v>
      </c>
      <c r="BJ37" s="393">
        <v>179951</v>
      </c>
      <c r="BK37" s="394"/>
      <c r="BL37" s="394"/>
      <c r="BM37" s="394"/>
      <c r="BN37" s="394"/>
      <c r="BO37" s="393">
        <v>187558</v>
      </c>
      <c r="BP37" s="394">
        <v>41839</v>
      </c>
      <c r="BQ37" s="394">
        <v>9464</v>
      </c>
      <c r="BR37" s="394">
        <v>95956</v>
      </c>
      <c r="BS37" s="394">
        <v>91213</v>
      </c>
      <c r="BT37" s="393">
        <v>194034</v>
      </c>
      <c r="BU37" s="394">
        <v>43467</v>
      </c>
      <c r="BV37" s="394">
        <v>7307</v>
      </c>
      <c r="BW37" s="394">
        <v>102618</v>
      </c>
      <c r="BX37" s="394">
        <v>34104</v>
      </c>
      <c r="BY37" s="1">
        <v>1505</v>
      </c>
      <c r="BZ37" s="1">
        <v>4625</v>
      </c>
      <c r="CA37" s="1">
        <v>39424</v>
      </c>
      <c r="CB37" s="1">
        <v>58546</v>
      </c>
      <c r="CC37" s="10">
        <v>334472</v>
      </c>
      <c r="CD37" s="3">
        <v>296444</v>
      </c>
      <c r="CE37" s="3">
        <v>10317</v>
      </c>
      <c r="CF37" s="3">
        <v>102618</v>
      </c>
      <c r="CG37" s="8">
        <v>27711</v>
      </c>
      <c r="CH37" s="3">
        <v>329131</v>
      </c>
      <c r="CI37" s="3">
        <v>259623</v>
      </c>
      <c r="CJ37" s="3">
        <v>12711</v>
      </c>
      <c r="CK37" s="3">
        <v>33501</v>
      </c>
      <c r="CL37" s="8">
        <v>56797</v>
      </c>
      <c r="CM37" s="1">
        <v>299461</v>
      </c>
      <c r="CN37" s="3">
        <v>208401</v>
      </c>
      <c r="CO37" s="3">
        <v>12872</v>
      </c>
      <c r="CP37" s="3">
        <v>42828</v>
      </c>
      <c r="CQ37" s="8">
        <v>58843</v>
      </c>
      <c r="CR37" s="3">
        <v>275615</v>
      </c>
      <c r="CS37" s="3">
        <v>205176</v>
      </c>
      <c r="CT37" s="3">
        <v>11090</v>
      </c>
      <c r="CU37" s="3">
        <v>51181</v>
      </c>
      <c r="CV37" s="8">
        <v>59349</v>
      </c>
      <c r="CW37" s="3">
        <v>264907</v>
      </c>
      <c r="CX37" s="3">
        <v>167127</v>
      </c>
      <c r="CY37" s="3">
        <v>10679</v>
      </c>
      <c r="CZ37" s="3">
        <v>51432</v>
      </c>
      <c r="DA37" s="3">
        <v>59646</v>
      </c>
      <c r="DB37" s="3">
        <v>264465</v>
      </c>
      <c r="DC37" s="3">
        <v>164455</v>
      </c>
      <c r="DD37" s="3">
        <v>12368</v>
      </c>
      <c r="DE37" s="3">
        <v>52714</v>
      </c>
      <c r="DF37" s="39">
        <v>59873</v>
      </c>
      <c r="DG37" s="39">
        <v>264995</v>
      </c>
      <c r="DH37" s="39">
        <v>161699</v>
      </c>
      <c r="DI37" s="39">
        <v>12532</v>
      </c>
      <c r="DJ37" s="39">
        <v>53896</v>
      </c>
      <c r="DK37" s="39">
        <v>58139</v>
      </c>
      <c r="DL37" s="39">
        <v>256378</v>
      </c>
      <c r="DM37" s="39">
        <v>157771</v>
      </c>
      <c r="DN37" s="39">
        <v>9719</v>
      </c>
      <c r="DO37" s="39">
        <v>54291</v>
      </c>
      <c r="DP37" s="39">
        <v>59675</v>
      </c>
      <c r="DQ37" s="39">
        <v>266656</v>
      </c>
      <c r="DR37" s="39">
        <v>153509</v>
      </c>
      <c r="DS37" s="39">
        <v>11884</v>
      </c>
      <c r="DT37" s="39">
        <v>59691</v>
      </c>
      <c r="DU37" s="39">
        <v>72198</v>
      </c>
      <c r="DV37" s="118">
        <v>254629</v>
      </c>
      <c r="DW37" s="39">
        <v>146378</v>
      </c>
      <c r="DX37" s="39">
        <v>10438</v>
      </c>
      <c r="DY37" s="39">
        <v>58727</v>
      </c>
      <c r="DZ37" s="39">
        <v>67372</v>
      </c>
      <c r="EA37" s="118">
        <v>257533</v>
      </c>
      <c r="EB37" s="39"/>
      <c r="EC37" s="39"/>
      <c r="ED37" s="39"/>
      <c r="EE37" s="39"/>
      <c r="EF37" s="118">
        <v>252516</v>
      </c>
      <c r="EG37" s="39">
        <v>142115</v>
      </c>
      <c r="EH37" s="39">
        <v>9025</v>
      </c>
      <c r="EI37" s="39">
        <v>60604</v>
      </c>
      <c r="EJ37" s="39">
        <v>74497</v>
      </c>
      <c r="EK37" s="118">
        <v>252516</v>
      </c>
      <c r="EL37" s="39">
        <v>142115</v>
      </c>
      <c r="EM37" s="39">
        <v>9025</v>
      </c>
      <c r="EN37" s="39">
        <v>60604</v>
      </c>
      <c r="EO37" s="39">
        <v>74497</v>
      </c>
      <c r="EP37" s="118">
        <v>219271</v>
      </c>
      <c r="EQ37" s="39">
        <v>123407</v>
      </c>
      <c r="ER37" s="39">
        <v>8217</v>
      </c>
      <c r="ES37" s="39">
        <v>50957</v>
      </c>
      <c r="ET37" s="1">
        <v>20966</v>
      </c>
      <c r="EU37" s="1">
        <v>2310</v>
      </c>
      <c r="EV37" s="1">
        <v>5825</v>
      </c>
      <c r="EW37" s="1">
        <v>27802</v>
      </c>
      <c r="EX37" s="1">
        <v>25902</v>
      </c>
      <c r="EY37" s="10">
        <v>460215</v>
      </c>
      <c r="EZ37" s="3">
        <v>299863</v>
      </c>
      <c r="FA37" s="3">
        <v>18142</v>
      </c>
      <c r="FB37" s="3">
        <v>148865</v>
      </c>
      <c r="FC37" s="201">
        <f t="shared" si="497"/>
        <v>142210</v>
      </c>
      <c r="FD37" s="174" t="s">
        <v>221</v>
      </c>
      <c r="FE37" s="175" t="s">
        <v>221</v>
      </c>
      <c r="FF37" s="175" t="s">
        <v>221</v>
      </c>
      <c r="FG37" s="175" t="s">
        <v>221</v>
      </c>
      <c r="FH37" s="174" t="s">
        <v>221</v>
      </c>
      <c r="FI37" s="175" t="s">
        <v>221</v>
      </c>
      <c r="FJ37" s="175" t="s">
        <v>221</v>
      </c>
      <c r="FK37" s="175" t="s">
        <v>221</v>
      </c>
      <c r="FL37" s="176" t="s">
        <v>221</v>
      </c>
      <c r="FM37" s="3">
        <v>2620607</v>
      </c>
      <c r="FN37" s="3">
        <v>2409323</v>
      </c>
      <c r="FO37" s="3">
        <v>63835</v>
      </c>
      <c r="FP37" s="3">
        <v>52718</v>
      </c>
      <c r="FQ37" s="8">
        <v>147449</v>
      </c>
      <c r="FR37" s="3">
        <v>3333171</v>
      </c>
      <c r="FS37" s="3">
        <v>2899559</v>
      </c>
      <c r="FT37" s="3">
        <v>90342</v>
      </c>
      <c r="FU37" s="3">
        <v>106397</v>
      </c>
      <c r="FV37" s="3">
        <v>343270</v>
      </c>
      <c r="FW37" s="127">
        <v>3773176</v>
      </c>
      <c r="FX37" s="3">
        <v>3138598</v>
      </c>
      <c r="FY37" s="3">
        <v>116711</v>
      </c>
      <c r="FZ37" s="3">
        <v>207577</v>
      </c>
      <c r="GA37" s="3">
        <v>164749</v>
      </c>
      <c r="GB37" s="10">
        <v>3853679</v>
      </c>
      <c r="GC37" s="3">
        <v>3284547</v>
      </c>
      <c r="GD37" s="3">
        <v>112390</v>
      </c>
      <c r="GE37" s="3">
        <v>456742</v>
      </c>
      <c r="GF37" s="3">
        <v>173642</v>
      </c>
      <c r="GG37" s="42">
        <v>3916215</v>
      </c>
      <c r="GH37" s="40">
        <v>3328013</v>
      </c>
      <c r="GI37" s="40">
        <v>115812</v>
      </c>
      <c r="GJ37" s="40">
        <v>472390</v>
      </c>
      <c r="GK37" s="40">
        <v>180377</v>
      </c>
      <c r="GL37" s="10">
        <v>3979945</v>
      </c>
      <c r="GM37" s="3">
        <v>3350182</v>
      </c>
      <c r="GN37" s="3">
        <v>125182</v>
      </c>
      <c r="GO37" s="3">
        <v>203484</v>
      </c>
      <c r="GP37" s="3">
        <v>404324</v>
      </c>
      <c r="GQ37" s="10">
        <v>4051693.3840000001</v>
      </c>
      <c r="GR37" s="3">
        <v>3405846.44</v>
      </c>
      <c r="GS37" s="3">
        <v>128167.56</v>
      </c>
      <c r="GT37" s="3">
        <v>214583.23499999999</v>
      </c>
      <c r="GU37" s="373">
        <f t="shared" si="498"/>
        <v>517679.38400000014</v>
      </c>
      <c r="GV37" s="3">
        <v>4122790</v>
      </c>
      <c r="GW37" s="3">
        <v>3309277</v>
      </c>
      <c r="GX37" s="3">
        <v>132481</v>
      </c>
      <c r="GY37" s="3">
        <v>228122</v>
      </c>
      <c r="GZ37" s="3">
        <v>543984</v>
      </c>
      <c r="HA37" s="3">
        <v>4186862</v>
      </c>
      <c r="HB37" s="3">
        <v>3338713</v>
      </c>
      <c r="HC37" s="3">
        <v>136194</v>
      </c>
      <c r="HD37" s="3">
        <v>240501</v>
      </c>
      <c r="HE37" s="3">
        <v>563706</v>
      </c>
      <c r="HF37" s="3">
        <v>4325923</v>
      </c>
      <c r="HG37" s="3">
        <v>3398483</v>
      </c>
      <c r="HH37" s="3">
        <v>139815</v>
      </c>
      <c r="HI37" s="3">
        <v>265630</v>
      </c>
      <c r="HJ37" s="3">
        <v>622010</v>
      </c>
      <c r="HK37" s="3">
        <v>4441083</v>
      </c>
      <c r="HL37" s="3">
        <v>3455355</v>
      </c>
      <c r="HM37" s="3">
        <v>149061</v>
      </c>
      <c r="HN37" s="3">
        <v>281622</v>
      </c>
      <c r="HO37" s="3">
        <v>666614</v>
      </c>
      <c r="HP37" s="10">
        <v>4537718</v>
      </c>
      <c r="HQ37" s="3">
        <v>3523553</v>
      </c>
      <c r="HR37" s="3">
        <v>145542</v>
      </c>
      <c r="HS37" s="3">
        <v>291134</v>
      </c>
      <c r="HT37" s="3">
        <v>704903</v>
      </c>
      <c r="HU37" s="394">
        <v>372510</v>
      </c>
      <c r="HV37" s="1">
        <v>24898</v>
      </c>
      <c r="HW37" s="1">
        <v>47515</v>
      </c>
      <c r="HX37" s="1">
        <v>159671</v>
      </c>
      <c r="HY37" s="1">
        <v>100309</v>
      </c>
      <c r="HZ37" s="10">
        <v>4658005</v>
      </c>
      <c r="IA37" s="3">
        <v>3565388</v>
      </c>
      <c r="IB37" s="3">
        <v>160946</v>
      </c>
      <c r="IC37" s="3">
        <v>311860</v>
      </c>
      <c r="ID37" s="3">
        <v>748044</v>
      </c>
      <c r="IE37" s="399">
        <v>4777579</v>
      </c>
      <c r="IF37" s="5"/>
      <c r="IG37" s="5"/>
      <c r="IH37" s="5"/>
      <c r="II37" s="5"/>
      <c r="IJ37" s="399">
        <v>4850250</v>
      </c>
      <c r="IK37" s="5">
        <v>3637750</v>
      </c>
      <c r="IL37" s="5">
        <v>177317</v>
      </c>
      <c r="IM37" s="5">
        <v>353211</v>
      </c>
      <c r="IN37" s="5">
        <v>838155</v>
      </c>
      <c r="IO37" s="399">
        <v>4987844</v>
      </c>
      <c r="IP37" s="5">
        <v>3579372</v>
      </c>
      <c r="IQ37" s="5">
        <v>184118</v>
      </c>
      <c r="IR37" s="5">
        <v>396062</v>
      </c>
      <c r="IS37" s="5">
        <v>1152751</v>
      </c>
      <c r="IT37" s="1">
        <v>483634</v>
      </c>
      <c r="IU37" s="1">
        <v>29874</v>
      </c>
      <c r="IV37" s="1">
        <v>49813</v>
      </c>
      <c r="IW37" s="1">
        <v>425004</v>
      </c>
      <c r="IX37" s="1">
        <v>164426</v>
      </c>
      <c r="IY37" s="380" t="s">
        <v>221</v>
      </c>
      <c r="IZ37" s="188" t="s">
        <v>221</v>
      </c>
      <c r="JA37" s="188" t="s">
        <v>221</v>
      </c>
      <c r="JB37" s="188" t="s">
        <v>221</v>
      </c>
      <c r="JC37" s="635" t="s">
        <v>221</v>
      </c>
      <c r="JD37" s="5">
        <v>1030488</v>
      </c>
      <c r="JE37" s="5">
        <v>942785</v>
      </c>
      <c r="JF37" s="5">
        <v>30712</v>
      </c>
      <c r="JG37" s="5">
        <v>23607</v>
      </c>
      <c r="JH37" s="408">
        <v>56991</v>
      </c>
      <c r="JI37" s="5">
        <v>1318202</v>
      </c>
      <c r="JJ37" s="5">
        <v>1145625</v>
      </c>
      <c r="JK37" s="5">
        <v>43348</v>
      </c>
      <c r="JL37" s="5">
        <v>43470</v>
      </c>
      <c r="JM37" s="408">
        <v>129229</v>
      </c>
      <c r="JN37" s="5">
        <v>1412321</v>
      </c>
      <c r="JO37" s="5">
        <v>1184141</v>
      </c>
      <c r="JP37" s="5">
        <v>51165</v>
      </c>
      <c r="JQ37" s="5">
        <v>60487</v>
      </c>
      <c r="JR37" s="5">
        <v>146671</v>
      </c>
      <c r="JS37" s="5">
        <v>1549631</v>
      </c>
      <c r="JT37" s="5">
        <v>1315137</v>
      </c>
      <c r="JU37" s="5">
        <v>61152</v>
      </c>
      <c r="JV37" s="5">
        <v>81891</v>
      </c>
      <c r="JW37" s="408">
        <v>173342</v>
      </c>
      <c r="JX37" s="5">
        <v>1565632.0760000001</v>
      </c>
      <c r="JY37" s="5">
        <v>1325318.5060000001</v>
      </c>
      <c r="JZ37" s="5">
        <v>60572.34</v>
      </c>
      <c r="KA37" s="5">
        <v>86777.315000000002</v>
      </c>
      <c r="KB37" s="408">
        <v>179741.23000000007</v>
      </c>
      <c r="KC37" s="5">
        <v>1591450</v>
      </c>
      <c r="KD37" s="5">
        <v>1286953</v>
      </c>
      <c r="KE37" s="5">
        <v>62597</v>
      </c>
      <c r="KF37" s="5">
        <v>90730</v>
      </c>
      <c r="KG37" s="439">
        <v>186129</v>
      </c>
      <c r="KH37" s="439">
        <v>1602494</v>
      </c>
      <c r="KI37" s="439">
        <v>1289696</v>
      </c>
      <c r="KJ37" s="439">
        <v>64709</v>
      </c>
      <c r="KK37" s="439">
        <v>92739</v>
      </c>
      <c r="KL37" s="439">
        <v>191595</v>
      </c>
      <c r="KM37" s="439">
        <v>1650423</v>
      </c>
      <c r="KN37" s="439">
        <v>1307339</v>
      </c>
      <c r="KO37" s="439">
        <v>64778</v>
      </c>
      <c r="KP37" s="439">
        <v>108272</v>
      </c>
      <c r="KQ37" s="439">
        <v>212815</v>
      </c>
      <c r="KR37" s="439">
        <v>1642541</v>
      </c>
      <c r="KS37" s="439">
        <v>1293761</v>
      </c>
      <c r="KT37" s="439">
        <v>66950</v>
      </c>
      <c r="KU37" s="439">
        <v>106851</v>
      </c>
      <c r="KV37" s="439">
        <v>215165</v>
      </c>
      <c r="KW37" s="630">
        <v>1670222</v>
      </c>
      <c r="KX37" s="439">
        <v>1317594</v>
      </c>
      <c r="KY37" s="439">
        <v>64139</v>
      </c>
      <c r="KZ37" s="439">
        <v>111515</v>
      </c>
      <c r="LA37" s="439">
        <v>224999</v>
      </c>
      <c r="LB37" s="652">
        <v>1718602</v>
      </c>
      <c r="LC37" s="653">
        <v>1342965</v>
      </c>
      <c r="LD37" s="653">
        <v>69984</v>
      </c>
      <c r="LE37" s="653">
        <v>116963</v>
      </c>
      <c r="LF37" s="653">
        <v>235070</v>
      </c>
      <c r="LG37" s="652">
        <v>1730653</v>
      </c>
      <c r="LH37" s="653"/>
      <c r="LI37" s="439"/>
      <c r="LJ37" s="439"/>
      <c r="LK37" s="439"/>
      <c r="LL37" s="652">
        <v>1727271</v>
      </c>
      <c r="LM37" s="653">
        <v>1324432</v>
      </c>
      <c r="LN37" s="653">
        <v>76107</v>
      </c>
      <c r="LO37" s="653">
        <v>131600</v>
      </c>
      <c r="LP37" s="653">
        <v>253539</v>
      </c>
      <c r="LQ37" s="652">
        <v>1714506</v>
      </c>
      <c r="LR37" s="653">
        <v>1269967</v>
      </c>
      <c r="LS37" s="653">
        <v>81781</v>
      </c>
      <c r="LT37" s="653">
        <v>144803</v>
      </c>
      <c r="LU37" s="653">
        <v>335275</v>
      </c>
      <c r="LV37" s="1">
        <v>92526</v>
      </c>
      <c r="LW37" s="1">
        <v>12017</v>
      </c>
      <c r="LX37" s="1">
        <v>20349</v>
      </c>
      <c r="LY37" s="1">
        <v>154143</v>
      </c>
      <c r="LZ37" s="1">
        <v>56240</v>
      </c>
      <c r="MA37" s="10">
        <v>248478</v>
      </c>
      <c r="MB37" s="3">
        <v>225237</v>
      </c>
      <c r="MC37" s="3">
        <v>7086</v>
      </c>
      <c r="MD37" s="3">
        <v>6085</v>
      </c>
      <c r="ME37" s="8">
        <v>16155</v>
      </c>
      <c r="MF37" s="3">
        <v>307401</v>
      </c>
      <c r="MG37" s="3">
        <v>263329</v>
      </c>
      <c r="MH37" s="3">
        <v>9731</v>
      </c>
      <c r="MI37" s="3">
        <v>9901</v>
      </c>
      <c r="MJ37" s="8">
        <v>34341</v>
      </c>
      <c r="MK37" s="3">
        <v>393371</v>
      </c>
      <c r="ML37" s="3">
        <v>326337</v>
      </c>
      <c r="MM37" s="3">
        <v>14426</v>
      </c>
      <c r="MN37" s="3">
        <v>16385</v>
      </c>
      <c r="MO37" s="3">
        <v>45012</v>
      </c>
      <c r="MP37" s="10">
        <v>414327</v>
      </c>
      <c r="MQ37" s="3">
        <v>351365</v>
      </c>
      <c r="MR37" s="3">
        <v>15388</v>
      </c>
      <c r="MS37" s="3">
        <v>20520</v>
      </c>
      <c r="MT37" s="3">
        <v>47574</v>
      </c>
      <c r="MU37" s="10"/>
      <c r="MV37" s="3"/>
      <c r="MW37" s="3"/>
      <c r="MX37" s="3"/>
      <c r="MY37" s="8"/>
      <c r="MZ37" s="3">
        <v>438650</v>
      </c>
      <c r="NA37" s="3">
        <v>353275</v>
      </c>
      <c r="NB37" s="3">
        <v>15934</v>
      </c>
      <c r="NC37" s="3">
        <v>23739</v>
      </c>
      <c r="ND37" s="3">
        <v>53907</v>
      </c>
      <c r="NE37" s="3">
        <v>446574</v>
      </c>
      <c r="NF37" s="3">
        <v>357582</v>
      </c>
      <c r="NG37" s="3">
        <v>16543</v>
      </c>
      <c r="NH37" s="3">
        <v>23648</v>
      </c>
      <c r="NI37" s="3">
        <v>57106</v>
      </c>
      <c r="NJ37" s="3">
        <v>479799</v>
      </c>
      <c r="NK37" s="3">
        <v>379609</v>
      </c>
      <c r="NL37" s="3">
        <v>17646</v>
      </c>
      <c r="NM37" s="3">
        <v>31065</v>
      </c>
      <c r="NN37" s="3">
        <v>318930</v>
      </c>
      <c r="NO37" s="3">
        <v>471400</v>
      </c>
      <c r="NP37" s="3">
        <v>368539</v>
      </c>
      <c r="NQ37" s="3">
        <v>18759</v>
      </c>
      <c r="NR37" s="3">
        <v>28235</v>
      </c>
      <c r="NS37" s="3">
        <v>64999</v>
      </c>
      <c r="NT37" s="3">
        <v>491450</v>
      </c>
      <c r="NU37" s="3">
        <v>386945</v>
      </c>
      <c r="NV37" s="3">
        <v>19348</v>
      </c>
      <c r="NW37" s="3">
        <v>31482</v>
      </c>
      <c r="NX37" s="3">
        <v>64290</v>
      </c>
      <c r="NY37" s="10">
        <v>514987</v>
      </c>
      <c r="NZ37" s="3">
        <v>402799</v>
      </c>
      <c r="OA37" s="3">
        <v>18425</v>
      </c>
      <c r="OB37" s="3">
        <v>33329</v>
      </c>
      <c r="OC37" s="3">
        <v>73250</v>
      </c>
      <c r="OD37" s="10">
        <v>533450</v>
      </c>
      <c r="OE37" s="3"/>
      <c r="OF37" s="3"/>
      <c r="OG37" s="3"/>
      <c r="OH37" s="3"/>
      <c r="OI37" s="10">
        <v>527524</v>
      </c>
      <c r="OJ37" s="3">
        <v>403764</v>
      </c>
      <c r="OK37" s="3">
        <v>23217</v>
      </c>
      <c r="OL37" s="3">
        <v>36754</v>
      </c>
      <c r="OM37" s="3">
        <v>79298</v>
      </c>
      <c r="ON37" s="10">
        <v>544731</v>
      </c>
      <c r="OO37" s="3">
        <v>404804</v>
      </c>
      <c r="OP37" s="3">
        <v>23327</v>
      </c>
      <c r="OQ37" s="3">
        <v>40939</v>
      </c>
      <c r="OR37" s="3">
        <v>15757</v>
      </c>
      <c r="OS37" s="1">
        <v>35995</v>
      </c>
      <c r="OT37" s="1">
        <v>3241</v>
      </c>
      <c r="OU37" s="1">
        <v>5684</v>
      </c>
      <c r="OV37" s="1">
        <v>48555</v>
      </c>
      <c r="OW37" s="1">
        <v>15757</v>
      </c>
      <c r="OX37" s="402">
        <f t="shared" si="499"/>
        <v>1065398</v>
      </c>
      <c r="OY37" s="382">
        <f t="shared" si="500"/>
        <v>688601</v>
      </c>
      <c r="OZ37" s="382">
        <f t="shared" si="501"/>
        <v>25476</v>
      </c>
      <c r="PA37" s="382">
        <f t="shared" si="502"/>
        <v>173259</v>
      </c>
      <c r="PB37" s="382">
        <f t="shared" si="503"/>
        <v>87261</v>
      </c>
      <c r="PC37" s="402">
        <f t="shared" si="504"/>
        <v>1368826</v>
      </c>
      <c r="PD37" s="382">
        <f t="shared" si="505"/>
        <v>1190713</v>
      </c>
      <c r="PE37" s="382">
        <f t="shared" si="506"/>
        <v>30579</v>
      </c>
      <c r="PF37" s="382">
        <f t="shared" si="507"/>
        <v>32236</v>
      </c>
      <c r="PG37" s="382">
        <f t="shared" si="508"/>
        <v>147534</v>
      </c>
      <c r="PH37" s="10">
        <v>1554874</v>
      </c>
      <c r="PI37" s="3">
        <v>1303580</v>
      </c>
      <c r="PJ37" s="3">
        <v>39901</v>
      </c>
      <c r="PK37" s="3">
        <v>55622</v>
      </c>
      <c r="PL37" s="3">
        <v>211393</v>
      </c>
      <c r="PM37" s="3">
        <v>1667667</v>
      </c>
      <c r="PN37" s="3">
        <v>1394947</v>
      </c>
      <c r="PO37" s="3">
        <v>39295</v>
      </c>
      <c r="PP37" s="3">
        <v>49963</v>
      </c>
      <c r="PQ37" s="3">
        <v>205916</v>
      </c>
      <c r="PR37" s="399"/>
      <c r="PS37" s="5"/>
      <c r="PT37" s="5"/>
      <c r="PU37" s="5"/>
      <c r="PV37" s="5"/>
      <c r="PW37" s="5">
        <v>1880342</v>
      </c>
      <c r="PX37" s="5">
        <v>1523357</v>
      </c>
      <c r="PY37" s="5">
        <v>46228</v>
      </c>
      <c r="PZ37" s="5">
        <v>69876</v>
      </c>
      <c r="QA37" s="408">
        <v>264094</v>
      </c>
      <c r="QB37" s="5">
        <v>1934579</v>
      </c>
      <c r="QC37" s="5">
        <v>1556112</v>
      </c>
      <c r="QD37" s="5">
        <v>48183</v>
      </c>
      <c r="QE37" s="5">
        <v>74945</v>
      </c>
      <c r="QF37" s="5">
        <v>279372</v>
      </c>
      <c r="QG37" s="5">
        <v>2064575</v>
      </c>
      <c r="QH37" s="5">
        <v>1631051</v>
      </c>
      <c r="QI37" s="5">
        <v>52456</v>
      </c>
      <c r="QJ37" s="5">
        <v>91885</v>
      </c>
      <c r="QK37" s="5">
        <v>318930</v>
      </c>
      <c r="QL37" s="399">
        <v>2142293</v>
      </c>
      <c r="QM37" s="5">
        <v>1679311</v>
      </c>
      <c r="QN37" s="5">
        <v>57053</v>
      </c>
      <c r="QO37" s="5">
        <v>88504</v>
      </c>
      <c r="QP37" s="5">
        <v>346445</v>
      </c>
      <c r="QQ37" s="399">
        <v>2247160</v>
      </c>
      <c r="QR37" s="5">
        <v>1752049</v>
      </c>
      <c r="QS37" s="5">
        <v>62047</v>
      </c>
      <c r="QT37" s="5">
        <v>100191</v>
      </c>
      <c r="QU37" s="5">
        <v>369734</v>
      </c>
      <c r="QV37" s="399">
        <v>2326106</v>
      </c>
      <c r="QW37" s="5">
        <v>1789586</v>
      </c>
      <c r="QX37" s="5">
        <v>64258</v>
      </c>
      <c r="QY37" s="5">
        <v>109372</v>
      </c>
      <c r="QZ37" s="5">
        <v>402744</v>
      </c>
      <c r="RA37" s="399">
        <v>2446554</v>
      </c>
      <c r="RB37" s="5"/>
      <c r="RC37" s="5"/>
      <c r="RD37" s="5"/>
      <c r="RE37" s="5"/>
      <c r="RF37" s="5">
        <v>2483156</v>
      </c>
      <c r="RG37" s="5">
        <v>1863856</v>
      </c>
      <c r="RH37" s="5">
        <v>72363</v>
      </c>
      <c r="RI37" s="5">
        <v>127760</v>
      </c>
      <c r="RJ37" s="5">
        <v>466671</v>
      </c>
      <c r="RK37" s="5">
        <v>2649393</v>
      </c>
      <c r="RL37" s="5">
        <v>1896802</v>
      </c>
      <c r="RM37" s="5">
        <v>77354</v>
      </c>
      <c r="RN37" s="5">
        <v>151471</v>
      </c>
      <c r="RO37" s="5">
        <v>645379</v>
      </c>
      <c r="RP37" s="1">
        <v>356049</v>
      </c>
      <c r="RQ37" s="1">
        <v>8942</v>
      </c>
      <c r="RR37" s="1">
        <v>15341</v>
      </c>
      <c r="RS37" s="1">
        <v>208654</v>
      </c>
      <c r="RT37" s="1">
        <v>56393</v>
      </c>
      <c r="RU37" s="10">
        <v>496866</v>
      </c>
      <c r="RV37" s="3">
        <v>457663</v>
      </c>
      <c r="RW37" s="3">
        <v>8733</v>
      </c>
      <c r="RX37" s="3">
        <v>7075</v>
      </c>
      <c r="RY37" s="3">
        <v>30470</v>
      </c>
      <c r="RZ37" s="10">
        <v>704826</v>
      </c>
      <c r="SA37" s="3">
        <v>613805</v>
      </c>
      <c r="SB37" s="3">
        <v>14220</v>
      </c>
      <c r="SC37" s="3">
        <v>14687</v>
      </c>
      <c r="SD37" s="3">
        <v>76801</v>
      </c>
      <c r="SE37" s="10">
        <v>825337</v>
      </c>
      <c r="SF37" s="3">
        <v>691130</v>
      </c>
      <c r="SG37" s="3">
        <v>17360</v>
      </c>
      <c r="SH37" s="3">
        <v>22239</v>
      </c>
      <c r="SI37" s="3">
        <v>104199</v>
      </c>
      <c r="SJ37" s="10">
        <v>884596</v>
      </c>
      <c r="SK37" s="3">
        <v>738044</v>
      </c>
      <c r="SL37" s="3">
        <v>18889</v>
      </c>
      <c r="SM37" s="3">
        <v>28843</v>
      </c>
      <c r="SN37" s="3">
        <v>127663</v>
      </c>
      <c r="SO37" s="10">
        <v>902381.60000000009</v>
      </c>
      <c r="SP37" s="3">
        <v>755209.42799999996</v>
      </c>
      <c r="SQ37" s="3">
        <v>19751.850000000002</v>
      </c>
      <c r="SR37" s="3">
        <v>29772.969999999998</v>
      </c>
      <c r="SS37" s="3">
        <v>127420.32200000013</v>
      </c>
      <c r="ST37" s="10">
        <v>920090</v>
      </c>
      <c r="SU37" s="3">
        <v>749258</v>
      </c>
      <c r="SV37" s="3">
        <v>19889</v>
      </c>
      <c r="SW37" s="3">
        <v>30277</v>
      </c>
      <c r="SX37" s="3">
        <v>131043</v>
      </c>
      <c r="SY37" s="3">
        <v>949110</v>
      </c>
      <c r="SZ37" s="3">
        <v>768673</v>
      </c>
      <c r="TA37" s="3">
        <v>20983</v>
      </c>
      <c r="TB37" s="3">
        <v>33873</v>
      </c>
      <c r="TC37" s="3">
        <v>136247</v>
      </c>
      <c r="TD37" s="3">
        <v>1005685</v>
      </c>
      <c r="TE37" s="3">
        <v>797269</v>
      </c>
      <c r="TF37" s="3">
        <v>22056</v>
      </c>
      <c r="TG37" s="3">
        <v>43103</v>
      </c>
      <c r="TH37" s="3">
        <v>157162</v>
      </c>
      <c r="TI37" s="3">
        <v>1059707</v>
      </c>
      <c r="TJ37" s="3">
        <v>833269</v>
      </c>
      <c r="TK37" s="3">
        <v>24332</v>
      </c>
      <c r="TL37" s="3">
        <v>42099</v>
      </c>
      <c r="TM37" s="3">
        <v>174650</v>
      </c>
      <c r="TN37" s="3">
        <v>1098509</v>
      </c>
      <c r="TO37" s="3">
        <v>861044</v>
      </c>
      <c r="TP37" s="3">
        <v>27321</v>
      </c>
      <c r="TQ37" s="3">
        <v>46091</v>
      </c>
      <c r="TR37" s="3">
        <v>182560</v>
      </c>
      <c r="TS37" s="10">
        <v>1130392</v>
      </c>
      <c r="TT37" s="3">
        <v>868999</v>
      </c>
      <c r="TU37" s="3">
        <v>31410</v>
      </c>
      <c r="TV37" s="3">
        <v>49738</v>
      </c>
      <c r="TW37" s="3">
        <v>198023</v>
      </c>
      <c r="TX37" s="10">
        <v>1187508</v>
      </c>
      <c r="TY37" s="3"/>
      <c r="TZ37" s="3"/>
      <c r="UA37" s="3"/>
      <c r="UB37" s="3"/>
      <c r="UC37" s="10">
        <v>1204728</v>
      </c>
      <c r="UD37" s="3">
        <v>914801</v>
      </c>
      <c r="UE37" s="3">
        <v>31487</v>
      </c>
      <c r="UF37" s="3">
        <v>62800</v>
      </c>
      <c r="UG37" s="3">
        <v>218406</v>
      </c>
      <c r="UH37" s="10">
        <v>1287465</v>
      </c>
      <c r="UI37" s="3">
        <v>930156</v>
      </c>
      <c r="UJ37" s="3">
        <v>33734</v>
      </c>
      <c r="UK37" s="3">
        <v>74691</v>
      </c>
      <c r="UL37" s="3">
        <v>308042</v>
      </c>
      <c r="UM37" s="1">
        <v>164859</v>
      </c>
      <c r="UN37" s="1">
        <v>3810</v>
      </c>
      <c r="UO37" s="1">
        <v>5419</v>
      </c>
      <c r="UP37" s="1">
        <v>105313</v>
      </c>
      <c r="UQ37" s="1">
        <v>40636</v>
      </c>
      <c r="UR37" s="588">
        <f t="shared" si="509"/>
        <v>143493</v>
      </c>
      <c r="US37" s="40">
        <v>86982</v>
      </c>
      <c r="UT37" s="40">
        <v>56511</v>
      </c>
      <c r="UU37" s="588">
        <f t="shared" si="510"/>
        <v>3359</v>
      </c>
      <c r="UV37" s="40">
        <v>2227</v>
      </c>
      <c r="UW37" s="40">
        <v>1132</v>
      </c>
      <c r="UX37" s="42">
        <v>229638</v>
      </c>
      <c r="UY37" s="588">
        <f t="shared" si="511"/>
        <v>138185</v>
      </c>
      <c r="UZ37" s="588">
        <f t="shared" si="512"/>
        <v>91453</v>
      </c>
      <c r="VA37" s="588">
        <f t="shared" si="513"/>
        <v>225346</v>
      </c>
      <c r="VB37" s="40">
        <v>135543</v>
      </c>
      <c r="VC37" s="40">
        <v>89803</v>
      </c>
      <c r="VD37" s="588">
        <f t="shared" si="514"/>
        <v>1770</v>
      </c>
      <c r="VE37" s="40">
        <v>900</v>
      </c>
      <c r="VF37" s="40">
        <v>870</v>
      </c>
      <c r="VG37" s="588">
        <f t="shared" si="515"/>
        <v>2522</v>
      </c>
      <c r="VH37" s="40">
        <v>1742</v>
      </c>
      <c r="VI37" s="40">
        <v>780</v>
      </c>
      <c r="VJ37" s="42">
        <v>462318</v>
      </c>
      <c r="VK37" s="588">
        <f t="shared" si="516"/>
        <v>274704</v>
      </c>
      <c r="VL37" s="588">
        <f t="shared" si="517"/>
        <v>187614</v>
      </c>
      <c r="VM37" s="240">
        <f t="shared" si="518"/>
        <v>432085</v>
      </c>
      <c r="VN37" s="40">
        <v>257366</v>
      </c>
      <c r="VO37" s="40">
        <v>174719</v>
      </c>
      <c r="VP37" s="40">
        <v>17338</v>
      </c>
      <c r="VQ37" s="40">
        <v>12895</v>
      </c>
      <c r="VR37" s="240">
        <f t="shared" si="519"/>
        <v>6204</v>
      </c>
      <c r="VS37" s="40">
        <v>3493</v>
      </c>
      <c r="VT37" s="40">
        <v>2711</v>
      </c>
      <c r="VU37" s="240">
        <f t="shared" si="520"/>
        <v>5213</v>
      </c>
      <c r="VV37" s="40">
        <v>3079</v>
      </c>
      <c r="VW37" s="40">
        <v>2134</v>
      </c>
      <c r="VX37" s="233">
        <f t="shared" si="521"/>
        <v>18816</v>
      </c>
      <c r="VY37" s="233">
        <f t="shared" si="522"/>
        <v>10766</v>
      </c>
      <c r="VZ37" s="233">
        <f t="shared" si="523"/>
        <v>8050</v>
      </c>
      <c r="WA37" s="234">
        <f t="shared" si="524"/>
        <v>512</v>
      </c>
      <c r="WB37" s="234">
        <f t="shared" si="525"/>
        <v>377</v>
      </c>
      <c r="WC37" s="234">
        <f t="shared" si="526"/>
        <v>135</v>
      </c>
      <c r="WD37" s="40">
        <v>18304</v>
      </c>
      <c r="WE37" s="40">
        <v>10389</v>
      </c>
      <c r="WF37" s="40">
        <v>7915</v>
      </c>
      <c r="WG37" s="12">
        <f t="shared" si="527"/>
        <v>816920</v>
      </c>
      <c r="WH37" s="588">
        <f t="shared" si="528"/>
        <v>400544</v>
      </c>
      <c r="WI37" s="588">
        <f t="shared" si="529"/>
        <v>316425</v>
      </c>
      <c r="WJ37" s="11">
        <f t="shared" si="530"/>
        <v>463364</v>
      </c>
      <c r="WK37" s="90">
        <f t="shared" si="531"/>
        <v>654838</v>
      </c>
      <c r="WL37" s="40">
        <v>366920</v>
      </c>
      <c r="WM37" s="40">
        <v>287918</v>
      </c>
      <c r="WN37" s="40">
        <v>33624</v>
      </c>
      <c r="WO37" s="40">
        <v>28507</v>
      </c>
      <c r="WP37" s="11">
        <f t="shared" si="532"/>
        <v>18390</v>
      </c>
      <c r="WQ37" s="90">
        <f t="shared" si="533"/>
        <v>11953</v>
      </c>
      <c r="WR37" s="40">
        <v>6786</v>
      </c>
      <c r="WS37" s="40">
        <v>5167</v>
      </c>
      <c r="WT37" s="11">
        <f t="shared" si="534"/>
        <v>10248</v>
      </c>
      <c r="WU37" s="40">
        <v>5753</v>
      </c>
      <c r="WV37" s="40">
        <v>4495</v>
      </c>
      <c r="WW37" s="9">
        <f t="shared" si="535"/>
        <v>71106</v>
      </c>
      <c r="WX37" s="235">
        <f t="shared" si="536"/>
        <v>21085</v>
      </c>
      <c r="WY37" s="235">
        <f t="shared" si="537"/>
        <v>18845</v>
      </c>
      <c r="WZ37" s="236">
        <f t="shared" si="538"/>
        <v>321</v>
      </c>
      <c r="XA37" s="236">
        <f t="shared" si="539"/>
        <v>185</v>
      </c>
      <c r="XB37" s="236">
        <f t="shared" si="540"/>
        <v>136</v>
      </c>
      <c r="XC37" s="589">
        <f t="shared" si="541"/>
        <v>39609</v>
      </c>
      <c r="XD37" s="589">
        <f t="shared" si="542"/>
        <v>20900</v>
      </c>
      <c r="XE37" s="589">
        <f t="shared" si="543"/>
        <v>18709</v>
      </c>
      <c r="XF37" s="40">
        <v>2097</v>
      </c>
      <c r="XG37" s="40">
        <v>1766</v>
      </c>
      <c r="XH37" s="40">
        <v>18803</v>
      </c>
      <c r="XI37" s="40">
        <v>16943</v>
      </c>
      <c r="XJ37" s="590">
        <v>1061425</v>
      </c>
      <c r="XK37" s="40">
        <v>555712</v>
      </c>
      <c r="XL37" s="40">
        <v>505713</v>
      </c>
      <c r="XM37" s="5">
        <f t="shared" si="544"/>
        <v>927384</v>
      </c>
      <c r="XN37" s="5">
        <v>487922</v>
      </c>
      <c r="XO37" s="5">
        <v>439462</v>
      </c>
      <c r="XP37" s="84">
        <f t="shared" si="545"/>
        <v>914522</v>
      </c>
      <c r="XQ37" s="40">
        <v>481427</v>
      </c>
      <c r="XR37" s="40">
        <v>433095</v>
      </c>
      <c r="XS37" s="5">
        <f t="shared" si="546"/>
        <v>20848</v>
      </c>
      <c r="XT37" s="40">
        <v>11361</v>
      </c>
      <c r="XU37" s="40">
        <v>9487</v>
      </c>
      <c r="XV37" s="5">
        <f t="shared" si="547"/>
        <v>22335</v>
      </c>
      <c r="XW37" s="40">
        <v>11460</v>
      </c>
      <c r="XX37" s="40">
        <v>10875</v>
      </c>
      <c r="XY37" s="84">
        <f t="shared" si="548"/>
        <v>113193</v>
      </c>
      <c r="XZ37" s="84">
        <f t="shared" si="549"/>
        <v>56429</v>
      </c>
      <c r="YA37" s="84">
        <f t="shared" si="550"/>
        <v>56764</v>
      </c>
      <c r="YB37" s="587">
        <v>1274296</v>
      </c>
      <c r="YC37" s="40">
        <v>1068610</v>
      </c>
      <c r="YD37" s="40">
        <v>24869</v>
      </c>
      <c r="YE37" s="40">
        <v>33578</v>
      </c>
      <c r="YF37" s="5">
        <v>160904</v>
      </c>
      <c r="YG37" s="10">
        <v>1315791</v>
      </c>
      <c r="YH37" s="3">
        <v>1119171</v>
      </c>
      <c r="YI37" s="3">
        <v>25852</v>
      </c>
      <c r="YJ37" s="3">
        <v>170768</v>
      </c>
      <c r="YK37" s="3">
        <v>35977</v>
      </c>
      <c r="YL37" s="10">
        <v>1349362</v>
      </c>
      <c r="YM37" s="3">
        <v>1137442</v>
      </c>
      <c r="YN37" s="3">
        <v>26504</v>
      </c>
      <c r="YO37" s="3">
        <v>185416</v>
      </c>
      <c r="YP37" s="3">
        <v>38420</v>
      </c>
      <c r="YQ37" s="10">
        <v>1376488</v>
      </c>
      <c r="YR37" s="3">
        <v>1148688</v>
      </c>
      <c r="YS37" s="3">
        <v>28947</v>
      </c>
      <c r="YT37" s="3">
        <v>198853</v>
      </c>
      <c r="YU37" s="3">
        <v>41991</v>
      </c>
      <c r="YV37" s="10">
        <v>1412227.2040000001</v>
      </c>
      <c r="YW37" s="3">
        <v>1180940.233</v>
      </c>
      <c r="YX37" s="3">
        <v>30432.480000000003</v>
      </c>
      <c r="YY37" s="3">
        <v>44659.454999999994</v>
      </c>
      <c r="YZ37" s="3">
        <v>200854.49100000013</v>
      </c>
      <c r="ZA37" s="3">
        <v>1441692</v>
      </c>
      <c r="ZB37" s="3">
        <v>1170082</v>
      </c>
      <c r="ZC37" s="3">
        <v>30294</v>
      </c>
      <c r="ZD37" s="3">
        <v>46137</v>
      </c>
      <c r="ZE37" s="1">
        <v>210187</v>
      </c>
      <c r="ZF37" s="1">
        <v>1488005</v>
      </c>
      <c r="ZG37" s="1">
        <v>1198530</v>
      </c>
      <c r="ZH37" s="1">
        <v>31640</v>
      </c>
      <c r="ZI37" s="1">
        <v>51297</v>
      </c>
      <c r="ZJ37" s="1">
        <v>222266</v>
      </c>
      <c r="ZK37" s="1">
        <v>1584776</v>
      </c>
      <c r="ZL37" s="1">
        <v>1251442</v>
      </c>
      <c r="ZM37" s="1">
        <v>34810</v>
      </c>
      <c r="ZN37" s="1">
        <v>60820</v>
      </c>
      <c r="ZO37" s="1">
        <v>255764</v>
      </c>
      <c r="ZP37" s="1">
        <v>1670893</v>
      </c>
      <c r="ZQ37" s="1">
        <v>1310772</v>
      </c>
      <c r="ZR37" s="1">
        <v>38294</v>
      </c>
      <c r="ZS37" s="1">
        <v>60269</v>
      </c>
      <c r="ZT37" s="1">
        <v>281446</v>
      </c>
      <c r="ZU37" s="1">
        <v>1755710</v>
      </c>
      <c r="ZV37" s="1">
        <v>1365104</v>
      </c>
      <c r="ZW37" s="1">
        <v>42699</v>
      </c>
      <c r="ZX37" s="1">
        <v>68709</v>
      </c>
      <c r="ZY37" s="1">
        <v>305444</v>
      </c>
      <c r="ZZ37" s="394">
        <v>224252</v>
      </c>
      <c r="AAA37" s="1">
        <v>2915</v>
      </c>
      <c r="AAB37" s="1">
        <v>7783</v>
      </c>
      <c r="AAC37" s="1">
        <v>50629</v>
      </c>
      <c r="AAD37" s="1">
        <v>19353</v>
      </c>
      <c r="AAE37" s="50">
        <v>1811119</v>
      </c>
      <c r="AAF37" s="1">
        <v>1386787</v>
      </c>
      <c r="AAG37" s="1">
        <v>45833</v>
      </c>
      <c r="AAH37" s="1">
        <v>76043</v>
      </c>
      <c r="AAI37" s="1">
        <v>329494</v>
      </c>
      <c r="AAJ37" s="50">
        <v>1913104</v>
      </c>
      <c r="AAK37" s="1"/>
      <c r="AAL37" s="1"/>
      <c r="AAM37" s="1"/>
      <c r="AAN37" s="1"/>
      <c r="AAO37" s="68">
        <v>1955632</v>
      </c>
      <c r="AAP37" s="37">
        <v>1460092</v>
      </c>
      <c r="AAQ37" s="37">
        <v>49146</v>
      </c>
      <c r="AAR37" s="37">
        <v>91006</v>
      </c>
      <c r="AAS37" s="37">
        <v>387373</v>
      </c>
      <c r="AAT37" s="68">
        <v>2104662</v>
      </c>
      <c r="AAU37" s="37">
        <v>1491998</v>
      </c>
      <c r="AAV37" s="37">
        <v>54027</v>
      </c>
      <c r="AAW37" s="37">
        <v>110532</v>
      </c>
      <c r="AAX37" s="37">
        <v>536147</v>
      </c>
      <c r="AAY37" s="1">
        <v>320054</v>
      </c>
      <c r="AAZ37" s="1">
        <v>5701</v>
      </c>
      <c r="ABA37" s="1">
        <v>9657</v>
      </c>
      <c r="ABB37" s="1">
        <v>160099</v>
      </c>
      <c r="ABC37" s="1">
        <v>40636</v>
      </c>
      <c r="ABD37" s="10">
        <v>356599</v>
      </c>
      <c r="ABE37" s="3">
        <v>313579</v>
      </c>
      <c r="ABF37" s="3">
        <v>6628</v>
      </c>
      <c r="ABG37" s="3">
        <v>7648</v>
      </c>
      <c r="ABH37" s="3">
        <v>36392</v>
      </c>
      <c r="ABI37" s="10">
        <v>448959</v>
      </c>
      <c r="ABJ37" s="3">
        <v>377480</v>
      </c>
      <c r="ABK37" s="3">
        <v>7509</v>
      </c>
      <c r="ABL37" s="3">
        <v>11339</v>
      </c>
      <c r="ABM37" s="3">
        <v>56705</v>
      </c>
      <c r="ABN37" s="10">
        <v>491892</v>
      </c>
      <c r="ABO37" s="3">
        <v>410644</v>
      </c>
      <c r="ABP37" s="3">
        <v>10058</v>
      </c>
      <c r="ABQ37" s="3">
        <v>13148</v>
      </c>
      <c r="ABR37" s="3">
        <v>71190</v>
      </c>
      <c r="ABS37" s="10">
        <v>509845.60399999999</v>
      </c>
      <c r="ABT37" s="3">
        <v>425730.80499999999</v>
      </c>
      <c r="ABU37" s="3">
        <v>10680.63</v>
      </c>
      <c r="ABV37" s="3">
        <v>14886.484999999999</v>
      </c>
      <c r="ABW37" s="8">
        <v>73434.168999999994</v>
      </c>
      <c r="ABX37" s="1">
        <v>521602</v>
      </c>
      <c r="ABY37" s="1">
        <v>420824</v>
      </c>
      <c r="ABZ37" s="1">
        <v>10405</v>
      </c>
      <c r="ACA37" s="1">
        <v>15860</v>
      </c>
      <c r="ACB37" s="49">
        <v>79144</v>
      </c>
      <c r="ACC37" s="1">
        <v>538895</v>
      </c>
      <c r="ACD37" s="1">
        <v>429857</v>
      </c>
      <c r="ACE37" s="1">
        <v>10657</v>
      </c>
      <c r="ACF37" s="1">
        <v>17424</v>
      </c>
      <c r="ACG37" s="1">
        <v>86019</v>
      </c>
      <c r="ACH37" s="1">
        <v>579091</v>
      </c>
      <c r="ACI37" s="1">
        <v>454173</v>
      </c>
      <c r="ACJ37" s="1">
        <v>12754</v>
      </c>
      <c r="ACK37" s="1">
        <v>17717</v>
      </c>
      <c r="ACL37" s="1">
        <v>98602</v>
      </c>
      <c r="ACM37" s="1">
        <v>611186</v>
      </c>
      <c r="ACN37" s="1">
        <v>477503</v>
      </c>
      <c r="ACO37" s="1">
        <v>13962</v>
      </c>
      <c r="ACP37" s="1">
        <v>18170</v>
      </c>
      <c r="ACQ37" s="1">
        <v>106796</v>
      </c>
      <c r="ACR37" s="1">
        <v>657201</v>
      </c>
      <c r="ACS37" s="1">
        <v>504060</v>
      </c>
      <c r="ACT37" s="1">
        <v>15378</v>
      </c>
      <c r="ACU37" s="1">
        <v>22618</v>
      </c>
      <c r="ACV37" s="1">
        <v>122884</v>
      </c>
      <c r="ADB37" s="50">
        <v>680727</v>
      </c>
      <c r="ADC37" s="1">
        <v>517788</v>
      </c>
      <c r="ADD37" s="1">
        <v>14423</v>
      </c>
      <c r="ADE37" s="1">
        <v>26305</v>
      </c>
      <c r="ADF37" s="1">
        <v>131471</v>
      </c>
      <c r="ADG37" s="50">
        <v>725596</v>
      </c>
      <c r="ADL37" s="50">
        <v>750904</v>
      </c>
      <c r="ADM37" s="1">
        <v>545291</v>
      </c>
      <c r="ADN37" s="1">
        <v>17659</v>
      </c>
      <c r="ADO37" s="1">
        <v>28206</v>
      </c>
      <c r="ADP37" s="1">
        <v>168967</v>
      </c>
      <c r="ADQ37" s="50">
        <v>817197</v>
      </c>
      <c r="ADR37" s="1">
        <v>561842</v>
      </c>
      <c r="ADS37" s="1">
        <v>20293</v>
      </c>
      <c r="ADT37" s="1">
        <v>35841</v>
      </c>
      <c r="ADU37" s="1">
        <v>228105</v>
      </c>
      <c r="ADV37" s="1">
        <v>155195</v>
      </c>
      <c r="ADW37" s="1">
        <v>1891</v>
      </c>
      <c r="ADX37" s="1">
        <v>4238</v>
      </c>
      <c r="ADY37" s="1">
        <v>54786</v>
      </c>
      <c r="ADZ37" s="1">
        <v>11995</v>
      </c>
    </row>
    <row r="38" spans="1:806" ht="14.1">
      <c r="A38" s="139" t="s">
        <v>37</v>
      </c>
      <c r="B38" s="177" t="s">
        <v>221</v>
      </c>
      <c r="C38" s="178" t="s">
        <v>221</v>
      </c>
      <c r="D38" s="178" t="s">
        <v>221</v>
      </c>
      <c r="E38" s="178" t="s">
        <v>221</v>
      </c>
      <c r="F38" s="179" t="s">
        <v>221</v>
      </c>
      <c r="G38" s="158">
        <v>15919</v>
      </c>
      <c r="H38" s="158">
        <v>13963</v>
      </c>
      <c r="I38" s="158">
        <v>98</v>
      </c>
      <c r="J38" s="158">
        <v>2571</v>
      </c>
      <c r="K38" s="159">
        <v>1858</v>
      </c>
      <c r="L38" s="158">
        <v>10614</v>
      </c>
      <c r="M38" s="158">
        <v>8579</v>
      </c>
      <c r="N38" s="158">
        <v>82</v>
      </c>
      <c r="O38" s="158">
        <v>2485</v>
      </c>
      <c r="P38" s="159">
        <v>1953</v>
      </c>
      <c r="Q38" s="158">
        <v>9615</v>
      </c>
      <c r="R38" s="158">
        <v>6217</v>
      </c>
      <c r="S38" s="158"/>
      <c r="T38" s="158">
        <v>2774</v>
      </c>
      <c r="U38" s="159">
        <v>1772</v>
      </c>
      <c r="V38" s="167">
        <v>9415</v>
      </c>
      <c r="W38" s="167">
        <v>7411</v>
      </c>
      <c r="X38" s="167">
        <v>115</v>
      </c>
      <c r="Y38" s="167">
        <v>3174</v>
      </c>
      <c r="Z38" s="409">
        <v>1889</v>
      </c>
      <c r="AA38" s="167">
        <v>8796</v>
      </c>
      <c r="AB38" s="167">
        <v>5130</v>
      </c>
      <c r="AC38" s="167">
        <v>121</v>
      </c>
      <c r="AD38" s="167">
        <v>3281</v>
      </c>
      <c r="AE38" s="167">
        <v>1867</v>
      </c>
      <c r="AF38" s="400">
        <v>7519</v>
      </c>
      <c r="AG38" s="167">
        <v>3686</v>
      </c>
      <c r="AH38" s="167">
        <v>59</v>
      </c>
      <c r="AI38" s="167">
        <v>3379</v>
      </c>
      <c r="AJ38" s="318">
        <v>1909</v>
      </c>
      <c r="AK38" s="674">
        <v>8369</v>
      </c>
      <c r="AL38" s="674">
        <v>2947</v>
      </c>
      <c r="AM38" s="685">
        <v>144</v>
      </c>
      <c r="AN38" s="685">
        <v>4947</v>
      </c>
      <c r="AO38" s="674">
        <v>1728</v>
      </c>
      <c r="AP38" s="396">
        <v>7773</v>
      </c>
      <c r="AQ38" s="396">
        <v>3372</v>
      </c>
      <c r="AR38" s="396">
        <v>0</v>
      </c>
      <c r="AS38" s="396">
        <v>3877</v>
      </c>
      <c r="AT38" s="396">
        <v>408</v>
      </c>
      <c r="AU38" s="395">
        <v>5751</v>
      </c>
      <c r="AV38" s="396">
        <v>2551</v>
      </c>
      <c r="AW38" s="396">
        <v>0</v>
      </c>
      <c r="AX38" s="396">
        <v>2725</v>
      </c>
      <c r="AY38" s="396">
        <v>398</v>
      </c>
      <c r="BA38" s="1">
        <v>0</v>
      </c>
      <c r="BB38" s="1">
        <v>367</v>
      </c>
      <c r="BC38" s="1">
        <v>31</v>
      </c>
      <c r="BE38" s="395">
        <v>7704</v>
      </c>
      <c r="BF38" s="396">
        <v>3829</v>
      </c>
      <c r="BG38" s="396"/>
      <c r="BH38" s="396">
        <v>3480</v>
      </c>
      <c r="BI38" s="396">
        <v>478</v>
      </c>
      <c r="BJ38" s="395">
        <v>7237</v>
      </c>
      <c r="BK38" s="396"/>
      <c r="BL38" s="396"/>
      <c r="BM38" s="396"/>
      <c r="BN38" s="396"/>
      <c r="BO38" s="395">
        <v>6546</v>
      </c>
      <c r="BP38" s="396">
        <v>3360</v>
      </c>
      <c r="BQ38" s="396"/>
      <c r="BR38" s="396">
        <v>3052</v>
      </c>
      <c r="BS38" s="396">
        <v>127</v>
      </c>
      <c r="BT38" s="395">
        <v>7224</v>
      </c>
      <c r="BU38" s="396">
        <v>3389</v>
      </c>
      <c r="BV38" s="396">
        <v>0</v>
      </c>
      <c r="BW38" s="396">
        <v>3442</v>
      </c>
      <c r="BX38" s="394">
        <v>0</v>
      </c>
      <c r="BY38" s="1">
        <v>0</v>
      </c>
      <c r="BZ38" s="1">
        <v>59</v>
      </c>
      <c r="CA38" s="1">
        <v>1437</v>
      </c>
      <c r="CB38" s="1">
        <v>1893</v>
      </c>
      <c r="CC38" s="157">
        <v>31194</v>
      </c>
      <c r="CD38" s="158">
        <v>28570</v>
      </c>
      <c r="CE38" s="158">
        <v>216</v>
      </c>
      <c r="CF38" s="158">
        <v>3442</v>
      </c>
      <c r="CG38" s="159">
        <v>2408</v>
      </c>
      <c r="CH38" s="158">
        <v>27703</v>
      </c>
      <c r="CI38" s="158">
        <v>24568</v>
      </c>
      <c r="CJ38" s="158">
        <v>155</v>
      </c>
      <c r="CK38" s="158">
        <v>2887</v>
      </c>
      <c r="CL38" s="159">
        <v>2980</v>
      </c>
      <c r="CM38" s="1">
        <v>22431</v>
      </c>
      <c r="CN38" s="158">
        <v>18595</v>
      </c>
      <c r="CO38" s="158">
        <v>0</v>
      </c>
      <c r="CP38" s="158">
        <v>2552</v>
      </c>
      <c r="CQ38" s="159">
        <v>2341</v>
      </c>
      <c r="CR38" s="158">
        <v>19819</v>
      </c>
      <c r="CS38" s="158">
        <v>17639</v>
      </c>
      <c r="CT38" s="158">
        <v>144</v>
      </c>
      <c r="CU38" s="158">
        <v>2593</v>
      </c>
      <c r="CV38" s="159">
        <v>2036</v>
      </c>
      <c r="CW38" s="158">
        <v>21457</v>
      </c>
      <c r="CX38" s="158">
        <v>16664</v>
      </c>
      <c r="CY38" s="158">
        <v>287</v>
      </c>
      <c r="CZ38" s="158">
        <v>3236</v>
      </c>
      <c r="DA38" s="158">
        <v>2476</v>
      </c>
      <c r="DB38" s="158">
        <v>21750</v>
      </c>
      <c r="DC38" s="158">
        <v>16477</v>
      </c>
      <c r="DD38" s="158">
        <v>249</v>
      </c>
      <c r="DE38" s="158">
        <v>3690</v>
      </c>
      <c r="DF38" s="39">
        <v>2516</v>
      </c>
      <c r="DG38" s="39">
        <v>20473</v>
      </c>
      <c r="DH38" s="39">
        <v>15104</v>
      </c>
      <c r="DI38" s="39">
        <v>269</v>
      </c>
      <c r="DJ38" s="39">
        <v>3949</v>
      </c>
      <c r="DK38" s="39">
        <v>1797</v>
      </c>
      <c r="DL38" s="39">
        <v>22652</v>
      </c>
      <c r="DM38" s="39">
        <v>15914</v>
      </c>
      <c r="DN38" s="39">
        <v>0</v>
      </c>
      <c r="DO38" s="39">
        <v>5104</v>
      </c>
      <c r="DP38" s="39">
        <v>1387</v>
      </c>
      <c r="DQ38" s="39">
        <v>20940</v>
      </c>
      <c r="DR38" s="39">
        <v>15040</v>
      </c>
      <c r="DS38" s="39">
        <v>0</v>
      </c>
      <c r="DT38" s="39">
        <v>4713</v>
      </c>
      <c r="DU38" s="39">
        <v>1130</v>
      </c>
      <c r="DV38" s="118">
        <v>19649</v>
      </c>
      <c r="DW38" s="39">
        <v>14471</v>
      </c>
      <c r="DX38" s="39"/>
      <c r="DY38" s="39">
        <v>4234</v>
      </c>
      <c r="DZ38" s="39">
        <v>725</v>
      </c>
      <c r="EA38" s="118">
        <v>19072</v>
      </c>
      <c r="EB38" s="39"/>
      <c r="EC38" s="39"/>
      <c r="ED38" s="39"/>
      <c r="EE38" s="39"/>
      <c r="EF38" s="118">
        <v>14704</v>
      </c>
      <c r="EG38" s="39">
        <v>11180</v>
      </c>
      <c r="EH38" s="39"/>
      <c r="EI38" s="39">
        <v>2603</v>
      </c>
      <c r="EJ38" s="39">
        <v>1086</v>
      </c>
      <c r="EK38" s="118">
        <v>14704</v>
      </c>
      <c r="EL38" s="39">
        <v>11180</v>
      </c>
      <c r="EM38" s="39"/>
      <c r="EN38" s="39">
        <v>2603</v>
      </c>
      <c r="EO38" s="39">
        <v>1086</v>
      </c>
      <c r="EP38" s="118">
        <v>18132</v>
      </c>
      <c r="EQ38" s="39">
        <v>11932</v>
      </c>
      <c r="ER38" s="39">
        <v>0</v>
      </c>
      <c r="ES38" s="39">
        <v>4544</v>
      </c>
      <c r="ET38" s="1">
        <v>0</v>
      </c>
      <c r="EU38" s="1">
        <v>0</v>
      </c>
      <c r="EV38" s="1">
        <v>928</v>
      </c>
      <c r="EW38" s="1">
        <v>2370</v>
      </c>
      <c r="EX38" s="1">
        <v>1483</v>
      </c>
      <c r="EY38" s="157">
        <v>28930</v>
      </c>
      <c r="EZ38" s="158">
        <v>24474</v>
      </c>
      <c r="FA38" s="158"/>
      <c r="FB38" s="158">
        <v>5930</v>
      </c>
      <c r="FC38" s="317">
        <f t="shared" si="497"/>
        <v>4456</v>
      </c>
      <c r="FD38" s="177" t="s">
        <v>221</v>
      </c>
      <c r="FE38" s="178" t="s">
        <v>221</v>
      </c>
      <c r="FF38" s="178" t="s">
        <v>221</v>
      </c>
      <c r="FG38" s="178" t="s">
        <v>221</v>
      </c>
      <c r="FH38" s="177" t="s">
        <v>221</v>
      </c>
      <c r="FI38" s="178" t="s">
        <v>221</v>
      </c>
      <c r="FJ38" s="178" t="s">
        <v>221</v>
      </c>
      <c r="FK38" s="178" t="s">
        <v>221</v>
      </c>
      <c r="FL38" s="179" t="s">
        <v>221</v>
      </c>
      <c r="FM38" s="158">
        <v>230656</v>
      </c>
      <c r="FN38" s="158">
        <v>222033</v>
      </c>
      <c r="FO38" s="158">
        <v>1358</v>
      </c>
      <c r="FP38" s="158">
        <v>7317</v>
      </c>
      <c r="FQ38" s="159">
        <v>7265</v>
      </c>
      <c r="FR38" s="158">
        <v>277346</v>
      </c>
      <c r="FS38" s="158">
        <v>261889</v>
      </c>
      <c r="FT38" s="158">
        <v>1539</v>
      </c>
      <c r="FU38" s="158">
        <v>10566</v>
      </c>
      <c r="FV38" s="158">
        <v>13918</v>
      </c>
      <c r="FW38" s="160">
        <v>304553</v>
      </c>
      <c r="FX38" s="158">
        <v>278639</v>
      </c>
      <c r="FY38" s="158"/>
      <c r="FZ38" s="158">
        <v>16848</v>
      </c>
      <c r="GA38" s="158">
        <v>14296</v>
      </c>
      <c r="GB38" s="157">
        <v>311935</v>
      </c>
      <c r="GC38" s="158">
        <v>293430</v>
      </c>
      <c r="GD38" s="158">
        <v>2221</v>
      </c>
      <c r="GE38" s="158">
        <v>16284</v>
      </c>
      <c r="GF38" s="158">
        <v>15406</v>
      </c>
      <c r="GG38" s="161">
        <v>316816</v>
      </c>
      <c r="GH38" s="162">
        <v>297922</v>
      </c>
      <c r="GI38" s="162">
        <v>2641</v>
      </c>
      <c r="GJ38" s="162">
        <v>16253</v>
      </c>
      <c r="GK38" s="162">
        <v>15992</v>
      </c>
      <c r="GL38" s="157">
        <v>334646</v>
      </c>
      <c r="GM38" s="158">
        <v>314342</v>
      </c>
      <c r="GN38" s="158">
        <v>2046</v>
      </c>
      <c r="GO38" s="158">
        <v>18371</v>
      </c>
      <c r="GP38" s="158">
        <v>13136</v>
      </c>
      <c r="GQ38" s="157">
        <v>341967.03399999999</v>
      </c>
      <c r="GR38" s="158">
        <v>319882.52799999999</v>
      </c>
      <c r="GS38" s="158"/>
      <c r="GT38" s="158">
        <v>18855.599999999999</v>
      </c>
      <c r="GU38" s="412">
        <f t="shared" si="498"/>
        <v>22084.505999999994</v>
      </c>
      <c r="GV38" s="158">
        <v>346621</v>
      </c>
      <c r="GW38" s="158">
        <v>310930</v>
      </c>
      <c r="GX38" s="158">
        <v>2491</v>
      </c>
      <c r="GY38" s="158">
        <v>21258</v>
      </c>
      <c r="GZ38" s="158">
        <v>19624</v>
      </c>
      <c r="HA38" s="158">
        <v>351698</v>
      </c>
      <c r="HB38" s="158">
        <v>314164</v>
      </c>
      <c r="HC38" s="158">
        <v>2767</v>
      </c>
      <c r="HD38" s="158">
        <v>21693</v>
      </c>
      <c r="HE38" s="158">
        <v>20423</v>
      </c>
      <c r="HF38" s="158">
        <v>360120</v>
      </c>
      <c r="HG38" s="158">
        <v>319786</v>
      </c>
      <c r="HH38" s="158">
        <v>3643</v>
      </c>
      <c r="HI38" s="158">
        <v>21953</v>
      </c>
      <c r="HJ38" s="158">
        <v>17584</v>
      </c>
      <c r="HK38" s="158">
        <v>358322</v>
      </c>
      <c r="HL38" s="158">
        <v>320645</v>
      </c>
      <c r="HM38" s="158">
        <v>0</v>
      </c>
      <c r="HN38" s="158">
        <v>21789</v>
      </c>
      <c r="HO38" s="158">
        <v>11720</v>
      </c>
      <c r="HP38" s="157">
        <v>364103</v>
      </c>
      <c r="HQ38" s="158">
        <v>324388</v>
      </c>
      <c r="HR38" s="158">
        <v>0</v>
      </c>
      <c r="HS38" s="158">
        <v>22977</v>
      </c>
      <c r="HT38" s="158">
        <v>12954</v>
      </c>
      <c r="HU38" s="394"/>
      <c r="HV38" s="1">
        <v>0</v>
      </c>
      <c r="HW38" s="1">
        <v>6163</v>
      </c>
      <c r="HX38" s="1">
        <v>6791</v>
      </c>
      <c r="HZ38" s="157">
        <v>360347</v>
      </c>
      <c r="IA38" s="158">
        <v>320733</v>
      </c>
      <c r="IB38" s="158"/>
      <c r="IC38" s="158">
        <v>23657</v>
      </c>
      <c r="ID38" s="158">
        <v>12603</v>
      </c>
      <c r="IE38" s="400">
        <v>366827</v>
      </c>
      <c r="IF38" s="167"/>
      <c r="IG38" s="167"/>
      <c r="IH38" s="167"/>
      <c r="II38" s="167"/>
      <c r="IJ38" s="400">
        <v>368597</v>
      </c>
      <c r="IK38" s="167">
        <v>326323</v>
      </c>
      <c r="IL38" s="167"/>
      <c r="IM38" s="167">
        <v>24557</v>
      </c>
      <c r="IN38" s="167">
        <v>12938</v>
      </c>
      <c r="IO38" s="400">
        <v>369992</v>
      </c>
      <c r="IP38" s="167">
        <v>318488</v>
      </c>
      <c r="IQ38" s="167"/>
      <c r="IR38" s="167">
        <v>26508</v>
      </c>
      <c r="IS38" s="167">
        <v>28911</v>
      </c>
      <c r="IT38" s="1">
        <v>0</v>
      </c>
      <c r="IU38" s="1">
        <v>0</v>
      </c>
      <c r="IV38" s="1">
        <v>4792</v>
      </c>
      <c r="IW38" s="1">
        <v>24119</v>
      </c>
      <c r="IY38" s="636" t="s">
        <v>221</v>
      </c>
      <c r="IZ38" s="637" t="s">
        <v>221</v>
      </c>
      <c r="JA38" s="637" t="s">
        <v>221</v>
      </c>
      <c r="JB38" s="637" t="s">
        <v>221</v>
      </c>
      <c r="JC38" s="638" t="s">
        <v>221</v>
      </c>
      <c r="JD38" s="167">
        <v>86380</v>
      </c>
      <c r="JE38" s="167">
        <v>82731</v>
      </c>
      <c r="JF38" s="167">
        <v>708</v>
      </c>
      <c r="JG38" s="167">
        <v>2769</v>
      </c>
      <c r="JH38" s="409">
        <v>2941</v>
      </c>
      <c r="JI38" s="167">
        <v>110405</v>
      </c>
      <c r="JJ38" s="167">
        <v>103499</v>
      </c>
      <c r="JK38" s="167">
        <v>839</v>
      </c>
      <c r="JL38" s="167">
        <v>4198</v>
      </c>
      <c r="JM38" s="409">
        <v>6067</v>
      </c>
      <c r="JN38" s="167">
        <v>116921</v>
      </c>
      <c r="JO38" s="167">
        <v>106303</v>
      </c>
      <c r="JP38" s="167"/>
      <c r="JQ38" s="167">
        <v>5657</v>
      </c>
      <c r="JR38" s="167">
        <v>6419</v>
      </c>
      <c r="JS38" s="167">
        <v>137473</v>
      </c>
      <c r="JT38" s="167">
        <v>128628</v>
      </c>
      <c r="JU38" s="167">
        <v>757</v>
      </c>
      <c r="JV38" s="167">
        <v>7190</v>
      </c>
      <c r="JW38" s="409">
        <v>8088</v>
      </c>
      <c r="JX38" s="167">
        <v>139828.16899999999</v>
      </c>
      <c r="JY38" s="167">
        <v>130641.679</v>
      </c>
      <c r="JZ38" s="167"/>
      <c r="KA38" s="167">
        <v>7517.4299999999994</v>
      </c>
      <c r="KB38" s="409">
        <v>9186.4899999999907</v>
      </c>
      <c r="KC38" s="167">
        <v>140147</v>
      </c>
      <c r="KD38" s="167">
        <v>125697</v>
      </c>
      <c r="KE38" s="167">
        <v>850</v>
      </c>
      <c r="KF38" s="167">
        <v>8270</v>
      </c>
      <c r="KG38" s="631">
        <v>8500</v>
      </c>
      <c r="KH38" s="486">
        <v>140748</v>
      </c>
      <c r="KI38" s="486">
        <v>125771</v>
      </c>
      <c r="KJ38" s="486">
        <v>1130</v>
      </c>
      <c r="KK38" s="486">
        <v>8288</v>
      </c>
      <c r="KL38" s="486">
        <v>8795</v>
      </c>
      <c r="KM38" s="486">
        <v>150028</v>
      </c>
      <c r="KN38" s="486">
        <v>131490</v>
      </c>
      <c r="KO38" s="486">
        <v>1739</v>
      </c>
      <c r="KP38" s="486">
        <v>9994</v>
      </c>
      <c r="KQ38" s="486">
        <v>8656</v>
      </c>
      <c r="KR38" s="486">
        <v>144458</v>
      </c>
      <c r="KS38" s="486">
        <v>127792</v>
      </c>
      <c r="KT38" s="486">
        <v>0</v>
      </c>
      <c r="KU38" s="486">
        <v>8663</v>
      </c>
      <c r="KV38" s="486">
        <v>6535</v>
      </c>
      <c r="KW38" s="632">
        <v>143562</v>
      </c>
      <c r="KX38" s="486">
        <v>126724</v>
      </c>
      <c r="KY38" s="486">
        <v>0</v>
      </c>
      <c r="KZ38" s="486">
        <v>10684</v>
      </c>
      <c r="LA38" s="486">
        <v>5566</v>
      </c>
      <c r="LB38" s="654">
        <v>138511</v>
      </c>
      <c r="LC38" s="655">
        <v>122366</v>
      </c>
      <c r="LD38" s="655"/>
      <c r="LE38" s="655">
        <v>8703</v>
      </c>
      <c r="LF38" s="655">
        <v>6052</v>
      </c>
      <c r="LG38" s="654">
        <v>147893</v>
      </c>
      <c r="LH38" s="655"/>
      <c r="LI38" s="486"/>
      <c r="LJ38" s="486"/>
      <c r="LK38" s="486"/>
      <c r="LL38" s="654">
        <v>137539</v>
      </c>
      <c r="LM38" s="655">
        <v>122689</v>
      </c>
      <c r="LN38" s="655"/>
      <c r="LO38" s="655">
        <v>9545</v>
      </c>
      <c r="LP38" s="655">
        <v>4477</v>
      </c>
      <c r="LQ38" s="654">
        <v>146560</v>
      </c>
      <c r="LR38" s="655">
        <v>125506</v>
      </c>
      <c r="LS38" s="655"/>
      <c r="LT38" s="655">
        <v>10546</v>
      </c>
      <c r="LU38" s="655">
        <v>15512</v>
      </c>
      <c r="LV38" s="1">
        <v>0</v>
      </c>
      <c r="LW38" s="1">
        <v>0</v>
      </c>
      <c r="LX38" s="1">
        <v>1862</v>
      </c>
      <c r="LY38" s="1">
        <v>10940</v>
      </c>
      <c r="LZ38" s="1">
        <v>2710</v>
      </c>
      <c r="MA38" s="157">
        <v>19149</v>
      </c>
      <c r="MB38" s="158">
        <v>18280</v>
      </c>
      <c r="MC38" s="158">
        <v>176</v>
      </c>
      <c r="MD38" s="158">
        <v>605</v>
      </c>
      <c r="ME38" s="159">
        <v>693</v>
      </c>
      <c r="MF38" s="158">
        <v>25221</v>
      </c>
      <c r="MG38" s="158">
        <v>23729</v>
      </c>
      <c r="MH38" s="158">
        <v>162</v>
      </c>
      <c r="MI38" s="158">
        <v>851</v>
      </c>
      <c r="MJ38" s="159">
        <v>1330</v>
      </c>
      <c r="MK38" s="158">
        <v>31281</v>
      </c>
      <c r="ML38" s="158">
        <v>28699</v>
      </c>
      <c r="MM38" s="158"/>
      <c r="MN38" s="158">
        <v>1397</v>
      </c>
      <c r="MO38" s="158">
        <v>1627</v>
      </c>
      <c r="MP38" s="157">
        <v>36824</v>
      </c>
      <c r="MQ38" s="158">
        <v>34650</v>
      </c>
      <c r="MR38" s="158">
        <v>113</v>
      </c>
      <c r="MS38" s="158">
        <v>1534</v>
      </c>
      <c r="MT38" s="158">
        <v>2061</v>
      </c>
      <c r="MU38" s="157"/>
      <c r="MV38" s="158"/>
      <c r="MW38" s="158"/>
      <c r="MX38" s="158"/>
      <c r="MY38" s="159"/>
      <c r="MZ38" s="157">
        <v>38476</v>
      </c>
      <c r="NA38" s="158">
        <v>34882</v>
      </c>
      <c r="NB38" s="158">
        <v>197</v>
      </c>
      <c r="NC38" s="158">
        <v>2021</v>
      </c>
      <c r="ND38" s="159">
        <v>2248</v>
      </c>
      <c r="NE38" s="3">
        <v>38294</v>
      </c>
      <c r="NF38" s="3">
        <v>34680</v>
      </c>
      <c r="NG38" s="3">
        <v>248</v>
      </c>
      <c r="NH38" s="3">
        <v>2146</v>
      </c>
      <c r="NI38" s="3">
        <v>2123</v>
      </c>
      <c r="NJ38" s="3">
        <v>41611</v>
      </c>
      <c r="NK38" s="3">
        <v>34476</v>
      </c>
      <c r="NL38" s="3">
        <v>787</v>
      </c>
      <c r="NM38" s="3">
        <v>3945</v>
      </c>
      <c r="NN38" s="3">
        <v>5834</v>
      </c>
      <c r="NO38" s="3">
        <v>42212</v>
      </c>
      <c r="NP38" s="3">
        <v>36151</v>
      </c>
      <c r="NQ38" s="3">
        <v>0</v>
      </c>
      <c r="NR38" s="3">
        <v>2786</v>
      </c>
      <c r="NS38" s="3">
        <v>1897</v>
      </c>
      <c r="NT38" s="3">
        <v>45601</v>
      </c>
      <c r="NU38" s="3">
        <v>40637</v>
      </c>
      <c r="NV38" s="3">
        <v>0</v>
      </c>
      <c r="NW38" s="3">
        <v>3403</v>
      </c>
      <c r="NX38" s="3">
        <v>1433</v>
      </c>
      <c r="NY38" s="10">
        <v>40340</v>
      </c>
      <c r="NZ38" s="3">
        <v>35771</v>
      </c>
      <c r="OA38" s="3"/>
      <c r="OB38" s="3">
        <v>2271</v>
      </c>
      <c r="OC38" s="3">
        <v>1063</v>
      </c>
      <c r="OD38" s="10">
        <v>44089</v>
      </c>
      <c r="OE38" s="3"/>
      <c r="OF38" s="3"/>
      <c r="OG38" s="3"/>
      <c r="OH38" s="3"/>
      <c r="OI38" s="10">
        <v>44034</v>
      </c>
      <c r="OJ38" s="3">
        <v>39515</v>
      </c>
      <c r="OK38" s="3"/>
      <c r="OL38" s="3">
        <v>3137</v>
      </c>
      <c r="OM38" s="3">
        <v>1379</v>
      </c>
      <c r="ON38" s="10">
        <v>48945</v>
      </c>
      <c r="OO38" s="3">
        <v>40289</v>
      </c>
      <c r="OP38" s="3">
        <v>0</v>
      </c>
      <c r="OQ38" s="3">
        <v>4911</v>
      </c>
      <c r="OR38" s="3"/>
      <c r="OS38" s="1">
        <v>0</v>
      </c>
      <c r="OT38" s="1">
        <v>0</v>
      </c>
      <c r="OU38" s="1">
        <v>438</v>
      </c>
      <c r="OV38" s="1">
        <v>4647</v>
      </c>
      <c r="OW38" s="1">
        <v>1219</v>
      </c>
      <c r="OX38" s="402">
        <f t="shared" si="499"/>
        <v>55503</v>
      </c>
      <c r="OY38" s="382">
        <f t="shared" si="500"/>
        <v>53925</v>
      </c>
      <c r="OZ38" s="382">
        <f t="shared" si="501"/>
        <v>1031</v>
      </c>
      <c r="PA38" s="382">
        <f t="shared" si="502"/>
        <v>6529</v>
      </c>
      <c r="PB38" s="382">
        <f t="shared" si="503"/>
        <v>1303</v>
      </c>
      <c r="PC38" s="402">
        <f t="shared" si="504"/>
        <v>94383</v>
      </c>
      <c r="PD38" s="382">
        <f t="shared" si="505"/>
        <v>90371</v>
      </c>
      <c r="PE38" s="382">
        <f t="shared" si="506"/>
        <v>493</v>
      </c>
      <c r="PF38" s="382">
        <f t="shared" si="507"/>
        <v>2087</v>
      </c>
      <c r="PG38" s="382">
        <f t="shared" si="508"/>
        <v>3519</v>
      </c>
      <c r="PH38" s="157">
        <v>109591</v>
      </c>
      <c r="PI38" s="158">
        <v>104668</v>
      </c>
      <c r="PJ38" s="158">
        <v>438</v>
      </c>
      <c r="PK38" s="158">
        <v>3324</v>
      </c>
      <c r="PL38" s="158">
        <v>4485</v>
      </c>
      <c r="PM38" s="158">
        <v>109120</v>
      </c>
      <c r="PN38" s="158">
        <v>102324</v>
      </c>
      <c r="PO38" s="158"/>
      <c r="PP38" s="158">
        <v>3125</v>
      </c>
      <c r="PQ38" s="158">
        <v>4109</v>
      </c>
      <c r="PR38" s="400"/>
      <c r="PS38" s="167"/>
      <c r="PT38" s="167"/>
      <c r="PU38" s="167"/>
      <c r="PV38" s="167"/>
      <c r="PW38" s="167">
        <v>130932</v>
      </c>
      <c r="PX38" s="167">
        <v>120633</v>
      </c>
      <c r="PY38" s="167">
        <v>548</v>
      </c>
      <c r="PZ38" s="167">
        <v>5503</v>
      </c>
      <c r="QA38" s="409">
        <v>6113</v>
      </c>
      <c r="QB38" s="167">
        <v>134601</v>
      </c>
      <c r="QC38" s="167">
        <v>123797</v>
      </c>
      <c r="QD38" s="167">
        <v>715</v>
      </c>
      <c r="QE38" s="167">
        <v>5437</v>
      </c>
      <c r="QF38" s="167">
        <v>6394</v>
      </c>
      <c r="QG38" s="167">
        <v>144944</v>
      </c>
      <c r="QH38" s="167">
        <v>130351</v>
      </c>
      <c r="QI38" s="167">
        <v>1507</v>
      </c>
      <c r="QJ38" s="167">
        <v>7313</v>
      </c>
      <c r="QK38" s="167">
        <v>5834</v>
      </c>
      <c r="QL38" s="400">
        <v>144246</v>
      </c>
      <c r="QM38" s="167">
        <v>130995</v>
      </c>
      <c r="QN38" s="167">
        <v>0</v>
      </c>
      <c r="QO38" s="167">
        <v>6731</v>
      </c>
      <c r="QP38" s="167">
        <v>3666</v>
      </c>
      <c r="QQ38" s="400">
        <v>151518</v>
      </c>
      <c r="QR38" s="167">
        <v>138052</v>
      </c>
      <c r="QS38" s="167">
        <v>0</v>
      </c>
      <c r="QT38" s="167">
        <v>6757</v>
      </c>
      <c r="QU38" s="167">
        <v>3873</v>
      </c>
      <c r="QV38" s="400">
        <v>147437</v>
      </c>
      <c r="QW38" s="167">
        <v>134318</v>
      </c>
      <c r="QX38" s="167"/>
      <c r="QY38" s="167">
        <v>6722</v>
      </c>
      <c r="QZ38" s="167">
        <v>3716</v>
      </c>
      <c r="RA38" s="400">
        <v>149672</v>
      </c>
      <c r="RB38" s="167"/>
      <c r="RC38" s="167"/>
      <c r="RD38" s="167"/>
      <c r="RE38" s="167"/>
      <c r="RF38" s="167">
        <v>157591</v>
      </c>
      <c r="RG38" s="167">
        <v>144534</v>
      </c>
      <c r="RH38" s="167"/>
      <c r="RI38" s="167">
        <v>6555</v>
      </c>
      <c r="RJ38" s="167">
        <v>3423</v>
      </c>
      <c r="RK38" s="167">
        <v>164563</v>
      </c>
      <c r="RL38" s="167">
        <v>142396</v>
      </c>
      <c r="RM38" s="167">
        <v>0</v>
      </c>
      <c r="RN38" s="167">
        <v>10772</v>
      </c>
      <c r="RO38" s="167">
        <v>11398</v>
      </c>
      <c r="RP38" s="1">
        <v>0</v>
      </c>
      <c r="RQ38" s="1">
        <v>0</v>
      </c>
      <c r="RR38" s="1">
        <v>1194</v>
      </c>
      <c r="RS38" s="1">
        <v>10204</v>
      </c>
      <c r="RU38" s="157">
        <v>36354</v>
      </c>
      <c r="RV38" s="158">
        <v>35645</v>
      </c>
      <c r="RW38" s="158">
        <v>99</v>
      </c>
      <c r="RX38" s="158">
        <v>367</v>
      </c>
      <c r="RY38" s="158">
        <v>610</v>
      </c>
      <c r="RZ38" s="157">
        <v>47066</v>
      </c>
      <c r="SA38" s="158">
        <v>45464</v>
      </c>
      <c r="SB38" s="158">
        <v>193</v>
      </c>
      <c r="SC38" s="158">
        <v>822</v>
      </c>
      <c r="SD38" s="158">
        <v>1409</v>
      </c>
      <c r="SE38" s="157">
        <v>52383</v>
      </c>
      <c r="SF38" s="158">
        <v>49590</v>
      </c>
      <c r="SG38" s="158"/>
      <c r="SH38" s="158">
        <v>1167</v>
      </c>
      <c r="SI38" s="158">
        <v>1658</v>
      </c>
      <c r="SJ38" s="157">
        <v>56840</v>
      </c>
      <c r="SK38" s="158">
        <v>54784</v>
      </c>
      <c r="SL38" s="158">
        <v>213</v>
      </c>
      <c r="SM38" s="158">
        <v>1299</v>
      </c>
      <c r="SN38" s="158">
        <v>1843</v>
      </c>
      <c r="SO38" s="157">
        <v>59714.417000000001</v>
      </c>
      <c r="SP38" s="158">
        <v>57220.366000000002</v>
      </c>
      <c r="SQ38" s="158"/>
      <c r="SR38" s="158">
        <v>1786.3200000000002</v>
      </c>
      <c r="SS38" s="158">
        <v>2494.0509999999995</v>
      </c>
      <c r="ST38" s="157">
        <v>61447</v>
      </c>
      <c r="SU38" s="158">
        <v>57105</v>
      </c>
      <c r="SV38" s="158">
        <v>182</v>
      </c>
      <c r="SW38" s="158">
        <v>2550</v>
      </c>
      <c r="SX38" s="158">
        <v>2265</v>
      </c>
      <c r="SY38" s="158">
        <v>64705</v>
      </c>
      <c r="SZ38" s="158">
        <v>59593</v>
      </c>
      <c r="TA38" s="158">
        <v>365</v>
      </c>
      <c r="TB38" s="158">
        <v>2514</v>
      </c>
      <c r="TC38" s="158">
        <v>2839</v>
      </c>
      <c r="TD38" s="3">
        <v>69557</v>
      </c>
      <c r="TE38" s="158">
        <v>64629</v>
      </c>
      <c r="TF38" s="158">
        <v>517</v>
      </c>
      <c r="TG38" s="158">
        <v>2947</v>
      </c>
      <c r="TH38" s="158">
        <v>1734</v>
      </c>
      <c r="TI38" s="158">
        <v>67108</v>
      </c>
      <c r="TJ38" s="158">
        <v>62786</v>
      </c>
      <c r="TK38" s="158">
        <v>0</v>
      </c>
      <c r="TL38" s="158">
        <v>2120</v>
      </c>
      <c r="TM38" s="158">
        <v>1342</v>
      </c>
      <c r="TN38" s="158">
        <v>67845</v>
      </c>
      <c r="TO38" s="158">
        <v>62818</v>
      </c>
      <c r="TP38" s="158">
        <v>0</v>
      </c>
      <c r="TQ38" s="158">
        <v>2278</v>
      </c>
      <c r="TR38" s="158">
        <v>1385</v>
      </c>
      <c r="TS38" s="157">
        <v>67312</v>
      </c>
      <c r="TT38" s="158">
        <v>61904</v>
      </c>
      <c r="TU38" s="158"/>
      <c r="TV38" s="158">
        <v>2970</v>
      </c>
      <c r="TW38" s="158">
        <v>1854</v>
      </c>
      <c r="TX38" s="157">
        <v>66449</v>
      </c>
      <c r="TY38" s="158"/>
      <c r="TZ38" s="158"/>
      <c r="UA38" s="158"/>
      <c r="UB38" s="158"/>
      <c r="UC38" s="157">
        <v>73183</v>
      </c>
      <c r="UD38" s="158">
        <v>66761</v>
      </c>
      <c r="UE38" s="158"/>
      <c r="UF38" s="158">
        <v>2550</v>
      </c>
      <c r="UG38" s="158">
        <v>1314</v>
      </c>
      <c r="UH38" s="157">
        <v>73255</v>
      </c>
      <c r="UI38" s="158">
        <v>64895</v>
      </c>
      <c r="UJ38" s="158">
        <v>0</v>
      </c>
      <c r="UK38" s="158">
        <v>4291</v>
      </c>
      <c r="UL38" s="158">
        <v>4422</v>
      </c>
      <c r="UM38" s="1">
        <v>0</v>
      </c>
      <c r="UN38" s="1">
        <v>0</v>
      </c>
      <c r="UO38" s="1">
        <v>420</v>
      </c>
      <c r="UP38" s="1">
        <v>4002</v>
      </c>
      <c r="UR38" s="591">
        <f t="shared" si="509"/>
        <v>15037</v>
      </c>
      <c r="US38" s="162">
        <v>9127</v>
      </c>
      <c r="UT38" s="162">
        <v>5910</v>
      </c>
      <c r="UU38" s="591">
        <f t="shared" si="510"/>
        <v>47</v>
      </c>
      <c r="UV38" s="162">
        <v>30</v>
      </c>
      <c r="UW38" s="162">
        <v>17</v>
      </c>
      <c r="UX38" s="161">
        <v>20776</v>
      </c>
      <c r="UY38" s="591">
        <f t="shared" si="511"/>
        <v>12037</v>
      </c>
      <c r="UZ38" s="591">
        <f t="shared" si="512"/>
        <v>8739</v>
      </c>
      <c r="VA38" s="591">
        <f t="shared" si="513"/>
        <v>20525</v>
      </c>
      <c r="VB38" s="162">
        <v>11893</v>
      </c>
      <c r="VC38" s="162">
        <v>8632</v>
      </c>
      <c r="VD38" s="591">
        <f t="shared" si="514"/>
        <v>43</v>
      </c>
      <c r="VE38" s="162">
        <v>23</v>
      </c>
      <c r="VF38" s="162">
        <v>20</v>
      </c>
      <c r="VG38" s="591">
        <f t="shared" si="515"/>
        <v>208</v>
      </c>
      <c r="VH38" s="162">
        <v>121</v>
      </c>
      <c r="VI38" s="162">
        <v>87</v>
      </c>
      <c r="VJ38" s="161">
        <v>43767</v>
      </c>
      <c r="VK38" s="591">
        <f t="shared" si="516"/>
        <v>26280</v>
      </c>
      <c r="VL38" s="591">
        <f t="shared" si="517"/>
        <v>17487</v>
      </c>
      <c r="VM38" s="255">
        <f t="shared" si="518"/>
        <v>42720</v>
      </c>
      <c r="VN38" s="162">
        <v>25644</v>
      </c>
      <c r="VO38" s="162">
        <v>17076</v>
      </c>
      <c r="VP38" s="162">
        <v>636</v>
      </c>
      <c r="VQ38" s="162">
        <v>411</v>
      </c>
      <c r="VR38" s="255">
        <f t="shared" si="519"/>
        <v>133</v>
      </c>
      <c r="VS38" s="162">
        <v>98</v>
      </c>
      <c r="VT38" s="162">
        <v>35</v>
      </c>
      <c r="VU38" s="255">
        <f t="shared" si="520"/>
        <v>404</v>
      </c>
      <c r="VV38" s="162">
        <v>282</v>
      </c>
      <c r="VW38" s="162">
        <v>122</v>
      </c>
      <c r="VX38" s="246">
        <f t="shared" si="521"/>
        <v>510</v>
      </c>
      <c r="VY38" s="246">
        <f t="shared" si="522"/>
        <v>256</v>
      </c>
      <c r="VZ38" s="246">
        <f t="shared" si="523"/>
        <v>254</v>
      </c>
      <c r="WA38" s="247">
        <f t="shared" si="524"/>
        <v>55</v>
      </c>
      <c r="WB38" s="247">
        <f t="shared" si="525"/>
        <v>22</v>
      </c>
      <c r="WC38" s="247">
        <f t="shared" si="526"/>
        <v>33</v>
      </c>
      <c r="WD38" s="162">
        <v>455</v>
      </c>
      <c r="WE38" s="162">
        <v>234</v>
      </c>
      <c r="WF38" s="162">
        <v>221</v>
      </c>
      <c r="WG38" s="163">
        <f t="shared" si="527"/>
        <v>36354</v>
      </c>
      <c r="WH38" s="591">
        <f t="shared" si="528"/>
        <v>28963</v>
      </c>
      <c r="WI38" s="591">
        <f t="shared" si="529"/>
        <v>23232</v>
      </c>
      <c r="WJ38" s="164">
        <f t="shared" si="530"/>
        <v>35645</v>
      </c>
      <c r="WK38" s="165">
        <f t="shared" si="531"/>
        <v>50710</v>
      </c>
      <c r="WL38" s="162">
        <v>28089</v>
      </c>
      <c r="WM38" s="162">
        <v>22621</v>
      </c>
      <c r="WN38" s="162">
        <v>874</v>
      </c>
      <c r="WO38" s="162">
        <v>611</v>
      </c>
      <c r="WP38" s="164">
        <f t="shared" si="532"/>
        <v>855</v>
      </c>
      <c r="WQ38" s="165">
        <f t="shared" si="533"/>
        <v>147</v>
      </c>
      <c r="WR38" s="162">
        <v>90</v>
      </c>
      <c r="WS38" s="162">
        <v>57</v>
      </c>
      <c r="WT38" s="164">
        <f t="shared" si="534"/>
        <v>591</v>
      </c>
      <c r="WU38" s="162">
        <v>371</v>
      </c>
      <c r="WV38" s="162">
        <v>220</v>
      </c>
      <c r="WW38" s="166">
        <f t="shared" si="535"/>
        <v>610</v>
      </c>
      <c r="WX38" s="248">
        <f t="shared" si="536"/>
        <v>413</v>
      </c>
      <c r="WY38" s="248">
        <f t="shared" si="537"/>
        <v>334</v>
      </c>
      <c r="WZ38" s="249">
        <f t="shared" si="538"/>
        <v>27</v>
      </c>
      <c r="XA38" s="249">
        <f t="shared" si="539"/>
        <v>2</v>
      </c>
      <c r="XB38" s="249">
        <f t="shared" si="540"/>
        <v>25</v>
      </c>
      <c r="XC38" s="592">
        <f t="shared" si="541"/>
        <v>720</v>
      </c>
      <c r="XD38" s="592">
        <f t="shared" si="542"/>
        <v>411</v>
      </c>
      <c r="XE38" s="592">
        <f t="shared" si="543"/>
        <v>309</v>
      </c>
      <c r="XF38" s="162">
        <v>150</v>
      </c>
      <c r="XG38" s="162">
        <v>134</v>
      </c>
      <c r="XH38" s="162">
        <v>261</v>
      </c>
      <c r="XI38" s="162">
        <v>175</v>
      </c>
      <c r="XJ38" s="593">
        <v>69162</v>
      </c>
      <c r="XK38" s="162">
        <v>35983</v>
      </c>
      <c r="XL38" s="162">
        <v>33179</v>
      </c>
      <c r="XM38" s="167">
        <f t="shared" si="544"/>
        <v>66642</v>
      </c>
      <c r="XN38" s="167">
        <v>34795</v>
      </c>
      <c r="XO38" s="167">
        <v>31847</v>
      </c>
      <c r="XP38" s="168">
        <f t="shared" si="545"/>
        <v>65839</v>
      </c>
      <c r="XQ38" s="162">
        <v>34342</v>
      </c>
      <c r="XR38" s="162">
        <v>31497</v>
      </c>
      <c r="XS38" s="167">
        <f t="shared" si="546"/>
        <v>331</v>
      </c>
      <c r="XT38" s="162">
        <v>222</v>
      </c>
      <c r="XU38" s="162">
        <v>109</v>
      </c>
      <c r="XV38" s="167">
        <f t="shared" si="547"/>
        <v>1236</v>
      </c>
      <c r="XW38" s="162">
        <v>628</v>
      </c>
      <c r="XX38" s="162">
        <v>608</v>
      </c>
      <c r="XY38" s="168">
        <f t="shared" si="548"/>
        <v>2189</v>
      </c>
      <c r="XZ38" s="168">
        <f t="shared" si="549"/>
        <v>966</v>
      </c>
      <c r="YA38" s="168">
        <f t="shared" si="550"/>
        <v>1223</v>
      </c>
      <c r="YB38" s="594">
        <v>77839</v>
      </c>
      <c r="YC38" s="162">
        <v>73625</v>
      </c>
      <c r="YD38" s="162"/>
      <c r="YE38" s="162">
        <v>1728</v>
      </c>
      <c r="YF38" s="167">
        <v>2482</v>
      </c>
      <c r="YG38" s="157">
        <v>79817</v>
      </c>
      <c r="YH38" s="158">
        <v>76773</v>
      </c>
      <c r="YI38" s="158">
        <v>207</v>
      </c>
      <c r="YJ38" s="158">
        <v>2837</v>
      </c>
      <c r="YK38" s="158">
        <v>1870</v>
      </c>
      <c r="YL38" s="157">
        <v>81632</v>
      </c>
      <c r="YM38" s="158">
        <v>78494</v>
      </c>
      <c r="YN38" s="158">
        <v>457</v>
      </c>
      <c r="YO38" s="158">
        <v>2681</v>
      </c>
      <c r="YP38" s="158">
        <v>2266</v>
      </c>
      <c r="YQ38" s="157">
        <v>86060</v>
      </c>
      <c r="YR38" s="158">
        <v>82524</v>
      </c>
      <c r="YS38" s="158">
        <v>405</v>
      </c>
      <c r="YT38" s="158">
        <v>3131</v>
      </c>
      <c r="YU38" s="158">
        <v>2296</v>
      </c>
      <c r="YV38" s="157">
        <v>90127.97099999999</v>
      </c>
      <c r="YW38" s="158">
        <v>85830.548999999999</v>
      </c>
      <c r="YX38" s="158"/>
      <c r="YY38" s="158">
        <v>2828.34</v>
      </c>
      <c r="YZ38" s="158">
        <v>4297.4219999999914</v>
      </c>
      <c r="ZA38" s="158">
        <v>92456</v>
      </c>
      <c r="ZB38" s="158">
        <v>85751</v>
      </c>
      <c r="ZC38" s="158">
        <v>351</v>
      </c>
      <c r="ZD38" s="158">
        <v>3482</v>
      </c>
      <c r="ZE38" s="1">
        <v>3865</v>
      </c>
      <c r="ZF38" s="1">
        <v>96307</v>
      </c>
      <c r="ZG38" s="1">
        <v>89117</v>
      </c>
      <c r="ZH38" s="1">
        <v>467</v>
      </c>
      <c r="ZI38" s="1">
        <v>3291</v>
      </c>
      <c r="ZJ38" s="1">
        <v>4271</v>
      </c>
      <c r="ZK38" s="1">
        <v>103333</v>
      </c>
      <c r="ZL38" s="1">
        <v>95875</v>
      </c>
      <c r="ZM38" s="1">
        <v>720</v>
      </c>
      <c r="ZN38" s="1">
        <v>3368</v>
      </c>
      <c r="ZO38" s="1">
        <v>2493</v>
      </c>
      <c r="ZP38" s="1">
        <v>102034</v>
      </c>
      <c r="ZQ38" s="1">
        <v>94844</v>
      </c>
      <c r="ZR38" s="1">
        <v>0</v>
      </c>
      <c r="ZS38" s="1">
        <v>3945</v>
      </c>
      <c r="ZT38" s="1">
        <v>1769</v>
      </c>
      <c r="ZU38" s="1">
        <v>105917</v>
      </c>
      <c r="ZV38" s="1">
        <v>97415</v>
      </c>
      <c r="ZW38" s="1"/>
      <c r="ZX38" s="1">
        <v>3354</v>
      </c>
      <c r="ZY38" s="1">
        <v>2440</v>
      </c>
      <c r="ZZ38" s="394"/>
      <c r="AAA38" s="1">
        <v>0</v>
      </c>
      <c r="AAB38" s="1">
        <v>1081</v>
      </c>
      <c r="AAC38" s="1">
        <v>1359</v>
      </c>
      <c r="AAE38" s="50">
        <v>107097</v>
      </c>
      <c r="AAF38" s="1">
        <v>98547</v>
      </c>
      <c r="AAG38" s="1"/>
      <c r="AAH38" s="1">
        <v>4451</v>
      </c>
      <c r="AAI38" s="1">
        <v>2653</v>
      </c>
      <c r="AAJ38" s="50">
        <v>105583</v>
      </c>
      <c r="AAK38" s="1"/>
      <c r="AAL38" s="1"/>
      <c r="AAM38" s="1"/>
      <c r="AAN38" s="1"/>
      <c r="AAO38" s="68">
        <v>113557</v>
      </c>
      <c r="AAP38" s="37">
        <v>105019</v>
      </c>
      <c r="AAQ38" s="37"/>
      <c r="AAR38" s="37">
        <v>3418</v>
      </c>
      <c r="AAS38" s="37">
        <v>2044</v>
      </c>
      <c r="AAT38" s="68">
        <v>115618</v>
      </c>
      <c r="AAU38" s="37">
        <v>102107</v>
      </c>
      <c r="AAV38" s="37">
        <v>0</v>
      </c>
      <c r="AAW38" s="37">
        <v>5861</v>
      </c>
      <c r="AAX38" s="37">
        <v>6313</v>
      </c>
      <c r="AAY38" s="1">
        <v>0</v>
      </c>
      <c r="AAZ38" s="1">
        <v>0</v>
      </c>
      <c r="ABA38" s="1">
        <v>756</v>
      </c>
      <c r="ABB38" s="1">
        <v>5557</v>
      </c>
      <c r="ABD38" s="157">
        <v>22096</v>
      </c>
      <c r="ABE38" s="158">
        <v>21178</v>
      </c>
      <c r="ABF38" s="158">
        <v>138</v>
      </c>
      <c r="ABG38" s="158">
        <v>414</v>
      </c>
      <c r="ABH38" s="158">
        <v>780</v>
      </c>
      <c r="ABI38" s="157">
        <v>25456</v>
      </c>
      <c r="ABJ38" s="158">
        <v>24035</v>
      </c>
      <c r="ABK38" s="158"/>
      <c r="ABL38" s="158">
        <v>561</v>
      </c>
      <c r="ABM38" s="158">
        <v>824</v>
      </c>
      <c r="ABN38" s="157">
        <v>29220</v>
      </c>
      <c r="ABO38" s="158">
        <v>27740</v>
      </c>
      <c r="ABP38" s="158">
        <v>192</v>
      </c>
      <c r="ABQ38" s="158">
        <v>997</v>
      </c>
      <c r="ABR38" s="158">
        <v>1288</v>
      </c>
      <c r="ABS38" s="157">
        <v>30413.553999999996</v>
      </c>
      <c r="ABT38" s="158">
        <v>28610.183000000001</v>
      </c>
      <c r="ABU38" s="158"/>
      <c r="ABV38" s="158">
        <v>1042.02</v>
      </c>
      <c r="ABW38" s="159">
        <v>1803.3709999999955</v>
      </c>
      <c r="ABX38" s="2">
        <v>31009</v>
      </c>
      <c r="ABY38" s="2">
        <v>28646</v>
      </c>
      <c r="ABZ38" s="2">
        <v>169</v>
      </c>
      <c r="ACA38" s="2">
        <v>932</v>
      </c>
      <c r="ACB38" s="137">
        <v>1600</v>
      </c>
      <c r="ACC38" s="1">
        <v>31602</v>
      </c>
      <c r="ACD38" s="1">
        <v>29524</v>
      </c>
      <c r="ACE38" s="1">
        <v>102</v>
      </c>
      <c r="ACF38" s="1">
        <v>777</v>
      </c>
      <c r="ACG38" s="1">
        <v>1432</v>
      </c>
      <c r="ACH38" s="1">
        <v>33776</v>
      </c>
      <c r="ACI38" s="1">
        <v>31246</v>
      </c>
      <c r="ACJ38" s="1">
        <v>203</v>
      </c>
      <c r="ACK38" s="1">
        <v>421</v>
      </c>
      <c r="ACL38" s="1">
        <v>759</v>
      </c>
      <c r="ACM38" s="1">
        <v>34926</v>
      </c>
      <c r="ACN38" s="1">
        <v>32058</v>
      </c>
      <c r="ACO38" s="1">
        <v>0</v>
      </c>
      <c r="ACP38" s="1">
        <v>1825</v>
      </c>
      <c r="ACQ38" s="1">
        <v>427</v>
      </c>
      <c r="ACR38" s="1">
        <v>38072</v>
      </c>
      <c r="ACS38" s="1">
        <v>34597</v>
      </c>
      <c r="ACU38" s="1">
        <v>1076</v>
      </c>
      <c r="ACV38" s="1">
        <v>1055</v>
      </c>
      <c r="ADB38" s="50">
        <v>39785</v>
      </c>
      <c r="ADC38" s="1">
        <v>36643</v>
      </c>
      <c r="ADE38" s="1">
        <v>1481</v>
      </c>
      <c r="ADF38" s="1">
        <v>799</v>
      </c>
      <c r="ADG38" s="50">
        <v>39134</v>
      </c>
      <c r="ADL38" s="50">
        <v>40374</v>
      </c>
      <c r="ADM38" s="1">
        <v>38258</v>
      </c>
      <c r="ADO38" s="1">
        <v>868</v>
      </c>
      <c r="ADP38" s="1">
        <v>730</v>
      </c>
      <c r="ADQ38" s="50">
        <v>42363</v>
      </c>
      <c r="ADR38" s="1">
        <v>37212</v>
      </c>
      <c r="ADS38" s="1">
        <v>0</v>
      </c>
      <c r="ADT38" s="1">
        <v>1570</v>
      </c>
      <c r="ADU38" s="1">
        <v>1891</v>
      </c>
      <c r="ADV38" s="1">
        <v>0</v>
      </c>
      <c r="ADW38" s="1">
        <v>0</v>
      </c>
      <c r="ADX38" s="1">
        <v>336</v>
      </c>
      <c r="ADY38" s="1">
        <v>1555</v>
      </c>
    </row>
    <row r="39" spans="1:806">
      <c r="A39" s="142" t="s">
        <v>38</v>
      </c>
      <c r="B39" s="174" t="s">
        <v>221</v>
      </c>
      <c r="C39" s="175" t="s">
        <v>221</v>
      </c>
      <c r="D39" s="175" t="s">
        <v>221</v>
      </c>
      <c r="E39" s="175" t="s">
        <v>221</v>
      </c>
      <c r="F39" s="176" t="s">
        <v>221</v>
      </c>
      <c r="G39" s="181">
        <f>SUM(G41:G52)</f>
        <v>3444271</v>
      </c>
      <c r="H39" s="181">
        <f t="shared" ref="H39:U39" si="551">SUM(H41:H52)</f>
        <v>2915659</v>
      </c>
      <c r="I39" s="181">
        <f t="shared" si="551"/>
        <v>331537</v>
      </c>
      <c r="J39" s="181">
        <f t="shared" si="551"/>
        <v>225404</v>
      </c>
      <c r="K39" s="182">
        <f t="shared" si="551"/>
        <v>197075</v>
      </c>
      <c r="L39" s="181">
        <f>SUM(L41:L52)</f>
        <v>2340643</v>
      </c>
      <c r="M39" s="181">
        <f t="shared" si="551"/>
        <v>1775927</v>
      </c>
      <c r="N39" s="181">
        <f t="shared" si="551"/>
        <v>213373</v>
      </c>
      <c r="O39" s="181">
        <f t="shared" si="551"/>
        <v>389575</v>
      </c>
      <c r="P39" s="182">
        <f t="shared" si="551"/>
        <v>327727</v>
      </c>
      <c r="Q39" s="181">
        <f>SUM(Q41:Q52)</f>
        <v>1976259</v>
      </c>
      <c r="R39" s="181">
        <f t="shared" si="551"/>
        <v>1196833</v>
      </c>
      <c r="S39" s="181">
        <f t="shared" si="551"/>
        <v>182066</v>
      </c>
      <c r="T39" s="181">
        <f t="shared" si="551"/>
        <v>502141</v>
      </c>
      <c r="U39" s="182">
        <f t="shared" si="551"/>
        <v>385422</v>
      </c>
      <c r="V39" s="253">
        <f>SUM(V41:V52)</f>
        <v>1858873</v>
      </c>
      <c r="W39" s="253">
        <f t="shared" ref="W39:Z39" si="552">SUM(W41:W52)</f>
        <v>1343525</v>
      </c>
      <c r="X39" s="253">
        <f t="shared" si="552"/>
        <v>176604</v>
      </c>
      <c r="Y39" s="253">
        <f t="shared" si="552"/>
        <v>525308</v>
      </c>
      <c r="Z39" s="397">
        <f t="shared" si="552"/>
        <v>338744</v>
      </c>
      <c r="AA39" s="253">
        <f>SUM(AA41:AA52)</f>
        <v>1771314</v>
      </c>
      <c r="AB39" s="253">
        <f t="shared" ref="AB39:AC39" si="553">SUM(AB41:AB52)</f>
        <v>959561</v>
      </c>
      <c r="AC39" s="253">
        <f t="shared" si="553"/>
        <v>165541</v>
      </c>
      <c r="AD39" s="253">
        <f t="shared" ref="AD39" si="554">SUM(AD41:AD52)</f>
        <v>529842</v>
      </c>
      <c r="AE39" s="253">
        <f t="shared" ref="AE39:AP39" si="555">SUM(AE41:AE52)</f>
        <v>341686</v>
      </c>
      <c r="AF39" s="532">
        <f t="shared" si="555"/>
        <v>1750012</v>
      </c>
      <c r="AG39" s="397">
        <f t="shared" si="555"/>
        <v>925479</v>
      </c>
      <c r="AH39" s="397">
        <f t="shared" si="555"/>
        <v>162261</v>
      </c>
      <c r="AI39" s="397">
        <f t="shared" si="555"/>
        <v>541648</v>
      </c>
      <c r="AJ39" s="397">
        <f t="shared" si="555"/>
        <v>350764</v>
      </c>
      <c r="AK39" s="397">
        <f t="shared" si="555"/>
        <v>1661064</v>
      </c>
      <c r="AL39" s="253">
        <f t="shared" si="555"/>
        <v>851763</v>
      </c>
      <c r="AM39" s="253">
        <f t="shared" si="555"/>
        <v>153382</v>
      </c>
      <c r="AN39" s="253">
        <f t="shared" si="555"/>
        <v>531438</v>
      </c>
      <c r="AO39" s="253">
        <f t="shared" si="555"/>
        <v>341992</v>
      </c>
      <c r="AP39" s="397">
        <f t="shared" si="555"/>
        <v>1654332</v>
      </c>
      <c r="AQ39" s="397">
        <f t="shared" ref="AQ39:AU39" si="556">SUM(AQ41:AQ52)</f>
        <v>815686</v>
      </c>
      <c r="AR39" s="397">
        <f t="shared" si="556"/>
        <v>152677</v>
      </c>
      <c r="AS39" s="397">
        <f t="shared" si="556"/>
        <v>552431</v>
      </c>
      <c r="AT39" s="253">
        <f t="shared" si="556"/>
        <v>357848</v>
      </c>
      <c r="AU39" s="535">
        <f t="shared" si="556"/>
        <v>1594288</v>
      </c>
      <c r="AV39" s="253">
        <f t="shared" ref="AV39:CB39" si="557">SUM(AV41:AV52)</f>
        <v>779160</v>
      </c>
      <c r="AW39" s="253">
        <f t="shared" si="557"/>
        <v>142997</v>
      </c>
      <c r="AX39" s="253">
        <f t="shared" si="557"/>
        <v>523993</v>
      </c>
      <c r="AY39" s="253">
        <f t="shared" si="557"/>
        <v>386406</v>
      </c>
      <c r="AZ39" s="253">
        <f t="shared" si="557"/>
        <v>119976</v>
      </c>
      <c r="BA39" s="253">
        <f t="shared" si="557"/>
        <v>0</v>
      </c>
      <c r="BB39" s="253">
        <f t="shared" si="557"/>
        <v>13594</v>
      </c>
      <c r="BC39" s="253">
        <f t="shared" si="557"/>
        <v>23200</v>
      </c>
      <c r="BD39" s="253">
        <f t="shared" si="557"/>
        <v>229636</v>
      </c>
      <c r="BE39" s="535">
        <f t="shared" si="557"/>
        <v>1553368</v>
      </c>
      <c r="BF39" s="253">
        <f t="shared" si="557"/>
        <v>745655</v>
      </c>
      <c r="BG39" s="253">
        <f t="shared" si="557"/>
        <v>148727</v>
      </c>
      <c r="BH39" s="253">
        <f t="shared" si="557"/>
        <v>525963</v>
      </c>
      <c r="BI39" s="253">
        <f t="shared" si="557"/>
        <v>358786</v>
      </c>
      <c r="BJ39" s="535">
        <f t="shared" si="557"/>
        <v>1523005</v>
      </c>
      <c r="BK39" s="253">
        <f t="shared" si="557"/>
        <v>0</v>
      </c>
      <c r="BL39" s="253">
        <f t="shared" si="557"/>
        <v>0</v>
      </c>
      <c r="BM39" s="253">
        <f t="shared" si="557"/>
        <v>0</v>
      </c>
      <c r="BN39" s="253">
        <f t="shared" si="557"/>
        <v>0</v>
      </c>
      <c r="BO39" s="535">
        <f t="shared" si="557"/>
        <v>1477434</v>
      </c>
      <c r="BP39" s="535">
        <f t="shared" si="557"/>
        <v>701362</v>
      </c>
      <c r="BQ39" s="535">
        <f t="shared" si="557"/>
        <v>150178</v>
      </c>
      <c r="BR39" s="535">
        <f t="shared" si="557"/>
        <v>477355</v>
      </c>
      <c r="BS39" s="535">
        <f t="shared" si="557"/>
        <v>342031</v>
      </c>
      <c r="BT39" s="535">
        <f t="shared" si="557"/>
        <v>1471169</v>
      </c>
      <c r="BU39" s="535">
        <f t="shared" si="557"/>
        <v>656767</v>
      </c>
      <c r="BV39" s="535">
        <f t="shared" si="557"/>
        <v>148659</v>
      </c>
      <c r="BW39" s="535">
        <f t="shared" si="557"/>
        <v>493371</v>
      </c>
      <c r="BX39" s="535">
        <f t="shared" si="557"/>
        <v>129020</v>
      </c>
      <c r="BY39" s="535">
        <f t="shared" si="557"/>
        <v>0</v>
      </c>
      <c r="BZ39" s="535">
        <f t="shared" si="557"/>
        <v>23346</v>
      </c>
      <c r="CA39" s="535">
        <f t="shared" si="557"/>
        <v>219825</v>
      </c>
      <c r="CB39" s="535">
        <f t="shared" si="557"/>
        <v>249185</v>
      </c>
      <c r="CC39" s="181">
        <f>SUM(CC41:CC52)</f>
        <v>5211675</v>
      </c>
      <c r="CD39" s="181">
        <f t="shared" ref="CD39:DK39" si="558">SUM(CD41:CD52)</f>
        <v>4304556</v>
      </c>
      <c r="CE39" s="181">
        <f t="shared" si="558"/>
        <v>760854</v>
      </c>
      <c r="CF39" s="181"/>
      <c r="CG39" s="181">
        <f t="shared" si="558"/>
        <v>146265</v>
      </c>
      <c r="CH39" s="181">
        <f t="shared" si="558"/>
        <v>4526647</v>
      </c>
      <c r="CI39" s="181">
        <f t="shared" si="558"/>
        <v>3494876</v>
      </c>
      <c r="CJ39" s="181">
        <f t="shared" si="558"/>
        <v>722698</v>
      </c>
      <c r="CK39" s="181">
        <f t="shared" si="558"/>
        <v>265201</v>
      </c>
      <c r="CL39" s="181">
        <f t="shared" si="558"/>
        <v>278166</v>
      </c>
      <c r="CM39" s="181">
        <f t="shared" si="558"/>
        <v>3724286</v>
      </c>
      <c r="CN39" s="181">
        <f t="shared" si="558"/>
        <v>2683808</v>
      </c>
      <c r="CO39" s="181">
        <f t="shared" si="558"/>
        <v>600953</v>
      </c>
      <c r="CP39" s="181">
        <f t="shared" si="558"/>
        <v>320467</v>
      </c>
      <c r="CQ39" s="181">
        <f t="shared" si="558"/>
        <v>297725</v>
      </c>
      <c r="CR39" s="181">
        <f t="shared" si="558"/>
        <v>3339080</v>
      </c>
      <c r="CS39" s="181">
        <f t="shared" si="558"/>
        <v>2512740</v>
      </c>
      <c r="CT39" s="181">
        <f t="shared" si="558"/>
        <v>558424</v>
      </c>
      <c r="CU39" s="181">
        <f t="shared" si="558"/>
        <v>351861</v>
      </c>
      <c r="CV39" s="181">
        <f t="shared" si="558"/>
        <v>267916</v>
      </c>
      <c r="CW39" s="181">
        <f t="shared" si="558"/>
        <v>3204925</v>
      </c>
      <c r="CX39" s="181">
        <f t="shared" si="558"/>
        <v>2174917</v>
      </c>
      <c r="CY39" s="181">
        <f t="shared" si="558"/>
        <v>545139</v>
      </c>
      <c r="CZ39" s="181">
        <f t="shared" si="558"/>
        <v>364255</v>
      </c>
      <c r="DA39" s="181">
        <f t="shared" si="558"/>
        <v>270133</v>
      </c>
      <c r="DB39" s="181">
        <f t="shared" si="558"/>
        <v>3128539</v>
      </c>
      <c r="DC39" s="181">
        <f t="shared" si="558"/>
        <v>2115030</v>
      </c>
      <c r="DD39" s="181">
        <f t="shared" si="558"/>
        <v>528958</v>
      </c>
      <c r="DE39" s="181">
        <f t="shared" si="558"/>
        <v>362530</v>
      </c>
      <c r="DF39" s="181">
        <f t="shared" si="558"/>
        <v>268398</v>
      </c>
      <c r="DG39" s="181">
        <f t="shared" si="558"/>
        <v>2987138</v>
      </c>
      <c r="DH39" s="181">
        <f t="shared" si="558"/>
        <v>1980423</v>
      </c>
      <c r="DI39" s="181">
        <f t="shared" si="558"/>
        <v>511225</v>
      </c>
      <c r="DJ39" s="181">
        <f t="shared" si="558"/>
        <v>367605</v>
      </c>
      <c r="DK39" s="181">
        <f t="shared" si="558"/>
        <v>272072</v>
      </c>
      <c r="DL39" s="182">
        <f t="shared" ref="DL39:EJ39" si="559">SUM(DL41:DL52)</f>
        <v>2937109</v>
      </c>
      <c r="DM39" s="182">
        <f t="shared" si="559"/>
        <v>1948235</v>
      </c>
      <c r="DN39" s="182">
        <f t="shared" si="559"/>
        <v>493566</v>
      </c>
      <c r="DO39" s="182">
        <f t="shared" si="559"/>
        <v>364083</v>
      </c>
      <c r="DP39" s="182">
        <f t="shared" si="559"/>
        <v>277166</v>
      </c>
      <c r="DQ39" s="181">
        <f t="shared" si="559"/>
        <v>2885475</v>
      </c>
      <c r="DR39" s="181">
        <f t="shared" si="559"/>
        <v>1901046</v>
      </c>
      <c r="DS39" s="181">
        <f t="shared" si="559"/>
        <v>488283</v>
      </c>
      <c r="DT39" s="181">
        <f t="shared" si="559"/>
        <v>363718</v>
      </c>
      <c r="DU39" s="181">
        <f t="shared" si="559"/>
        <v>283357</v>
      </c>
      <c r="DV39" s="377">
        <f t="shared" si="559"/>
        <v>2819112</v>
      </c>
      <c r="DW39" s="365">
        <f t="shared" si="559"/>
        <v>1816993</v>
      </c>
      <c r="DX39" s="365">
        <f t="shared" si="559"/>
        <v>486272</v>
      </c>
      <c r="DY39" s="365">
        <f t="shared" si="559"/>
        <v>382621</v>
      </c>
      <c r="DZ39" s="365">
        <f t="shared" si="559"/>
        <v>293125</v>
      </c>
      <c r="EA39" s="377">
        <f t="shared" si="559"/>
        <v>2735529</v>
      </c>
      <c r="EB39" s="365">
        <f t="shared" si="559"/>
        <v>0</v>
      </c>
      <c r="EC39" s="365">
        <f t="shared" si="559"/>
        <v>0</v>
      </c>
      <c r="ED39" s="365">
        <f t="shared" si="559"/>
        <v>0</v>
      </c>
      <c r="EE39" s="365">
        <f t="shared" si="559"/>
        <v>0</v>
      </c>
      <c r="EF39" s="377">
        <f t="shared" si="559"/>
        <v>2633610</v>
      </c>
      <c r="EG39" s="365">
        <f t="shared" si="559"/>
        <v>1701581</v>
      </c>
      <c r="EH39" s="365">
        <f t="shared" si="559"/>
        <v>450413</v>
      </c>
      <c r="EI39" s="365">
        <f t="shared" si="559"/>
        <v>347242</v>
      </c>
      <c r="EJ39" s="365">
        <f t="shared" si="559"/>
        <v>265782</v>
      </c>
      <c r="EK39" s="377">
        <f t="shared" ref="EK39:EX39" si="560">SUM(EK41:EK52)</f>
        <v>2633610</v>
      </c>
      <c r="EL39" s="365">
        <f t="shared" si="560"/>
        <v>1701581</v>
      </c>
      <c r="EM39" s="365">
        <f t="shared" si="560"/>
        <v>450413</v>
      </c>
      <c r="EN39" s="365">
        <f t="shared" si="560"/>
        <v>347242</v>
      </c>
      <c r="EO39" s="365">
        <f t="shared" si="560"/>
        <v>265782</v>
      </c>
      <c r="EP39" s="377">
        <f t="shared" si="560"/>
        <v>2375210</v>
      </c>
      <c r="EQ39" s="365">
        <f t="shared" si="560"/>
        <v>1468287</v>
      </c>
      <c r="ER39" s="365">
        <f t="shared" si="560"/>
        <v>402745</v>
      </c>
      <c r="ES39" s="365">
        <f t="shared" si="560"/>
        <v>334788</v>
      </c>
      <c r="ET39" s="365">
        <f t="shared" si="560"/>
        <v>59534</v>
      </c>
      <c r="EU39" s="365">
        <f t="shared" si="560"/>
        <v>0</v>
      </c>
      <c r="EV39" s="365">
        <f t="shared" si="560"/>
        <v>29918</v>
      </c>
      <c r="EW39" s="365">
        <f t="shared" si="560"/>
        <v>219007</v>
      </c>
      <c r="EX39" s="365">
        <f t="shared" si="560"/>
        <v>156422</v>
      </c>
      <c r="EY39" s="377">
        <f t="shared" ref="EY39:FC39" si="561">SUM(EY41:EY52)</f>
        <v>5099626</v>
      </c>
      <c r="EZ39" s="181">
        <f t="shared" si="561"/>
        <v>3756367</v>
      </c>
      <c r="FA39" s="181">
        <f t="shared" si="561"/>
        <v>724134</v>
      </c>
      <c r="FB39" s="181">
        <f t="shared" si="561"/>
        <v>888134</v>
      </c>
      <c r="FC39" s="181">
        <f t="shared" si="561"/>
        <v>619125</v>
      </c>
      <c r="FD39" s="174" t="s">
        <v>221</v>
      </c>
      <c r="FE39" s="175" t="s">
        <v>221</v>
      </c>
      <c r="FF39" s="175" t="s">
        <v>221</v>
      </c>
      <c r="FG39" s="175" t="s">
        <v>221</v>
      </c>
      <c r="FH39" s="174" t="s">
        <v>221</v>
      </c>
      <c r="FI39" s="175" t="s">
        <v>221</v>
      </c>
      <c r="FJ39" s="175" t="s">
        <v>221</v>
      </c>
      <c r="FK39" s="175" t="s">
        <v>221</v>
      </c>
      <c r="FL39" s="176" t="s">
        <v>221</v>
      </c>
      <c r="FM39" s="181">
        <f>SUM(FM41:FM52)</f>
        <v>29217060</v>
      </c>
      <c r="FN39" s="181">
        <f t="shared" ref="FN39:FQ39" si="562">SUM(FN41:FN52)</f>
        <v>26531485</v>
      </c>
      <c r="FO39" s="181">
        <f t="shared" si="562"/>
        <v>2055289</v>
      </c>
      <c r="FP39" s="181">
        <f t="shared" si="562"/>
        <v>417900</v>
      </c>
      <c r="FQ39" s="182">
        <f t="shared" si="562"/>
        <v>630286</v>
      </c>
      <c r="FR39" s="181">
        <f>SUM(FR41:FR52)</f>
        <v>34669717</v>
      </c>
      <c r="FS39" s="181">
        <f t="shared" ref="FS39:GK39" si="563">SUM(FS41:FS52)</f>
        <v>30518701</v>
      </c>
      <c r="FT39" s="181">
        <f t="shared" si="563"/>
        <v>2629733</v>
      </c>
      <c r="FU39" s="181">
        <f t="shared" si="563"/>
        <v>760434</v>
      </c>
      <c r="FV39" s="181">
        <f t="shared" si="563"/>
        <v>1382507</v>
      </c>
      <c r="FW39" s="181">
        <f>SUM(FW41:FW52)</f>
        <v>37635918</v>
      </c>
      <c r="FX39" s="181">
        <f t="shared" si="563"/>
        <v>31948468</v>
      </c>
      <c r="FY39" s="181">
        <f t="shared" si="563"/>
        <v>3417917</v>
      </c>
      <c r="FZ39" s="181">
        <f t="shared" si="563"/>
        <v>1559098</v>
      </c>
      <c r="GA39" s="182">
        <f t="shared" si="563"/>
        <v>1238631</v>
      </c>
      <c r="GB39" s="181">
        <f>SUM(GB41:GB52)</f>
        <v>38114025</v>
      </c>
      <c r="GC39" s="181">
        <f t="shared" si="563"/>
        <v>32956290</v>
      </c>
      <c r="GD39" s="181">
        <f t="shared" si="563"/>
        <v>3177469</v>
      </c>
      <c r="GE39" s="181">
        <f t="shared" si="563"/>
        <v>1980266</v>
      </c>
      <c r="GF39" s="182">
        <f t="shared" si="563"/>
        <v>1289202</v>
      </c>
      <c r="GG39" s="181">
        <f>SUM(GG41:GG52)</f>
        <v>38433854</v>
      </c>
      <c r="GH39" s="181">
        <f t="shared" si="563"/>
        <v>33271372</v>
      </c>
      <c r="GI39" s="181">
        <f t="shared" si="563"/>
        <v>3213683</v>
      </c>
      <c r="GJ39" s="181">
        <f t="shared" si="563"/>
        <v>1948799</v>
      </c>
      <c r="GK39" s="181">
        <f t="shared" si="563"/>
        <v>1299955</v>
      </c>
      <c r="GL39" s="181">
        <f t="shared" ref="GL39:IX39" si="564">SUM(GL41:GL52)</f>
        <v>38828865</v>
      </c>
      <c r="GM39" s="181">
        <f t="shared" si="564"/>
        <v>33526244</v>
      </c>
      <c r="GN39" s="181">
        <f t="shared" si="564"/>
        <v>3313942</v>
      </c>
      <c r="GO39" s="181">
        <f t="shared" si="564"/>
        <v>1388337</v>
      </c>
      <c r="GP39" s="181">
        <f t="shared" si="564"/>
        <v>1582544</v>
      </c>
      <c r="GQ39" s="181">
        <f t="shared" si="564"/>
        <v>39222225.849000014</v>
      </c>
      <c r="GR39" s="181">
        <f t="shared" si="564"/>
        <v>33799445.516999997</v>
      </c>
      <c r="GS39" s="181">
        <f t="shared" si="564"/>
        <v>3362475.1729999995</v>
      </c>
      <c r="GT39" s="181">
        <f t="shared" si="564"/>
        <v>1445444.8739999998</v>
      </c>
      <c r="GU39" s="182">
        <f t="shared" si="564"/>
        <v>2060305.1589999991</v>
      </c>
      <c r="GV39" s="182">
        <f t="shared" si="564"/>
        <v>39597575</v>
      </c>
      <c r="GW39" s="181">
        <f t="shared" si="564"/>
        <v>33117380</v>
      </c>
      <c r="GX39" s="181">
        <f t="shared" si="564"/>
        <v>3420636</v>
      </c>
      <c r="GY39" s="181">
        <f t="shared" si="564"/>
        <v>1508055</v>
      </c>
      <c r="GZ39" s="181">
        <f t="shared" si="564"/>
        <v>2079511</v>
      </c>
      <c r="HA39" s="181">
        <f t="shared" si="564"/>
        <v>39944318</v>
      </c>
      <c r="HB39" s="181">
        <f t="shared" si="564"/>
        <v>33307019</v>
      </c>
      <c r="HC39" s="181">
        <f t="shared" si="564"/>
        <v>3460389</v>
      </c>
      <c r="HD39" s="181">
        <f t="shared" si="564"/>
        <v>1563079</v>
      </c>
      <c r="HE39" s="181">
        <f t="shared" si="564"/>
        <v>2146177</v>
      </c>
      <c r="HF39" s="181">
        <f>SUM(HF41:HF52)</f>
        <v>40722581</v>
      </c>
      <c r="HG39" s="181">
        <f t="shared" si="564"/>
        <v>33667393</v>
      </c>
      <c r="HH39" s="181">
        <f t="shared" si="564"/>
        <v>3577856</v>
      </c>
      <c r="HI39" s="181">
        <f t="shared" si="564"/>
        <v>1693621</v>
      </c>
      <c r="HJ39" s="181">
        <f t="shared" si="564"/>
        <v>2339693</v>
      </c>
      <c r="HK39" s="181">
        <f>SUM(HK41:HK52)</f>
        <v>41026722</v>
      </c>
      <c r="HL39" s="181">
        <f t="shared" si="564"/>
        <v>33797892</v>
      </c>
      <c r="HM39" s="181">
        <f t="shared" si="564"/>
        <v>3652989</v>
      </c>
      <c r="HN39" s="181">
        <f t="shared" si="564"/>
        <v>1755022</v>
      </c>
      <c r="HO39" s="181">
        <f t="shared" si="564"/>
        <v>2390048</v>
      </c>
      <c r="HP39" s="251">
        <f>SUM(HP41:HP52)</f>
        <v>41323806</v>
      </c>
      <c r="HQ39" s="181">
        <f t="shared" si="564"/>
        <v>33903815</v>
      </c>
      <c r="HR39" s="181">
        <f t="shared" si="564"/>
        <v>3700609</v>
      </c>
      <c r="HS39" s="181">
        <f t="shared" si="564"/>
        <v>1833623</v>
      </c>
      <c r="HT39" s="181">
        <f t="shared" si="564"/>
        <v>2483676</v>
      </c>
      <c r="HU39" s="365">
        <f t="shared" si="564"/>
        <v>1182977</v>
      </c>
      <c r="HV39" s="365">
        <f t="shared" si="564"/>
        <v>0</v>
      </c>
      <c r="HW39" s="365">
        <f t="shared" si="564"/>
        <v>210157</v>
      </c>
      <c r="HX39" s="365">
        <f t="shared" si="564"/>
        <v>539107</v>
      </c>
      <c r="HY39" s="365">
        <f t="shared" si="564"/>
        <v>551435</v>
      </c>
      <c r="HZ39" s="251">
        <f>SUM(HZ41:HZ52)</f>
        <v>41786165</v>
      </c>
      <c r="IA39" s="181">
        <f t="shared" si="564"/>
        <v>34103965</v>
      </c>
      <c r="IB39" s="181">
        <f t="shared" si="564"/>
        <v>3780513</v>
      </c>
      <c r="IC39" s="181">
        <f t="shared" si="564"/>
        <v>1905120</v>
      </c>
      <c r="ID39" s="181">
        <f t="shared" si="564"/>
        <v>2617921</v>
      </c>
      <c r="IE39" s="535">
        <f>SUM(IE41:IE52)</f>
        <v>42162941</v>
      </c>
      <c r="IF39" s="253">
        <f t="shared" si="564"/>
        <v>0</v>
      </c>
      <c r="IG39" s="253">
        <f t="shared" si="564"/>
        <v>0</v>
      </c>
      <c r="IH39" s="253">
        <f t="shared" si="564"/>
        <v>0</v>
      </c>
      <c r="II39" s="253">
        <f t="shared" si="564"/>
        <v>0</v>
      </c>
      <c r="IJ39" s="251">
        <f>SUM(IJ41:IJ52)</f>
        <v>42504015</v>
      </c>
      <c r="IK39" s="181">
        <f t="shared" si="564"/>
        <v>34334622</v>
      </c>
      <c r="IL39" s="181">
        <f t="shared" si="564"/>
        <v>3932506</v>
      </c>
      <c r="IM39" s="181">
        <f t="shared" si="564"/>
        <v>2117849</v>
      </c>
      <c r="IN39" s="181">
        <f t="shared" si="564"/>
        <v>2843502</v>
      </c>
      <c r="IO39" s="251">
        <f>SUM(IO41:IO52)</f>
        <v>43204578</v>
      </c>
      <c r="IP39" s="181">
        <f t="shared" si="564"/>
        <v>34139507</v>
      </c>
      <c r="IQ39" s="181">
        <f t="shared" si="564"/>
        <v>3825499</v>
      </c>
      <c r="IR39" s="181">
        <f t="shared" si="564"/>
        <v>2300488</v>
      </c>
      <c r="IS39" s="181">
        <f t="shared" si="564"/>
        <v>4809883</v>
      </c>
      <c r="IT39" s="181">
        <f t="shared" si="564"/>
        <v>1361802</v>
      </c>
      <c r="IU39" s="181">
        <f t="shared" si="564"/>
        <v>0</v>
      </c>
      <c r="IV39" s="181">
        <f t="shared" si="564"/>
        <v>220498</v>
      </c>
      <c r="IW39" s="181">
        <f t="shared" si="564"/>
        <v>2316394</v>
      </c>
      <c r="IX39" s="181">
        <f t="shared" si="564"/>
        <v>911189</v>
      </c>
      <c r="IY39" s="380" t="s">
        <v>221</v>
      </c>
      <c r="IZ39" s="188" t="s">
        <v>221</v>
      </c>
      <c r="JA39" s="188" t="s">
        <v>221</v>
      </c>
      <c r="JB39" s="188" t="s">
        <v>221</v>
      </c>
      <c r="JC39" s="635" t="s">
        <v>221</v>
      </c>
      <c r="JD39" s="253">
        <f>SUM(JD41:JD52)</f>
        <v>9370163</v>
      </c>
      <c r="JE39" s="253">
        <f t="shared" ref="JE39:JH39" si="565">SUM(JE41:JE52)</f>
        <v>8331046</v>
      </c>
      <c r="JF39" s="253">
        <f t="shared" si="565"/>
        <v>849498</v>
      </c>
      <c r="JG39" s="253">
        <f t="shared" si="565"/>
        <v>151968</v>
      </c>
      <c r="JH39" s="397">
        <f t="shared" si="565"/>
        <v>189619</v>
      </c>
      <c r="JI39" s="253">
        <f>SUM(JI41:JI52)</f>
        <v>11702335</v>
      </c>
      <c r="JJ39" s="253">
        <f t="shared" ref="JJ39:TC39" si="566">SUM(JJ41:JJ52)</f>
        <v>10121535</v>
      </c>
      <c r="JK39" s="253">
        <f t="shared" si="566"/>
        <v>1104960</v>
      </c>
      <c r="JL39" s="253">
        <f t="shared" si="566"/>
        <v>268853</v>
      </c>
      <c r="JM39" s="397">
        <f t="shared" si="566"/>
        <v>422811</v>
      </c>
      <c r="JN39" s="253">
        <f t="shared" si="566"/>
        <v>12287501</v>
      </c>
      <c r="JO39" s="253">
        <f t="shared" si="566"/>
        <v>10340346</v>
      </c>
      <c r="JP39" s="253">
        <f t="shared" si="566"/>
        <v>1214722</v>
      </c>
      <c r="JQ39" s="253">
        <f t="shared" si="566"/>
        <v>388920</v>
      </c>
      <c r="JR39" s="253">
        <f t="shared" si="566"/>
        <v>542715</v>
      </c>
      <c r="JS39" s="253">
        <f t="shared" si="566"/>
        <v>13267333</v>
      </c>
      <c r="JT39" s="253">
        <f t="shared" si="566"/>
        <v>11276426</v>
      </c>
      <c r="JU39" s="253">
        <f t="shared" si="566"/>
        <v>1409840</v>
      </c>
      <c r="JV39" s="253">
        <f t="shared" si="566"/>
        <v>470267</v>
      </c>
      <c r="JW39" s="397">
        <f t="shared" si="566"/>
        <v>581067</v>
      </c>
      <c r="JX39" s="253">
        <f t="shared" si="566"/>
        <v>13419633.461000001</v>
      </c>
      <c r="JY39" s="253">
        <f t="shared" si="566"/>
        <v>11384398.817000002</v>
      </c>
      <c r="JZ39" s="253">
        <f t="shared" si="566"/>
        <v>1435375.1670000001</v>
      </c>
      <c r="KA39" s="253">
        <f t="shared" si="566"/>
        <v>492608.99799999991</v>
      </c>
      <c r="KB39" s="397">
        <f t="shared" si="566"/>
        <v>599859.47700000019</v>
      </c>
      <c r="KC39" s="397">
        <f t="shared" si="566"/>
        <v>13571490</v>
      </c>
      <c r="KD39" s="397">
        <f t="shared" si="566"/>
        <v>11162082</v>
      </c>
      <c r="KE39" s="397">
        <f t="shared" si="566"/>
        <v>1465968</v>
      </c>
      <c r="KF39" s="397">
        <f t="shared" si="566"/>
        <v>517566</v>
      </c>
      <c r="KG39" s="397">
        <f t="shared" si="566"/>
        <v>608023</v>
      </c>
      <c r="KH39" s="397">
        <f t="shared" si="566"/>
        <v>13705205</v>
      </c>
      <c r="KI39" s="397">
        <f t="shared" si="566"/>
        <v>11231214</v>
      </c>
      <c r="KJ39" s="397">
        <f t="shared" si="566"/>
        <v>1489521</v>
      </c>
      <c r="KK39" s="397">
        <f t="shared" si="566"/>
        <v>540259</v>
      </c>
      <c r="KL39" s="397">
        <f t="shared" si="566"/>
        <v>628784</v>
      </c>
      <c r="KM39" s="397">
        <f t="shared" si="566"/>
        <v>13901246</v>
      </c>
      <c r="KN39" s="397">
        <f t="shared" si="566"/>
        <v>11304936</v>
      </c>
      <c r="KO39" s="397">
        <f t="shared" si="566"/>
        <v>1516504</v>
      </c>
      <c r="KP39" s="397">
        <f t="shared" si="566"/>
        <v>584775</v>
      </c>
      <c r="KQ39" s="253">
        <f t="shared" si="566"/>
        <v>689195</v>
      </c>
      <c r="KR39" s="397">
        <f t="shared" si="566"/>
        <v>14036219</v>
      </c>
      <c r="KS39" s="397">
        <f t="shared" si="566"/>
        <v>11387098</v>
      </c>
      <c r="KT39" s="397">
        <f t="shared" si="566"/>
        <v>1545586</v>
      </c>
      <c r="KU39" s="397">
        <f t="shared" si="566"/>
        <v>606909</v>
      </c>
      <c r="KV39" s="253">
        <f t="shared" si="566"/>
        <v>698351</v>
      </c>
      <c r="KW39" s="535">
        <f t="shared" si="566"/>
        <v>14074374</v>
      </c>
      <c r="KX39" s="253">
        <f t="shared" si="566"/>
        <v>11364279</v>
      </c>
      <c r="KY39" s="253">
        <f t="shared" si="566"/>
        <v>1573393</v>
      </c>
      <c r="KZ39" s="253">
        <f t="shared" si="566"/>
        <v>628579</v>
      </c>
      <c r="LA39" s="253">
        <f t="shared" si="566"/>
        <v>722653</v>
      </c>
      <c r="LB39" s="656">
        <f t="shared" si="566"/>
        <v>14095969</v>
      </c>
      <c r="LC39" s="665">
        <f t="shared" si="566"/>
        <v>11326322</v>
      </c>
      <c r="LD39" s="665">
        <f t="shared" si="566"/>
        <v>1589222</v>
      </c>
      <c r="LE39" s="665">
        <f t="shared" si="566"/>
        <v>661532</v>
      </c>
      <c r="LF39" s="665">
        <f t="shared" si="566"/>
        <v>734446</v>
      </c>
      <c r="LG39" s="666">
        <f t="shared" si="566"/>
        <v>14189581</v>
      </c>
      <c r="LH39" s="665">
        <f t="shared" si="566"/>
        <v>0</v>
      </c>
      <c r="LI39" s="181">
        <f t="shared" si="566"/>
        <v>0</v>
      </c>
      <c r="LJ39" s="181">
        <f t="shared" si="566"/>
        <v>0</v>
      </c>
      <c r="LK39" s="181">
        <f t="shared" si="566"/>
        <v>0</v>
      </c>
      <c r="LL39" s="666">
        <f t="shared" si="566"/>
        <v>14077696</v>
      </c>
      <c r="LM39" s="665">
        <f t="shared" si="566"/>
        <v>11229450</v>
      </c>
      <c r="LN39" s="181">
        <f t="shared" si="566"/>
        <v>1583761</v>
      </c>
      <c r="LO39" s="181">
        <f t="shared" si="566"/>
        <v>723116</v>
      </c>
      <c r="LP39" s="181">
        <f t="shared" si="566"/>
        <v>797725</v>
      </c>
      <c r="LQ39" s="181">
        <f t="shared" si="566"/>
        <v>14037752</v>
      </c>
      <c r="LR39" s="181">
        <f t="shared" si="566"/>
        <v>10970920</v>
      </c>
      <c r="LS39" s="181">
        <f t="shared" si="566"/>
        <v>1482840</v>
      </c>
      <c r="LT39" s="181">
        <f t="shared" si="566"/>
        <v>755242</v>
      </c>
      <c r="LU39" s="181">
        <v>1433484</v>
      </c>
      <c r="LV39" s="181">
        <f t="shared" si="566"/>
        <v>243971</v>
      </c>
      <c r="LW39" s="181">
        <f t="shared" si="566"/>
        <v>0</v>
      </c>
      <c r="LX39" s="181">
        <f t="shared" si="566"/>
        <v>87103</v>
      </c>
      <c r="LY39" s="181">
        <f t="shared" si="566"/>
        <v>819042</v>
      </c>
      <c r="LZ39" s="181">
        <f t="shared" si="566"/>
        <v>283368</v>
      </c>
      <c r="MA39" s="181">
        <f t="shared" si="566"/>
        <v>2338864</v>
      </c>
      <c r="MB39" s="181">
        <f t="shared" si="566"/>
        <v>2110422</v>
      </c>
      <c r="MC39" s="181">
        <f t="shared" si="566"/>
        <v>174450</v>
      </c>
      <c r="MD39" s="181">
        <f t="shared" si="566"/>
        <v>37464</v>
      </c>
      <c r="ME39" s="182">
        <f t="shared" si="566"/>
        <v>53992</v>
      </c>
      <c r="MF39" s="181">
        <f>SUM(MF41:MF52)</f>
        <v>2675987</v>
      </c>
      <c r="MG39" s="181">
        <f t="shared" si="566"/>
        <v>2351187</v>
      </c>
      <c r="MH39" s="181">
        <f t="shared" si="566"/>
        <v>210586</v>
      </c>
      <c r="MI39" s="181">
        <f t="shared" si="566"/>
        <v>57623</v>
      </c>
      <c r="MJ39" s="182">
        <f t="shared" si="566"/>
        <v>103754</v>
      </c>
      <c r="MK39" s="181">
        <f>SUM(MK41:MK52)</f>
        <v>3317045</v>
      </c>
      <c r="ML39" s="181">
        <f t="shared" si="566"/>
        <v>2839239</v>
      </c>
      <c r="MM39" s="181">
        <f t="shared" si="566"/>
        <v>279978</v>
      </c>
      <c r="MN39" s="181">
        <f t="shared" si="566"/>
        <v>95667</v>
      </c>
      <c r="MO39" s="181">
        <f t="shared" si="566"/>
        <v>150843</v>
      </c>
      <c r="MP39" s="181">
        <f>SUM(MP41:MP52)</f>
        <v>3530258</v>
      </c>
      <c r="MQ39" s="181">
        <f t="shared" si="566"/>
        <v>3078765</v>
      </c>
      <c r="MR39" s="181">
        <f t="shared" si="566"/>
        <v>297716</v>
      </c>
      <c r="MS39" s="181">
        <f t="shared" si="566"/>
        <v>113114</v>
      </c>
      <c r="MT39" s="181">
        <f t="shared" si="566"/>
        <v>153777</v>
      </c>
      <c r="MU39" s="181">
        <f>SUM(MU41:MU52)</f>
        <v>0</v>
      </c>
      <c r="MV39" s="181">
        <f t="shared" si="566"/>
        <v>0</v>
      </c>
      <c r="MW39" s="181">
        <f t="shared" si="566"/>
        <v>0</v>
      </c>
      <c r="MX39" s="181">
        <f t="shared" si="566"/>
        <v>0</v>
      </c>
      <c r="MY39" s="182">
        <f t="shared" si="566"/>
        <v>0</v>
      </c>
      <c r="MZ39" s="182">
        <f t="shared" si="566"/>
        <v>3728650</v>
      </c>
      <c r="NA39" s="182">
        <f t="shared" si="566"/>
        <v>3168599</v>
      </c>
      <c r="NB39" s="182">
        <f t="shared" si="566"/>
        <v>312639</v>
      </c>
      <c r="NC39" s="182">
        <f t="shared" si="566"/>
        <v>124629</v>
      </c>
      <c r="ND39" s="182">
        <f t="shared" si="566"/>
        <v>165615</v>
      </c>
      <c r="NE39" s="182">
        <f t="shared" si="566"/>
        <v>3837505</v>
      </c>
      <c r="NF39" s="182">
        <f t="shared" si="566"/>
        <v>3252255</v>
      </c>
      <c r="NG39" s="182">
        <f t="shared" si="566"/>
        <v>322743</v>
      </c>
      <c r="NH39" s="182">
        <f t="shared" si="566"/>
        <v>131911</v>
      </c>
      <c r="NI39" s="182">
        <f t="shared" si="566"/>
        <v>175763</v>
      </c>
      <c r="NJ39" s="182">
        <f t="shared" si="566"/>
        <v>4068670</v>
      </c>
      <c r="NK39" s="182">
        <f t="shared" si="566"/>
        <v>3427699</v>
      </c>
      <c r="NL39" s="182">
        <f t="shared" si="566"/>
        <v>351165</v>
      </c>
      <c r="NM39" s="364">
        <f t="shared" si="566"/>
        <v>145002</v>
      </c>
      <c r="NN39" s="364">
        <f t="shared" si="566"/>
        <v>1214976</v>
      </c>
      <c r="NO39" s="182">
        <f t="shared" si="566"/>
        <v>4152371</v>
      </c>
      <c r="NP39" s="182">
        <f t="shared" si="566"/>
        <v>3483036</v>
      </c>
      <c r="NQ39" s="182">
        <f t="shared" si="566"/>
        <v>358307</v>
      </c>
      <c r="NR39" s="364">
        <f t="shared" si="566"/>
        <v>153576</v>
      </c>
      <c r="NS39" s="364">
        <f t="shared" si="566"/>
        <v>205709</v>
      </c>
      <c r="NT39" s="365">
        <f t="shared" si="566"/>
        <v>4194705</v>
      </c>
      <c r="NU39" s="365">
        <f t="shared" si="566"/>
        <v>3517768</v>
      </c>
      <c r="NV39" s="365">
        <f t="shared" si="566"/>
        <v>357579</v>
      </c>
      <c r="NW39" s="365">
        <f t="shared" si="566"/>
        <v>161610</v>
      </c>
      <c r="NX39" s="365">
        <f t="shared" si="566"/>
        <v>205208</v>
      </c>
      <c r="NY39" s="377">
        <f t="shared" si="566"/>
        <v>4289287</v>
      </c>
      <c r="NZ39" s="365">
        <f t="shared" si="566"/>
        <v>3561409</v>
      </c>
      <c r="OA39" s="365">
        <f t="shared" si="566"/>
        <v>385419</v>
      </c>
      <c r="OB39" s="365">
        <f t="shared" si="566"/>
        <v>181490</v>
      </c>
      <c r="OC39" s="364">
        <f t="shared" si="566"/>
        <v>216986</v>
      </c>
      <c r="OD39" s="377">
        <f t="shared" si="566"/>
        <v>4378413</v>
      </c>
      <c r="OE39" s="365">
        <f t="shared" si="566"/>
        <v>0</v>
      </c>
      <c r="OF39" s="365">
        <f t="shared" si="566"/>
        <v>0</v>
      </c>
      <c r="OG39" s="365">
        <f t="shared" si="566"/>
        <v>0</v>
      </c>
      <c r="OH39" s="365">
        <f t="shared" si="566"/>
        <v>0</v>
      </c>
      <c r="OI39" s="377">
        <f t="shared" si="566"/>
        <v>4380325</v>
      </c>
      <c r="OJ39" s="365">
        <f t="shared" si="566"/>
        <v>3623626</v>
      </c>
      <c r="OK39" s="365">
        <f t="shared" si="566"/>
        <v>389294</v>
      </c>
      <c r="OL39" s="365">
        <f t="shared" si="566"/>
        <v>195928</v>
      </c>
      <c r="OM39" s="365">
        <f t="shared" si="566"/>
        <v>240722</v>
      </c>
      <c r="ON39" s="377">
        <f t="shared" si="566"/>
        <v>4528392</v>
      </c>
      <c r="OO39" s="365">
        <f t="shared" si="566"/>
        <v>3677164</v>
      </c>
      <c r="OP39" s="365">
        <f t="shared" si="566"/>
        <v>370407</v>
      </c>
      <c r="OQ39" s="365">
        <f t="shared" si="566"/>
        <v>214406</v>
      </c>
      <c r="OR39" s="365">
        <f t="shared" si="566"/>
        <v>79276</v>
      </c>
      <c r="OS39" s="365">
        <f t="shared" si="566"/>
        <v>86998</v>
      </c>
      <c r="OT39" s="365">
        <f t="shared" si="566"/>
        <v>0</v>
      </c>
      <c r="OU39" s="365">
        <f t="shared" si="566"/>
        <v>23074</v>
      </c>
      <c r="OV39" s="365">
        <f t="shared" si="566"/>
        <v>245337</v>
      </c>
      <c r="OW39" s="365">
        <f t="shared" si="566"/>
        <v>79693</v>
      </c>
      <c r="OX39" s="377">
        <f t="shared" si="566"/>
        <v>7815202</v>
      </c>
      <c r="OY39" s="365">
        <f t="shared" si="566"/>
        <v>6338696</v>
      </c>
      <c r="OZ39" s="365">
        <f t="shared" si="566"/>
        <v>428317</v>
      </c>
      <c r="PA39" s="365">
        <f t="shared" si="566"/>
        <v>827213</v>
      </c>
      <c r="PB39" s="365">
        <f t="shared" si="566"/>
        <v>408337</v>
      </c>
      <c r="PC39" s="377">
        <f t="shared" si="566"/>
        <v>12192334</v>
      </c>
      <c r="PD39" s="365">
        <f t="shared" si="566"/>
        <v>10828408</v>
      </c>
      <c r="PE39" s="365">
        <f t="shared" si="566"/>
        <v>682370</v>
      </c>
      <c r="PF39" s="365">
        <f t="shared" si="566"/>
        <v>210579</v>
      </c>
      <c r="PG39" s="365">
        <f t="shared" si="566"/>
        <v>637632</v>
      </c>
      <c r="PH39" s="181">
        <f>SUM(PH41:PH52)</f>
        <v>13173966</v>
      </c>
      <c r="PI39" s="181">
        <f t="shared" si="566"/>
        <v>11541500</v>
      </c>
      <c r="PJ39" s="181">
        <f t="shared" si="566"/>
        <v>806753</v>
      </c>
      <c r="PK39" s="181">
        <f t="shared" si="566"/>
        <v>355033</v>
      </c>
      <c r="PL39" s="182">
        <f t="shared" si="566"/>
        <v>825713</v>
      </c>
      <c r="PM39" s="181">
        <f>SUM(PM41:PM52)</f>
        <v>14402326</v>
      </c>
      <c r="PN39" s="181">
        <f t="shared" si="566"/>
        <v>12410922</v>
      </c>
      <c r="PO39" s="181">
        <f t="shared" si="566"/>
        <v>881997</v>
      </c>
      <c r="PP39" s="181">
        <f t="shared" si="566"/>
        <v>342470</v>
      </c>
      <c r="PQ39" s="181">
        <f t="shared" si="566"/>
        <v>921850</v>
      </c>
      <c r="PR39" s="253">
        <f>SUM(PR41:PR52)</f>
        <v>0</v>
      </c>
      <c r="PS39" s="253">
        <f t="shared" si="566"/>
        <v>0</v>
      </c>
      <c r="PT39" s="253">
        <f t="shared" si="566"/>
        <v>0</v>
      </c>
      <c r="PU39" s="253">
        <f t="shared" si="566"/>
        <v>0</v>
      </c>
      <c r="PV39" s="397">
        <f t="shared" si="566"/>
        <v>0</v>
      </c>
      <c r="PW39" s="397">
        <f t="shared" si="566"/>
        <v>15903489</v>
      </c>
      <c r="PX39" s="397">
        <f t="shared" si="566"/>
        <v>13547024</v>
      </c>
      <c r="PY39" s="397">
        <f t="shared" si="566"/>
        <v>994064</v>
      </c>
      <c r="PZ39" s="397">
        <f t="shared" si="566"/>
        <v>442541</v>
      </c>
      <c r="QA39" s="397">
        <f t="shared" si="566"/>
        <v>1050421</v>
      </c>
      <c r="QB39" s="397">
        <f t="shared" si="566"/>
        <v>16277694</v>
      </c>
      <c r="QC39" s="397">
        <f t="shared" si="566"/>
        <v>13837058</v>
      </c>
      <c r="QD39" s="397">
        <f t="shared" si="566"/>
        <v>1022591</v>
      </c>
      <c r="QE39" s="397">
        <f t="shared" si="566"/>
        <v>458746</v>
      </c>
      <c r="QF39" s="253">
        <f t="shared" si="566"/>
        <v>1092534</v>
      </c>
      <c r="QG39" s="532">
        <f t="shared" si="566"/>
        <v>17190386</v>
      </c>
      <c r="QH39" s="397">
        <f t="shared" si="566"/>
        <v>14498924</v>
      </c>
      <c r="QI39" s="397">
        <f t="shared" si="566"/>
        <v>1105345</v>
      </c>
      <c r="QJ39" s="397">
        <f t="shared" si="566"/>
        <v>513549</v>
      </c>
      <c r="QK39" s="253">
        <f t="shared" si="566"/>
        <v>1214976</v>
      </c>
      <c r="QL39" s="532">
        <f t="shared" si="566"/>
        <v>17443175</v>
      </c>
      <c r="QM39" s="397">
        <f t="shared" si="566"/>
        <v>14683233</v>
      </c>
      <c r="QN39" s="397">
        <f t="shared" si="566"/>
        <v>1122002</v>
      </c>
      <c r="QO39" s="397">
        <f t="shared" si="566"/>
        <v>529826</v>
      </c>
      <c r="QP39" s="253">
        <f t="shared" si="566"/>
        <v>1252741</v>
      </c>
      <c r="QQ39" s="535">
        <f t="shared" si="566"/>
        <v>17896300</v>
      </c>
      <c r="QR39" s="253">
        <f t="shared" si="566"/>
        <v>15015876</v>
      </c>
      <c r="QS39" s="253">
        <f t="shared" si="566"/>
        <v>1152579</v>
      </c>
      <c r="QT39" s="253">
        <f t="shared" si="566"/>
        <v>573575</v>
      </c>
      <c r="QU39" s="253">
        <f t="shared" si="566"/>
        <v>1302569</v>
      </c>
      <c r="QV39" s="535">
        <f t="shared" si="566"/>
        <v>18425478</v>
      </c>
      <c r="QW39" s="253">
        <f t="shared" si="566"/>
        <v>15383707</v>
      </c>
      <c r="QX39" s="253">
        <f t="shared" si="566"/>
        <v>1204870</v>
      </c>
      <c r="QY39" s="253">
        <f t="shared" si="566"/>
        <v>607251</v>
      </c>
      <c r="QZ39" s="253">
        <f t="shared" si="566"/>
        <v>1393643</v>
      </c>
      <c r="RA39" s="535">
        <f>SUM(RA41:RA52)</f>
        <v>18818185</v>
      </c>
      <c r="RB39" s="253">
        <f t="shared" si="566"/>
        <v>0</v>
      </c>
      <c r="RC39" s="253">
        <f t="shared" si="566"/>
        <v>0</v>
      </c>
      <c r="RD39" s="253">
        <f t="shared" si="566"/>
        <v>0</v>
      </c>
      <c r="RE39" s="253">
        <f t="shared" si="566"/>
        <v>0</v>
      </c>
      <c r="RF39" s="535">
        <f t="shared" si="566"/>
        <v>19117899</v>
      </c>
      <c r="RG39" s="253">
        <f t="shared" si="566"/>
        <v>15816803</v>
      </c>
      <c r="RH39" s="253">
        <f t="shared" si="566"/>
        <v>1272162</v>
      </c>
      <c r="RI39" s="253">
        <f t="shared" si="566"/>
        <v>714340</v>
      </c>
      <c r="RJ39" s="253">
        <f t="shared" si="566"/>
        <v>1537181</v>
      </c>
      <c r="RK39" s="535">
        <f t="shared" si="566"/>
        <v>20106633</v>
      </c>
      <c r="RL39" s="253">
        <f t="shared" si="566"/>
        <v>16269561</v>
      </c>
      <c r="RM39" s="253">
        <f t="shared" si="566"/>
        <v>1309331</v>
      </c>
      <c r="RN39" s="253">
        <f t="shared" si="566"/>
        <v>820996</v>
      </c>
      <c r="RO39" s="253">
        <f t="shared" si="566"/>
        <v>2343204</v>
      </c>
      <c r="RP39" s="253">
        <f t="shared" si="566"/>
        <v>990609</v>
      </c>
      <c r="RQ39" s="253">
        <f t="shared" si="566"/>
        <v>0</v>
      </c>
      <c r="RR39" s="253">
        <f t="shared" si="566"/>
        <v>63360</v>
      </c>
      <c r="RS39" s="253">
        <f t="shared" si="566"/>
        <v>986486</v>
      </c>
      <c r="RT39" s="253">
        <f t="shared" si="566"/>
        <v>302749</v>
      </c>
      <c r="RU39" s="181">
        <f>SUM(RU41:RU52)</f>
        <v>4572727</v>
      </c>
      <c r="RV39" s="181">
        <f t="shared" si="566"/>
        <v>4228274</v>
      </c>
      <c r="RW39" s="181">
        <f t="shared" si="566"/>
        <v>213581</v>
      </c>
      <c r="RX39" s="181">
        <f t="shared" si="566"/>
        <v>48600</v>
      </c>
      <c r="RY39" s="182">
        <f t="shared" si="566"/>
        <v>130872</v>
      </c>
      <c r="RZ39" s="181">
        <f>SUM(RZ41:RZ52)</f>
        <v>6219651</v>
      </c>
      <c r="SA39" s="181">
        <f t="shared" si="566"/>
        <v>5591979</v>
      </c>
      <c r="SB39" s="181">
        <f t="shared" si="566"/>
        <v>309118</v>
      </c>
      <c r="SC39" s="181">
        <f t="shared" si="566"/>
        <v>96321</v>
      </c>
      <c r="SD39" s="181">
        <f t="shared" si="566"/>
        <v>298489</v>
      </c>
      <c r="SE39" s="251"/>
      <c r="SF39" s="181"/>
      <c r="SG39" s="181"/>
      <c r="SH39" s="181"/>
      <c r="SI39" s="181"/>
      <c r="SJ39" s="181">
        <f>SUM(SJ41:SJ52)</f>
        <v>7539944</v>
      </c>
      <c r="SK39" s="181">
        <f t="shared" si="566"/>
        <v>6650878</v>
      </c>
      <c r="SL39" s="181">
        <f t="shared" si="566"/>
        <v>419813</v>
      </c>
      <c r="SM39" s="181">
        <f t="shared" si="566"/>
        <v>194453</v>
      </c>
      <c r="SN39" s="181">
        <f t="shared" si="566"/>
        <v>469253</v>
      </c>
      <c r="SO39" s="181">
        <f>SUM(SO41:SO52)</f>
        <v>7647443.5760000004</v>
      </c>
      <c r="SP39" s="181">
        <f t="shared" si="566"/>
        <v>6741098.199000001</v>
      </c>
      <c r="SQ39" s="181">
        <f t="shared" si="566"/>
        <v>416744.28200000001</v>
      </c>
      <c r="SR39" s="181">
        <f t="shared" si="566"/>
        <v>200074.359</v>
      </c>
      <c r="SS39" s="181">
        <f t="shared" si="566"/>
        <v>489601.0949999998</v>
      </c>
      <c r="ST39" s="181">
        <f>SUM(ST41:ST52)</f>
        <v>7796334</v>
      </c>
      <c r="SU39" s="181">
        <f t="shared" si="566"/>
        <v>6728645</v>
      </c>
      <c r="SV39" s="181">
        <f t="shared" si="566"/>
        <v>429133</v>
      </c>
      <c r="SW39" s="181">
        <f t="shared" si="566"/>
        <v>212144</v>
      </c>
      <c r="SX39" s="181">
        <f t="shared" si="566"/>
        <v>487673</v>
      </c>
      <c r="SY39" s="181">
        <f t="shared" si="566"/>
        <v>7943311</v>
      </c>
      <c r="SZ39" s="181">
        <f t="shared" si="566"/>
        <v>6845354</v>
      </c>
      <c r="TA39" s="181">
        <f t="shared" si="566"/>
        <v>438336</v>
      </c>
      <c r="TB39" s="181">
        <f t="shared" si="566"/>
        <v>218458</v>
      </c>
      <c r="TC39" s="181">
        <f t="shared" si="566"/>
        <v>502690</v>
      </c>
      <c r="TD39" s="181">
        <f t="shared" ref="TD39:TH39" si="567">SUM(TD41:TD52)</f>
        <v>8313276</v>
      </c>
      <c r="TE39" s="181">
        <f t="shared" si="567"/>
        <v>7120449</v>
      </c>
      <c r="TF39" s="181">
        <f t="shared" si="567"/>
        <v>456014</v>
      </c>
      <c r="TG39" s="181">
        <f t="shared" si="567"/>
        <v>247638</v>
      </c>
      <c r="TH39" s="181">
        <f t="shared" si="567"/>
        <v>557746</v>
      </c>
      <c r="TI39" s="181">
        <f t="shared" ref="TI39:UQ39" si="568">SUM(TI41:TI52)</f>
        <v>8448798</v>
      </c>
      <c r="TJ39" s="181">
        <f t="shared" si="568"/>
        <v>7218778</v>
      </c>
      <c r="TK39" s="181">
        <f t="shared" si="568"/>
        <v>477396</v>
      </c>
      <c r="TL39" s="181">
        <f t="shared" si="568"/>
        <v>253421</v>
      </c>
      <c r="TM39" s="181">
        <f t="shared" si="568"/>
        <v>575532</v>
      </c>
      <c r="TN39" s="181">
        <f t="shared" si="568"/>
        <v>8672828</v>
      </c>
      <c r="TO39" s="181">
        <f t="shared" si="568"/>
        <v>7386634</v>
      </c>
      <c r="TP39" s="181">
        <f t="shared" si="568"/>
        <v>485625</v>
      </c>
      <c r="TQ39" s="181">
        <f t="shared" si="568"/>
        <v>276776</v>
      </c>
      <c r="TR39" s="181">
        <f t="shared" si="568"/>
        <v>604491</v>
      </c>
      <c r="TS39" s="251">
        <f t="shared" si="568"/>
        <v>8873183</v>
      </c>
      <c r="TT39" s="181">
        <f t="shared" si="568"/>
        <v>7530435</v>
      </c>
      <c r="TU39" s="181">
        <f t="shared" si="568"/>
        <v>500954</v>
      </c>
      <c r="TV39" s="181">
        <f t="shared" si="568"/>
        <v>279693</v>
      </c>
      <c r="TW39" s="181">
        <f t="shared" si="568"/>
        <v>639666</v>
      </c>
      <c r="TX39" s="251">
        <f t="shared" si="568"/>
        <v>9041123</v>
      </c>
      <c r="TY39" s="181">
        <f t="shared" si="568"/>
        <v>0</v>
      </c>
      <c r="TZ39" s="181">
        <f t="shared" si="568"/>
        <v>0</v>
      </c>
      <c r="UA39" s="181">
        <f t="shared" si="568"/>
        <v>0</v>
      </c>
      <c r="UB39" s="181">
        <f t="shared" si="568"/>
        <v>0</v>
      </c>
      <c r="UC39" s="251">
        <f t="shared" si="568"/>
        <v>9272124</v>
      </c>
      <c r="UD39" s="181">
        <f t="shared" si="568"/>
        <v>7792616</v>
      </c>
      <c r="UE39" s="181">
        <f t="shared" si="568"/>
        <v>544551</v>
      </c>
      <c r="UF39" s="181">
        <f t="shared" si="568"/>
        <v>343573</v>
      </c>
      <c r="UG39" s="181">
        <f t="shared" si="568"/>
        <v>696929</v>
      </c>
      <c r="UH39" s="251">
        <f t="shared" si="568"/>
        <v>9740126</v>
      </c>
      <c r="UI39" s="181">
        <f t="shared" si="568"/>
        <v>7992281</v>
      </c>
      <c r="UJ39" s="181">
        <f t="shared" si="568"/>
        <v>568088</v>
      </c>
      <c r="UK39" s="181">
        <f t="shared" si="568"/>
        <v>399472</v>
      </c>
      <c r="UL39" s="181">
        <f t="shared" si="568"/>
        <v>1091973</v>
      </c>
      <c r="UM39" s="181">
        <f t="shared" si="568"/>
        <v>450189</v>
      </c>
      <c r="UN39" s="181">
        <f t="shared" si="568"/>
        <v>0</v>
      </c>
      <c r="UO39" s="181">
        <f t="shared" si="568"/>
        <v>25520</v>
      </c>
      <c r="UP39" s="181">
        <f t="shared" si="568"/>
        <v>468877</v>
      </c>
      <c r="UQ39" s="181">
        <f t="shared" si="568"/>
        <v>223473</v>
      </c>
      <c r="UR39" s="173">
        <f t="shared" ref="UR39:WZ39" si="569">SUM(UR41:UR52)</f>
        <v>1913397</v>
      </c>
      <c r="US39" s="173">
        <f t="shared" si="569"/>
        <v>1180978</v>
      </c>
      <c r="UT39" s="173">
        <f t="shared" si="569"/>
        <v>732419</v>
      </c>
      <c r="UU39" s="173">
        <f t="shared" si="569"/>
        <v>61151</v>
      </c>
      <c r="UV39" s="173">
        <f t="shared" si="569"/>
        <v>31788</v>
      </c>
      <c r="UW39" s="173">
        <f t="shared" si="569"/>
        <v>29363</v>
      </c>
      <c r="UX39" s="195">
        <f t="shared" si="569"/>
        <v>2722443</v>
      </c>
      <c r="UY39" s="173">
        <f t="shared" si="569"/>
        <v>1629488</v>
      </c>
      <c r="UZ39" s="173">
        <f t="shared" si="569"/>
        <v>1092955</v>
      </c>
      <c r="VA39" s="173">
        <f t="shared" si="569"/>
        <v>2612258</v>
      </c>
      <c r="VB39" s="173">
        <f t="shared" si="569"/>
        <v>1573662</v>
      </c>
      <c r="VC39" s="173">
        <f t="shared" si="569"/>
        <v>1038596</v>
      </c>
      <c r="VD39" s="173">
        <f t="shared" si="569"/>
        <v>82879</v>
      </c>
      <c r="VE39" s="173">
        <f t="shared" si="569"/>
        <v>38353</v>
      </c>
      <c r="VF39" s="173">
        <f t="shared" si="569"/>
        <v>44526</v>
      </c>
      <c r="VG39" s="173">
        <f t="shared" si="569"/>
        <v>27306</v>
      </c>
      <c r="VH39" s="173">
        <f t="shared" si="569"/>
        <v>17473</v>
      </c>
      <c r="VI39" s="173">
        <f t="shared" si="569"/>
        <v>9833</v>
      </c>
      <c r="VJ39" s="195">
        <f t="shared" si="569"/>
        <v>5020587</v>
      </c>
      <c r="VK39" s="173">
        <f t="shared" si="569"/>
        <v>2909158</v>
      </c>
      <c r="VL39" s="173">
        <f t="shared" si="569"/>
        <v>2111429</v>
      </c>
      <c r="VM39" s="181">
        <f t="shared" si="569"/>
        <v>4650609</v>
      </c>
      <c r="VN39" s="173">
        <f t="shared" si="569"/>
        <v>2717742</v>
      </c>
      <c r="VO39" s="173">
        <f t="shared" si="569"/>
        <v>1932867</v>
      </c>
      <c r="VP39" s="173">
        <f t="shared" si="569"/>
        <v>191416</v>
      </c>
      <c r="VQ39" s="173">
        <f t="shared" si="569"/>
        <v>178562</v>
      </c>
      <c r="VR39" s="181">
        <f t="shared" si="569"/>
        <v>205422</v>
      </c>
      <c r="VS39" s="173">
        <f t="shared" si="569"/>
        <v>95921</v>
      </c>
      <c r="VT39" s="173">
        <f t="shared" si="569"/>
        <v>109501</v>
      </c>
      <c r="VU39" s="181">
        <f t="shared" si="569"/>
        <v>44580</v>
      </c>
      <c r="VV39" s="173">
        <f t="shared" si="569"/>
        <v>26360</v>
      </c>
      <c r="VW39" s="173">
        <f t="shared" si="569"/>
        <v>18220</v>
      </c>
      <c r="VX39" s="173">
        <f t="shared" si="569"/>
        <v>119976</v>
      </c>
      <c r="VY39" s="173">
        <f t="shared" si="569"/>
        <v>69135</v>
      </c>
      <c r="VZ39" s="173">
        <f t="shared" si="569"/>
        <v>50841</v>
      </c>
      <c r="WA39" s="173">
        <f t="shared" si="569"/>
        <v>3777</v>
      </c>
      <c r="WB39" s="173">
        <f t="shared" si="569"/>
        <v>2427</v>
      </c>
      <c r="WC39" s="173">
        <f t="shared" si="569"/>
        <v>1350</v>
      </c>
      <c r="WD39" s="173">
        <f t="shared" si="569"/>
        <v>116199</v>
      </c>
      <c r="WE39" s="173">
        <f t="shared" si="569"/>
        <v>66708</v>
      </c>
      <c r="WF39" s="173">
        <f t="shared" si="569"/>
        <v>49491</v>
      </c>
      <c r="WG39" s="251">
        <f t="shared" si="569"/>
        <v>5476338</v>
      </c>
      <c r="WH39" s="173">
        <f t="shared" si="569"/>
        <v>3766435</v>
      </c>
      <c r="WI39" s="173">
        <f t="shared" si="569"/>
        <v>3204161</v>
      </c>
      <c r="WJ39" s="181">
        <f t="shared" si="569"/>
        <v>4228274</v>
      </c>
      <c r="WK39" s="181">
        <f t="shared" si="569"/>
        <v>6351440</v>
      </c>
      <c r="WL39" s="173">
        <f t="shared" si="569"/>
        <v>3462583</v>
      </c>
      <c r="WM39" s="173">
        <f t="shared" si="569"/>
        <v>2888857</v>
      </c>
      <c r="WN39" s="173">
        <f t="shared" si="569"/>
        <v>303852</v>
      </c>
      <c r="WO39" s="173">
        <f t="shared" si="569"/>
        <v>315304</v>
      </c>
      <c r="WP39" s="181">
        <f t="shared" si="569"/>
        <v>253867</v>
      </c>
      <c r="WQ39" s="181">
        <f t="shared" si="569"/>
        <v>326703</v>
      </c>
      <c r="WR39" s="173">
        <f t="shared" si="569"/>
        <v>142445</v>
      </c>
      <c r="WS39" s="173">
        <f t="shared" si="569"/>
        <v>184258</v>
      </c>
      <c r="WT39" s="181">
        <f t="shared" si="569"/>
        <v>79424</v>
      </c>
      <c r="WU39" s="173">
        <f t="shared" si="569"/>
        <v>43023</v>
      </c>
      <c r="WV39" s="173">
        <f t="shared" si="569"/>
        <v>36401</v>
      </c>
      <c r="WW39" s="182">
        <f t="shared" si="569"/>
        <v>354345</v>
      </c>
      <c r="WX39" s="252">
        <f t="shared" si="569"/>
        <v>118384</v>
      </c>
      <c r="WY39" s="252">
        <f t="shared" si="569"/>
        <v>94645</v>
      </c>
      <c r="WZ39" s="252">
        <f t="shared" si="569"/>
        <v>1507</v>
      </c>
      <c r="XA39" s="252">
        <f t="shared" ref="XA39:YU39" si="570">SUM(XA41:XA52)</f>
        <v>845</v>
      </c>
      <c r="XB39" s="252">
        <f t="shared" si="570"/>
        <v>662</v>
      </c>
      <c r="XC39" s="252">
        <f t="shared" si="570"/>
        <v>211522</v>
      </c>
      <c r="XD39" s="252">
        <f t="shared" si="570"/>
        <v>117539</v>
      </c>
      <c r="XE39" s="252">
        <f t="shared" si="570"/>
        <v>93983</v>
      </c>
      <c r="XF39" s="173">
        <f t="shared" si="570"/>
        <v>7348</v>
      </c>
      <c r="XG39" s="173">
        <f t="shared" si="570"/>
        <v>7538</v>
      </c>
      <c r="XH39" s="173">
        <f t="shared" si="570"/>
        <v>110191</v>
      </c>
      <c r="XI39" s="173">
        <f t="shared" si="570"/>
        <v>86445</v>
      </c>
      <c r="XJ39" s="218">
        <f t="shared" si="570"/>
        <v>9516347</v>
      </c>
      <c r="XK39" s="173">
        <f t="shared" si="570"/>
        <v>4843037</v>
      </c>
      <c r="XL39" s="173">
        <f t="shared" si="570"/>
        <v>4673310</v>
      </c>
      <c r="XM39" s="253">
        <f t="shared" si="570"/>
        <v>8477221</v>
      </c>
      <c r="XN39" s="253">
        <f t="shared" si="570"/>
        <v>4350037</v>
      </c>
      <c r="XO39" s="253">
        <f t="shared" si="570"/>
        <v>4127184</v>
      </c>
      <c r="XP39" s="253">
        <f t="shared" si="570"/>
        <v>8378937</v>
      </c>
      <c r="XQ39" s="173">
        <f t="shared" si="570"/>
        <v>4299845</v>
      </c>
      <c r="XR39" s="173">
        <f t="shared" si="570"/>
        <v>4079092</v>
      </c>
      <c r="XS39" s="253">
        <f t="shared" si="570"/>
        <v>484189</v>
      </c>
      <c r="XT39" s="173">
        <f t="shared" si="570"/>
        <v>202974</v>
      </c>
      <c r="XU39" s="173">
        <f t="shared" si="570"/>
        <v>281215</v>
      </c>
      <c r="XV39" s="253">
        <f t="shared" si="570"/>
        <v>161313</v>
      </c>
      <c r="XW39" s="173">
        <f t="shared" si="570"/>
        <v>80854</v>
      </c>
      <c r="XX39" s="173">
        <f t="shared" si="570"/>
        <v>80459</v>
      </c>
      <c r="XY39" s="253">
        <f t="shared" si="570"/>
        <v>554937</v>
      </c>
      <c r="XZ39" s="173">
        <f t="shared" si="570"/>
        <v>290026</v>
      </c>
      <c r="YA39" s="173">
        <f t="shared" si="570"/>
        <v>264911</v>
      </c>
      <c r="YB39" s="251">
        <f t="shared" si="570"/>
        <v>11085281</v>
      </c>
      <c r="YC39" s="181">
        <f t="shared" si="570"/>
        <v>9571683</v>
      </c>
      <c r="YD39" s="181">
        <f t="shared" si="570"/>
        <v>602019</v>
      </c>
      <c r="YE39" s="181">
        <f t="shared" si="570"/>
        <v>246803</v>
      </c>
      <c r="YF39" s="181">
        <f t="shared" si="570"/>
        <v>771007</v>
      </c>
      <c r="YG39" s="251">
        <f t="shared" si="570"/>
        <v>11345945</v>
      </c>
      <c r="YH39" s="181">
        <f t="shared" si="570"/>
        <v>9934526</v>
      </c>
      <c r="YI39" s="181">
        <f t="shared" si="570"/>
        <v>620493</v>
      </c>
      <c r="YJ39" s="181">
        <f t="shared" si="570"/>
        <v>790926</v>
      </c>
      <c r="YK39" s="181">
        <f t="shared" si="570"/>
        <v>261546</v>
      </c>
      <c r="YL39" s="251">
        <f t="shared" si="570"/>
        <v>11514761</v>
      </c>
      <c r="YM39" s="181">
        <f t="shared" si="570"/>
        <v>10100339</v>
      </c>
      <c r="YN39" s="181">
        <f t="shared" si="570"/>
        <v>626095</v>
      </c>
      <c r="YO39" s="181">
        <f t="shared" si="570"/>
        <v>788327</v>
      </c>
      <c r="YP39" s="181">
        <f t="shared" si="570"/>
        <v>264201</v>
      </c>
      <c r="YQ39" s="251">
        <f t="shared" si="570"/>
        <v>11731716</v>
      </c>
      <c r="YR39" s="181">
        <f t="shared" si="570"/>
        <v>10236189</v>
      </c>
      <c r="YS39" s="181">
        <f t="shared" si="570"/>
        <v>656970</v>
      </c>
      <c r="YT39" s="181">
        <f>SUM(YT41:YT52)</f>
        <v>838557</v>
      </c>
      <c r="YU39" s="181">
        <f t="shared" si="570"/>
        <v>291519</v>
      </c>
      <c r="YV39" s="181">
        <f>SUM(YV41:YV52)</f>
        <v>11935110.729999999</v>
      </c>
      <c r="YW39" s="181">
        <f>SUM(YW41:YW52)</f>
        <v>10393355.336999999</v>
      </c>
      <c r="YX39" s="181">
        <f>SUM(YX41:YX52)</f>
        <v>661650.13300000003</v>
      </c>
      <c r="YY39" s="181">
        <f>SUM(YY41:YY52)</f>
        <v>299417.15300000005</v>
      </c>
      <c r="YZ39" s="181">
        <f>SUM(YZ41:YZ52)</f>
        <v>880105.25999999978</v>
      </c>
      <c r="ZA39" s="181">
        <f t="shared" ref="ZA39:ABC39" si="571">SUM(ZA41:ZA52)</f>
        <v>12174839</v>
      </c>
      <c r="ZB39" s="181">
        <f t="shared" si="571"/>
        <v>10378425</v>
      </c>
      <c r="ZC39" s="181">
        <f t="shared" si="571"/>
        <v>681425</v>
      </c>
      <c r="ZD39" s="181">
        <f t="shared" si="571"/>
        <v>317912</v>
      </c>
      <c r="ZE39" s="181">
        <f t="shared" si="571"/>
        <v>884806</v>
      </c>
      <c r="ZF39" s="181">
        <f t="shared" si="571"/>
        <v>12440189</v>
      </c>
      <c r="ZG39" s="181">
        <f t="shared" si="571"/>
        <v>10584803</v>
      </c>
      <c r="ZH39" s="181">
        <f t="shared" si="571"/>
        <v>699848</v>
      </c>
      <c r="ZI39" s="181">
        <f t="shared" si="571"/>
        <v>326835</v>
      </c>
      <c r="ZJ39" s="181">
        <f t="shared" si="571"/>
        <v>916771</v>
      </c>
      <c r="ZK39" s="365">
        <f t="shared" si="571"/>
        <v>13121716</v>
      </c>
      <c r="ZL39" s="365">
        <f t="shared" si="571"/>
        <v>11071225</v>
      </c>
      <c r="ZM39" s="365">
        <f t="shared" si="571"/>
        <v>754180</v>
      </c>
      <c r="ZN39" s="365">
        <f t="shared" si="571"/>
        <v>368547</v>
      </c>
      <c r="ZO39" s="365">
        <f t="shared" si="571"/>
        <v>1023816</v>
      </c>
      <c r="ZP39" s="365">
        <f t="shared" si="571"/>
        <v>13290804</v>
      </c>
      <c r="ZQ39" s="365">
        <f t="shared" si="571"/>
        <v>11200197</v>
      </c>
      <c r="ZR39" s="365">
        <f t="shared" si="571"/>
        <v>763695</v>
      </c>
      <c r="ZS39" s="365">
        <f t="shared" si="571"/>
        <v>376250</v>
      </c>
      <c r="ZT39" s="365">
        <f t="shared" si="571"/>
        <v>1050355</v>
      </c>
      <c r="ZU39" s="365">
        <f t="shared" si="571"/>
        <v>13701595</v>
      </c>
      <c r="ZV39" s="365">
        <f t="shared" si="571"/>
        <v>11498108</v>
      </c>
      <c r="ZW39" s="365">
        <f t="shared" si="571"/>
        <v>795000</v>
      </c>
      <c r="ZX39" s="365">
        <f t="shared" si="571"/>
        <v>411965</v>
      </c>
      <c r="ZY39" s="365">
        <f t="shared" si="571"/>
        <v>1100483</v>
      </c>
      <c r="ZZ39" s="365">
        <f t="shared" si="571"/>
        <v>789355</v>
      </c>
      <c r="AAA39" s="365">
        <f t="shared" si="571"/>
        <v>0</v>
      </c>
      <c r="AAB39" s="365">
        <f t="shared" si="571"/>
        <v>40237</v>
      </c>
      <c r="AAC39" s="365">
        <f t="shared" si="571"/>
        <v>173578</v>
      </c>
      <c r="AAD39" s="365">
        <f t="shared" si="571"/>
        <v>97313</v>
      </c>
      <c r="AAE39" s="377">
        <f t="shared" si="571"/>
        <v>14136191</v>
      </c>
      <c r="AAF39" s="365">
        <f t="shared" si="571"/>
        <v>11822298</v>
      </c>
      <c r="AAG39" s="365">
        <f t="shared" si="571"/>
        <v>819451</v>
      </c>
      <c r="AAH39" s="365">
        <f t="shared" si="571"/>
        <v>425761</v>
      </c>
      <c r="AAI39" s="365">
        <f t="shared" si="571"/>
        <v>1176657</v>
      </c>
      <c r="AAJ39" s="377">
        <f t="shared" si="571"/>
        <v>14439772</v>
      </c>
      <c r="AAK39" s="365">
        <f t="shared" si="571"/>
        <v>0</v>
      </c>
      <c r="AAL39" s="365">
        <f t="shared" si="571"/>
        <v>0</v>
      </c>
      <c r="AAM39" s="365">
        <f t="shared" si="571"/>
        <v>0</v>
      </c>
      <c r="AAN39" s="365">
        <f t="shared" si="571"/>
        <v>0</v>
      </c>
      <c r="AAO39" s="377">
        <f t="shared" si="571"/>
        <v>14737574</v>
      </c>
      <c r="AAP39" s="377">
        <f t="shared" si="571"/>
        <v>12193177</v>
      </c>
      <c r="AAQ39" s="377">
        <f t="shared" si="571"/>
        <v>882868</v>
      </c>
      <c r="AAR39" s="377">
        <f t="shared" si="571"/>
        <v>518412</v>
      </c>
      <c r="AAS39" s="377">
        <f t="shared" si="571"/>
        <v>1296459</v>
      </c>
      <c r="AAT39" s="377">
        <f t="shared" si="571"/>
        <v>15578241</v>
      </c>
      <c r="AAU39" s="377">
        <f t="shared" si="571"/>
        <v>12592397</v>
      </c>
      <c r="AAV39" s="377">
        <f t="shared" si="571"/>
        <v>938924</v>
      </c>
      <c r="AAW39" s="377">
        <f t="shared" si="571"/>
        <v>606590</v>
      </c>
      <c r="AAX39" s="377">
        <f t="shared" si="571"/>
        <v>1908519</v>
      </c>
      <c r="AAY39" s="377">
        <f t="shared" si="571"/>
        <v>903611</v>
      </c>
      <c r="AAZ39" s="377">
        <f t="shared" si="571"/>
        <v>0</v>
      </c>
      <c r="ABA39" s="377">
        <f t="shared" si="571"/>
        <v>40286</v>
      </c>
      <c r="ABB39" s="377">
        <f t="shared" si="571"/>
        <v>741149</v>
      </c>
      <c r="ABC39" s="377">
        <f t="shared" si="571"/>
        <v>223473</v>
      </c>
      <c r="ABD39" s="181">
        <f t="shared" ref="ABD39:ACV39" si="572">SUM(ABD41:ABD52)</f>
        <v>3296696</v>
      </c>
      <c r="ABE39" s="181">
        <f t="shared" si="572"/>
        <v>2885242</v>
      </c>
      <c r="ABF39" s="181">
        <f t="shared" si="572"/>
        <v>162666</v>
      </c>
      <c r="ABG39" s="181">
        <f t="shared" si="572"/>
        <v>56635</v>
      </c>
      <c r="ABH39" s="181">
        <f t="shared" si="572"/>
        <v>235389</v>
      </c>
      <c r="ABI39" s="181">
        <f t="shared" si="572"/>
        <v>3931884</v>
      </c>
      <c r="ABJ39" s="181">
        <f t="shared" si="572"/>
        <v>3332787</v>
      </c>
      <c r="ABK39" s="181">
        <f t="shared" si="572"/>
        <v>211763</v>
      </c>
      <c r="ABL39" s="181">
        <f t="shared" si="572"/>
        <v>80867</v>
      </c>
      <c r="ABM39" s="181">
        <f t="shared" si="572"/>
        <v>336852</v>
      </c>
      <c r="ABN39" s="251">
        <f t="shared" si="572"/>
        <v>4191772</v>
      </c>
      <c r="ABO39" s="181">
        <f t="shared" si="572"/>
        <v>3585311</v>
      </c>
      <c r="ABP39" s="181">
        <f t="shared" si="572"/>
        <v>237157</v>
      </c>
      <c r="ABQ39" s="181">
        <f t="shared" si="572"/>
        <v>97066</v>
      </c>
      <c r="ABR39" s="181">
        <f t="shared" si="572"/>
        <v>369304</v>
      </c>
      <c r="ABS39" s="251">
        <f t="shared" si="572"/>
        <v>4287667.1539999992</v>
      </c>
      <c r="ABT39" s="181">
        <f t="shared" si="572"/>
        <v>3652257.1379999993</v>
      </c>
      <c r="ABU39" s="181">
        <f t="shared" si="572"/>
        <v>244905.85100000002</v>
      </c>
      <c r="ABV39" s="181">
        <f t="shared" si="572"/>
        <v>99342.793999999994</v>
      </c>
      <c r="ABW39" s="182">
        <f t="shared" si="572"/>
        <v>390504.16499999992</v>
      </c>
      <c r="ABX39" s="181">
        <f t="shared" si="572"/>
        <v>4378505</v>
      </c>
      <c r="ABY39" s="181">
        <f t="shared" si="572"/>
        <v>3649780</v>
      </c>
      <c r="ABZ39" s="181">
        <f t="shared" si="572"/>
        <v>252292</v>
      </c>
      <c r="ACA39" s="181">
        <f t="shared" si="572"/>
        <v>105768</v>
      </c>
      <c r="ACB39" s="364">
        <f t="shared" si="572"/>
        <v>397133</v>
      </c>
      <c r="ACC39" s="364">
        <f t="shared" si="572"/>
        <v>4496878</v>
      </c>
      <c r="ACD39" s="364">
        <f t="shared" si="572"/>
        <v>3739449</v>
      </c>
      <c r="ACE39" s="364">
        <f t="shared" si="572"/>
        <v>261512</v>
      </c>
      <c r="ACF39" s="364">
        <f t="shared" si="572"/>
        <v>108377</v>
      </c>
      <c r="ACG39" s="364">
        <f t="shared" si="572"/>
        <v>414081</v>
      </c>
      <c r="ACH39" s="364">
        <f t="shared" si="572"/>
        <v>4808440</v>
      </c>
      <c r="ACI39" s="364">
        <f t="shared" si="572"/>
        <v>3950776</v>
      </c>
      <c r="ACJ39" s="364">
        <f t="shared" si="572"/>
        <v>298166</v>
      </c>
      <c r="ACK39" s="364">
        <f t="shared" si="572"/>
        <v>120909</v>
      </c>
      <c r="ACL39" s="364">
        <f t="shared" si="572"/>
        <v>466070</v>
      </c>
      <c r="ACM39" s="364">
        <f t="shared" si="572"/>
        <v>4842006</v>
      </c>
      <c r="ACN39" s="364">
        <f t="shared" si="572"/>
        <v>3981419</v>
      </c>
      <c r="ACO39" s="364">
        <f t="shared" si="572"/>
        <v>286299</v>
      </c>
      <c r="ACP39" s="364">
        <f t="shared" si="572"/>
        <v>122829</v>
      </c>
      <c r="ACQ39" s="364">
        <f t="shared" si="572"/>
        <v>483130</v>
      </c>
      <c r="ACR39" s="364">
        <f t="shared" si="572"/>
        <v>5028767</v>
      </c>
      <c r="ACS39" s="364">
        <f t="shared" si="572"/>
        <v>4111474</v>
      </c>
      <c r="ACT39" s="364">
        <f t="shared" si="572"/>
        <v>309375</v>
      </c>
      <c r="ACU39" s="364">
        <f t="shared" si="572"/>
        <v>135189</v>
      </c>
      <c r="ACV39" s="365">
        <f t="shared" si="572"/>
        <v>505826</v>
      </c>
      <c r="ACW39" s="365"/>
      <c r="ACX39" s="365"/>
      <c r="ACY39" s="365"/>
      <c r="ACZ39" s="365"/>
      <c r="ADA39" s="365"/>
      <c r="ADB39" s="364">
        <f t="shared" ref="ADB39:ADZ39" si="573">SUM(ADB41:ADB52)</f>
        <v>5263008</v>
      </c>
      <c r="ADC39" s="364">
        <f t="shared" si="573"/>
        <v>4291863</v>
      </c>
      <c r="ADD39" s="364">
        <f t="shared" si="573"/>
        <v>318497</v>
      </c>
      <c r="ADE39" s="364">
        <f t="shared" si="573"/>
        <v>146068</v>
      </c>
      <c r="ADF39" s="365">
        <f t="shared" si="573"/>
        <v>536991</v>
      </c>
      <c r="ADG39" s="609">
        <f t="shared" si="573"/>
        <v>5398649</v>
      </c>
      <c r="ADH39" s="364">
        <f t="shared" si="573"/>
        <v>0</v>
      </c>
      <c r="ADI39" s="364">
        <f t="shared" si="573"/>
        <v>0</v>
      </c>
      <c r="ADJ39" s="364">
        <f t="shared" si="573"/>
        <v>0</v>
      </c>
      <c r="ADK39" s="365">
        <f t="shared" si="573"/>
        <v>0</v>
      </c>
      <c r="ADL39" s="364">
        <f t="shared" si="573"/>
        <v>5465450</v>
      </c>
      <c r="ADM39" s="364">
        <f t="shared" si="573"/>
        <v>4400561</v>
      </c>
      <c r="ADN39" s="364">
        <f t="shared" si="573"/>
        <v>338317</v>
      </c>
      <c r="ADO39" s="364">
        <f t="shared" si="573"/>
        <v>174839</v>
      </c>
      <c r="ADP39" s="364">
        <f t="shared" si="573"/>
        <v>599530</v>
      </c>
      <c r="ADQ39" s="364">
        <f t="shared" si="573"/>
        <v>5838115</v>
      </c>
      <c r="ADR39" s="364">
        <f t="shared" si="573"/>
        <v>4600116</v>
      </c>
      <c r="ADS39" s="364">
        <f t="shared" si="573"/>
        <v>370836</v>
      </c>
      <c r="ADT39" s="364">
        <f t="shared" si="573"/>
        <v>207118</v>
      </c>
      <c r="ADU39" s="364">
        <f t="shared" si="573"/>
        <v>816546</v>
      </c>
      <c r="ADV39" s="364">
        <f t="shared" si="573"/>
        <v>453422</v>
      </c>
      <c r="ADW39" s="364">
        <f t="shared" si="573"/>
        <v>0</v>
      </c>
      <c r="ADX39" s="364">
        <f t="shared" si="573"/>
        <v>14766</v>
      </c>
      <c r="ADY39" s="364">
        <f t="shared" si="573"/>
        <v>272272</v>
      </c>
      <c r="ADZ39" s="364">
        <f t="shared" si="573"/>
        <v>76086</v>
      </c>
    </row>
    <row r="40" spans="1:806" ht="15.6">
      <c r="A40" s="142" t="s">
        <v>150</v>
      </c>
      <c r="B40" s="174" t="s">
        <v>221</v>
      </c>
      <c r="C40" s="175" t="s">
        <v>221</v>
      </c>
      <c r="D40" s="175" t="s">
        <v>221</v>
      </c>
      <c r="E40" s="175" t="s">
        <v>221</v>
      </c>
      <c r="F40" s="176" t="s">
        <v>221</v>
      </c>
      <c r="G40" s="145"/>
      <c r="H40" s="145"/>
      <c r="I40" s="145"/>
      <c r="J40" s="145"/>
      <c r="K40" s="221"/>
      <c r="L40" s="145"/>
      <c r="M40" s="145"/>
      <c r="N40" s="145"/>
      <c r="O40" s="145"/>
      <c r="P40" s="221"/>
      <c r="Q40" s="145"/>
      <c r="R40" s="145"/>
      <c r="S40" s="145"/>
      <c r="T40" s="145"/>
      <c r="U40" s="221"/>
      <c r="V40" s="229"/>
      <c r="W40" s="229"/>
      <c r="X40" s="229"/>
      <c r="Y40" s="229"/>
      <c r="Z40" s="405"/>
      <c r="AA40" s="229"/>
      <c r="AB40" s="229"/>
      <c r="AC40" s="229"/>
      <c r="AD40" s="229"/>
      <c r="AE40" s="229"/>
      <c r="AF40" s="398">
        <v>0</v>
      </c>
      <c r="AG40" s="229">
        <v>0</v>
      </c>
      <c r="AH40" s="229"/>
      <c r="AI40" s="229"/>
      <c r="AJ40" s="394">
        <v>0</v>
      </c>
      <c r="AK40" s="394"/>
      <c r="AL40" s="394"/>
      <c r="AM40" s="685"/>
      <c r="AN40" s="685"/>
      <c r="AO40" s="394"/>
      <c r="AP40" s="394">
        <v>0</v>
      </c>
      <c r="AQ40" s="394">
        <v>0</v>
      </c>
      <c r="AR40" s="394">
        <v>0</v>
      </c>
      <c r="AS40" s="394">
        <v>0</v>
      </c>
      <c r="AT40" s="394">
        <v>0</v>
      </c>
      <c r="AU40" s="393">
        <v>0</v>
      </c>
      <c r="AV40" s="394">
        <v>0</v>
      </c>
      <c r="AW40" s="394">
        <v>0</v>
      </c>
      <c r="AX40" s="394">
        <v>0</v>
      </c>
      <c r="AY40" s="394">
        <v>0</v>
      </c>
      <c r="BE40" s="393"/>
      <c r="BF40" s="394"/>
      <c r="BG40" s="394"/>
      <c r="BH40" s="394"/>
      <c r="BI40" s="394"/>
      <c r="BJ40" s="393"/>
      <c r="BK40" s="394"/>
      <c r="BL40" s="394"/>
      <c r="BM40" s="394"/>
      <c r="BN40" s="394"/>
      <c r="BO40" s="393"/>
      <c r="BP40" s="394"/>
      <c r="BQ40" s="394"/>
      <c r="BR40" s="394"/>
      <c r="BS40" s="394"/>
      <c r="BT40" s="393"/>
      <c r="BU40" s="394"/>
      <c r="BV40" s="394"/>
      <c r="BW40" s="394"/>
      <c r="BX40" s="394"/>
      <c r="CC40" s="143"/>
      <c r="CD40" s="145"/>
      <c r="CE40" s="145"/>
      <c r="CF40" s="145"/>
      <c r="CG40" s="221"/>
      <c r="CH40" s="145"/>
      <c r="CI40" s="145"/>
      <c r="CJ40" s="145"/>
      <c r="CK40" s="145"/>
      <c r="CL40" s="221"/>
      <c r="CN40" s="145"/>
      <c r="CO40" s="145"/>
      <c r="CP40" s="145"/>
      <c r="CQ40" s="221"/>
      <c r="CR40" s="145"/>
      <c r="CS40" s="145"/>
      <c r="CT40" s="145"/>
      <c r="CU40" s="145"/>
      <c r="CV40" s="221"/>
      <c r="CW40" s="145"/>
      <c r="CX40" s="145"/>
      <c r="CY40" s="145"/>
      <c r="CZ40" s="145"/>
      <c r="DA40" s="145"/>
      <c r="DB40" s="145">
        <v>0</v>
      </c>
      <c r="DC40" s="145">
        <v>0</v>
      </c>
      <c r="DD40" s="145"/>
      <c r="DE40" s="145"/>
      <c r="DF40" s="145">
        <v>0</v>
      </c>
      <c r="DG40" s="145"/>
      <c r="DH40" s="145"/>
      <c r="DI40" s="145"/>
      <c r="DJ40" s="145"/>
      <c r="DK40" s="145"/>
      <c r="DL40" s="145">
        <v>0</v>
      </c>
      <c r="DM40" s="145">
        <v>0</v>
      </c>
      <c r="DN40" s="145">
        <v>0</v>
      </c>
      <c r="DO40" s="145">
        <v>0</v>
      </c>
      <c r="DP40" s="145">
        <v>0</v>
      </c>
      <c r="DQ40" s="145"/>
      <c r="DR40" s="145"/>
      <c r="DS40" s="145"/>
      <c r="DT40" s="145"/>
      <c r="DU40" s="145"/>
      <c r="DV40" s="143"/>
      <c r="DW40" s="145"/>
      <c r="DX40" s="145"/>
      <c r="DY40" s="145"/>
      <c r="DZ40" s="145"/>
      <c r="EA40" s="143"/>
      <c r="EB40" s="145"/>
      <c r="EC40" s="145"/>
      <c r="ED40" s="145"/>
      <c r="EE40" s="145"/>
      <c r="EF40" s="143"/>
      <c r="EG40" s="145"/>
      <c r="EH40" s="145"/>
      <c r="EI40" s="145"/>
      <c r="EJ40" s="145"/>
      <c r="EK40" s="143"/>
      <c r="EL40" s="145"/>
      <c r="EM40" s="145"/>
      <c r="EN40" s="145"/>
      <c r="EO40" s="145"/>
      <c r="EP40" s="143"/>
      <c r="EQ40" s="145"/>
      <c r="ER40" s="145"/>
      <c r="ES40" s="145"/>
      <c r="EY40" s="143"/>
      <c r="EZ40" s="145"/>
      <c r="FA40" s="145"/>
      <c r="FB40" s="145"/>
      <c r="FC40" s="181"/>
      <c r="FD40" s="174" t="s">
        <v>221</v>
      </c>
      <c r="FE40" s="175" t="s">
        <v>221</v>
      </c>
      <c r="FF40" s="175" t="s">
        <v>221</v>
      </c>
      <c r="FG40" s="175" t="s">
        <v>221</v>
      </c>
      <c r="FH40" s="174" t="s">
        <v>221</v>
      </c>
      <c r="FI40" s="175" t="s">
        <v>221</v>
      </c>
      <c r="FJ40" s="175" t="s">
        <v>221</v>
      </c>
      <c r="FK40" s="175" t="s">
        <v>221</v>
      </c>
      <c r="FL40" s="176" t="s">
        <v>221</v>
      </c>
      <c r="FM40" s="145"/>
      <c r="FN40" s="145"/>
      <c r="FO40" s="145"/>
      <c r="FP40" s="145"/>
      <c r="FQ40" s="221"/>
      <c r="FR40" s="145"/>
      <c r="FS40" s="145"/>
      <c r="FT40" s="145"/>
      <c r="FU40" s="145"/>
      <c r="FV40" s="145"/>
      <c r="FW40" s="222"/>
      <c r="FX40" s="145"/>
      <c r="FY40" s="145"/>
      <c r="FZ40" s="145"/>
      <c r="GA40" s="145"/>
      <c r="GB40" s="143"/>
      <c r="GC40" s="145"/>
      <c r="GD40" s="145"/>
      <c r="GE40" s="145"/>
      <c r="GF40" s="145"/>
      <c r="GG40" s="143"/>
      <c r="GH40" s="145"/>
      <c r="GI40" s="145"/>
      <c r="GJ40" s="145"/>
      <c r="GK40" s="145"/>
      <c r="GL40" s="143"/>
      <c r="GM40" s="145"/>
      <c r="GN40" s="145"/>
      <c r="GO40" s="145"/>
      <c r="GP40" s="145"/>
      <c r="GQ40" s="143"/>
      <c r="GR40" s="145"/>
      <c r="GS40" s="145"/>
      <c r="GT40" s="145"/>
      <c r="GU40" s="182"/>
      <c r="GV40" s="145"/>
      <c r="GW40" s="145"/>
      <c r="GX40" s="145"/>
      <c r="GY40" s="145"/>
      <c r="GZ40" s="181"/>
      <c r="HA40" s="181">
        <v>0</v>
      </c>
      <c r="HB40" s="181">
        <v>0</v>
      </c>
      <c r="HC40" s="181"/>
      <c r="HD40" s="181"/>
      <c r="HE40" s="181">
        <v>0</v>
      </c>
      <c r="HF40" s="181"/>
      <c r="HG40" s="181"/>
      <c r="HH40" s="181"/>
      <c r="HI40" s="181"/>
      <c r="HJ40" s="181"/>
      <c r="HK40" s="181">
        <v>0</v>
      </c>
      <c r="HL40" s="181">
        <v>0</v>
      </c>
      <c r="HM40" s="181">
        <v>0</v>
      </c>
      <c r="HN40" s="181">
        <v>0</v>
      </c>
      <c r="HO40" s="181">
        <v>0</v>
      </c>
      <c r="HP40" s="251"/>
      <c r="HQ40" s="181"/>
      <c r="HR40" s="181"/>
      <c r="HS40" s="181"/>
      <c r="HT40" s="181"/>
      <c r="HU40" s="394"/>
      <c r="HZ40" s="251"/>
      <c r="IA40" s="181"/>
      <c r="IB40" s="181"/>
      <c r="IC40" s="181"/>
      <c r="ID40" s="181"/>
      <c r="IE40" s="535"/>
      <c r="IF40" s="253"/>
      <c r="IG40" s="253"/>
      <c r="IH40" s="253"/>
      <c r="II40" s="253"/>
      <c r="IJ40" s="535"/>
      <c r="IK40" s="253"/>
      <c r="IL40" s="253"/>
      <c r="IM40" s="253"/>
      <c r="IN40" s="253"/>
      <c r="IO40" s="535"/>
      <c r="IP40" s="253"/>
      <c r="IQ40" s="253"/>
      <c r="IR40" s="253"/>
      <c r="IS40" s="253"/>
      <c r="IY40" s="380" t="s">
        <v>221</v>
      </c>
      <c r="IZ40" s="188" t="s">
        <v>221</v>
      </c>
      <c r="JA40" s="188" t="s">
        <v>221</v>
      </c>
      <c r="JB40" s="188" t="s">
        <v>221</v>
      </c>
      <c r="JC40" s="635" t="s">
        <v>221</v>
      </c>
      <c r="JD40" s="229"/>
      <c r="JE40" s="229"/>
      <c r="JF40" s="229"/>
      <c r="JG40" s="229"/>
      <c r="JH40" s="405"/>
      <c r="JI40" s="229"/>
      <c r="JJ40" s="229"/>
      <c r="JK40" s="229"/>
      <c r="JL40" s="229"/>
      <c r="JM40" s="405"/>
      <c r="JN40" s="229"/>
      <c r="JO40" s="229"/>
      <c r="JP40" s="229"/>
      <c r="JQ40" s="229"/>
      <c r="JR40" s="229"/>
      <c r="JS40" s="229"/>
      <c r="JT40" s="229"/>
      <c r="JU40" s="229"/>
      <c r="JV40" s="229"/>
      <c r="JW40" s="405"/>
      <c r="JX40" s="229"/>
      <c r="JY40" s="229"/>
      <c r="JZ40" s="229"/>
      <c r="KA40" s="229"/>
      <c r="KB40" s="405"/>
      <c r="KC40" s="229"/>
      <c r="KD40" s="229"/>
      <c r="KE40" s="229"/>
      <c r="KF40" s="229"/>
      <c r="KG40" s="439"/>
      <c r="KH40" s="439">
        <v>0</v>
      </c>
      <c r="KI40" s="439"/>
      <c r="KJ40" s="439"/>
      <c r="KK40" s="439"/>
      <c r="KL40" s="439">
        <v>0</v>
      </c>
      <c r="KM40" s="439"/>
      <c r="KN40" s="439"/>
      <c r="KO40" s="439"/>
      <c r="KP40" s="439"/>
      <c r="KQ40" s="439"/>
      <c r="KR40" s="439">
        <v>0</v>
      </c>
      <c r="KS40" s="439"/>
      <c r="KT40" s="439"/>
      <c r="KU40" s="439"/>
      <c r="KV40" s="439">
        <v>0</v>
      </c>
      <c r="KW40" s="630"/>
      <c r="KX40" s="439"/>
      <c r="KY40" s="439"/>
      <c r="KZ40" s="439"/>
      <c r="LA40" s="439"/>
      <c r="LB40" s="652"/>
      <c r="LC40" s="653"/>
      <c r="LD40" s="653"/>
      <c r="LE40" s="653"/>
      <c r="LF40" s="653"/>
      <c r="LG40" s="652"/>
      <c r="LH40" s="653"/>
      <c r="LI40" s="439"/>
      <c r="LJ40" s="439"/>
      <c r="LK40" s="439"/>
      <c r="LL40" s="652"/>
      <c r="LM40" s="653"/>
      <c r="LN40" s="653"/>
      <c r="LO40" s="653"/>
      <c r="LP40" s="653"/>
      <c r="LQ40" s="652"/>
      <c r="LR40" s="653"/>
      <c r="LS40" s="653"/>
      <c r="LT40" s="653"/>
      <c r="LU40" s="653"/>
      <c r="MA40" s="143"/>
      <c r="MB40" s="145"/>
      <c r="MC40" s="145"/>
      <c r="MD40" s="145"/>
      <c r="ME40" s="221"/>
      <c r="MF40" s="145"/>
      <c r="MG40" s="145"/>
      <c r="MH40" s="145"/>
      <c r="MI40" s="145"/>
      <c r="MJ40" s="221"/>
      <c r="MK40" s="145"/>
      <c r="ML40" s="145"/>
      <c r="MM40" s="145"/>
      <c r="MN40" s="145"/>
      <c r="MO40" s="145"/>
      <c r="MP40" s="143"/>
      <c r="MQ40" s="145"/>
      <c r="MR40" s="145"/>
      <c r="MS40" s="145"/>
      <c r="MT40" s="145"/>
      <c r="MU40" s="143"/>
      <c r="MV40" s="145"/>
      <c r="MW40" s="145"/>
      <c r="MX40" s="145"/>
      <c r="MY40" s="221"/>
      <c r="MZ40" s="145"/>
      <c r="NA40" s="145"/>
      <c r="NB40" s="145"/>
      <c r="NC40" s="145"/>
      <c r="ND40" s="145"/>
      <c r="NE40" s="145"/>
      <c r="NF40" s="145">
        <v>0</v>
      </c>
      <c r="NG40" s="145"/>
      <c r="NH40" s="145"/>
      <c r="NI40" s="145">
        <v>0</v>
      </c>
      <c r="NJ40" s="145"/>
      <c r="NK40" s="145"/>
      <c r="NL40" s="145"/>
      <c r="NM40" s="145"/>
      <c r="NN40" s="145"/>
      <c r="NO40" s="145">
        <v>0</v>
      </c>
      <c r="NP40" s="145"/>
      <c r="NQ40" s="145"/>
      <c r="NR40" s="145"/>
      <c r="NS40" s="145">
        <v>0</v>
      </c>
      <c r="NT40" s="145"/>
      <c r="NU40" s="145"/>
      <c r="NV40" s="145"/>
      <c r="NW40" s="145"/>
      <c r="NX40" s="145"/>
      <c r="NY40" s="143"/>
      <c r="NZ40" s="145"/>
      <c r="OA40" s="145"/>
      <c r="OB40" s="145"/>
      <c r="OC40" s="221"/>
      <c r="OD40" s="143"/>
      <c r="OE40" s="145"/>
      <c r="OF40" s="145"/>
      <c r="OG40" s="145"/>
      <c r="OH40" s="145"/>
      <c r="OI40" s="143"/>
      <c r="OJ40" s="145"/>
      <c r="OK40" s="145"/>
      <c r="OL40" s="145"/>
      <c r="OM40" s="145"/>
      <c r="ON40" s="143"/>
      <c r="OO40" s="145"/>
      <c r="OP40" s="145"/>
      <c r="OQ40" s="145"/>
      <c r="OR40" s="145"/>
      <c r="OX40" s="251"/>
      <c r="OY40" s="181"/>
      <c r="OZ40" s="181"/>
      <c r="PA40" s="181"/>
      <c r="PB40" s="181"/>
      <c r="PC40" s="251"/>
      <c r="PD40" s="181"/>
      <c r="PE40" s="181"/>
      <c r="PF40" s="181"/>
      <c r="PG40" s="181"/>
      <c r="PH40" s="143"/>
      <c r="PI40" s="145"/>
      <c r="PJ40" s="145"/>
      <c r="PK40" s="145"/>
      <c r="PL40" s="145"/>
      <c r="PM40" s="145"/>
      <c r="PN40" s="145"/>
      <c r="PO40" s="145"/>
      <c r="PP40" s="145"/>
      <c r="PQ40" s="145"/>
      <c r="PR40" s="398"/>
      <c r="PS40" s="229"/>
      <c r="PT40" s="229"/>
      <c r="PU40" s="229"/>
      <c r="PV40" s="229"/>
      <c r="PW40" s="229"/>
      <c r="PX40" s="229"/>
      <c r="PY40" s="229"/>
      <c r="PZ40" s="229"/>
      <c r="QA40" s="405"/>
      <c r="QB40" s="229"/>
      <c r="QC40" s="229">
        <v>0</v>
      </c>
      <c r="QD40" s="229"/>
      <c r="QE40" s="229"/>
      <c r="QF40" s="229">
        <v>0</v>
      </c>
      <c r="QG40" s="229"/>
      <c r="QH40" s="229"/>
      <c r="QI40" s="229"/>
      <c r="QJ40" s="229"/>
      <c r="QK40" s="229"/>
      <c r="QL40" s="398">
        <v>0</v>
      </c>
      <c r="QM40" s="229"/>
      <c r="QN40" s="229"/>
      <c r="QO40" s="229"/>
      <c r="QP40" s="229">
        <v>0</v>
      </c>
      <c r="QQ40" s="398"/>
      <c r="QR40" s="229"/>
      <c r="QS40" s="229"/>
      <c r="QT40" s="229"/>
      <c r="QU40" s="229"/>
      <c r="QV40" s="398"/>
      <c r="QW40" s="229"/>
      <c r="QX40" s="229"/>
      <c r="QY40" s="229"/>
      <c r="QZ40" s="229"/>
      <c r="RA40" s="398"/>
      <c r="RB40" s="229"/>
      <c r="RC40" s="229"/>
      <c r="RD40" s="229"/>
      <c r="RE40" s="229"/>
      <c r="RF40" s="229"/>
      <c r="RG40" s="229"/>
      <c r="RH40" s="229"/>
      <c r="RI40" s="229"/>
      <c r="RJ40" s="229"/>
      <c r="RK40" s="229"/>
      <c r="RL40" s="229"/>
      <c r="RM40" s="229"/>
      <c r="RN40" s="229"/>
      <c r="RO40" s="229"/>
      <c r="RU40" s="143"/>
      <c r="RV40" s="145"/>
      <c r="RW40" s="145"/>
      <c r="RX40" s="145"/>
      <c r="RY40" s="145"/>
      <c r="RZ40" s="143"/>
      <c r="SA40" s="145"/>
      <c r="SB40" s="145"/>
      <c r="SC40" s="145"/>
      <c r="SD40" s="145"/>
      <c r="SE40" s="143"/>
      <c r="SF40" s="145"/>
      <c r="SG40" s="145"/>
      <c r="SH40" s="145"/>
      <c r="SI40" s="145"/>
      <c r="SJ40" s="143"/>
      <c r="SK40" s="145"/>
      <c r="SL40" s="145"/>
      <c r="SM40" s="145"/>
      <c r="SN40" s="145"/>
      <c r="SO40" s="143"/>
      <c r="SP40" s="145"/>
      <c r="SQ40" s="145"/>
      <c r="SR40" s="145"/>
      <c r="SS40" s="145"/>
      <c r="ST40" s="143"/>
      <c r="SU40" s="145"/>
      <c r="SV40" s="145"/>
      <c r="SW40" s="145"/>
      <c r="SX40" s="145"/>
      <c r="SY40" s="145"/>
      <c r="SZ40" s="145">
        <v>0</v>
      </c>
      <c r="TA40" s="145"/>
      <c r="TB40" s="145"/>
      <c r="TC40" s="145">
        <v>0</v>
      </c>
      <c r="TE40" s="145"/>
      <c r="TF40" s="145"/>
      <c r="TG40" s="145"/>
      <c r="TH40" s="145"/>
      <c r="TI40" s="145">
        <v>0</v>
      </c>
      <c r="TJ40" s="145"/>
      <c r="TK40" s="145"/>
      <c r="TL40" s="145"/>
      <c r="TM40" s="145">
        <v>0</v>
      </c>
      <c r="TN40" s="145"/>
      <c r="TO40" s="145"/>
      <c r="TP40" s="145"/>
      <c r="TQ40" s="145"/>
      <c r="TR40" s="145"/>
      <c r="TS40" s="143"/>
      <c r="TT40" s="145"/>
      <c r="TU40" s="145"/>
      <c r="TV40" s="145"/>
      <c r="TW40" s="145"/>
      <c r="TX40" s="143"/>
      <c r="TY40" s="145"/>
      <c r="TZ40" s="145"/>
      <c r="UA40" s="145"/>
      <c r="UB40" s="145"/>
      <c r="UC40" s="143"/>
      <c r="UD40" s="145"/>
      <c r="UE40" s="145"/>
      <c r="UF40" s="145"/>
      <c r="UG40" s="145"/>
      <c r="UH40" s="143"/>
      <c r="UI40" s="145"/>
      <c r="UJ40" s="145"/>
      <c r="UK40" s="145"/>
      <c r="UL40" s="145"/>
      <c r="UR40" s="40"/>
      <c r="US40" s="40"/>
      <c r="UT40" s="40"/>
      <c r="UU40" s="40"/>
      <c r="UV40" s="40"/>
      <c r="UW40" s="40"/>
      <c r="UX40" s="42"/>
      <c r="UY40" s="40"/>
      <c r="UZ40" s="40"/>
      <c r="VA40" s="40"/>
      <c r="VB40" s="40"/>
      <c r="VC40" s="40"/>
      <c r="VD40" s="40"/>
      <c r="VE40" s="40"/>
      <c r="VF40" s="40"/>
      <c r="VG40" s="40"/>
      <c r="VH40" s="40"/>
      <c r="VI40" s="40"/>
      <c r="VJ40" s="42"/>
      <c r="VK40" s="40"/>
      <c r="VL40" s="40"/>
      <c r="VM40" s="145"/>
      <c r="VN40" s="40"/>
      <c r="VO40" s="40"/>
      <c r="VP40" s="40"/>
      <c r="VQ40" s="40"/>
      <c r="VR40" s="145"/>
      <c r="VS40" s="40"/>
      <c r="VT40" s="40"/>
      <c r="VU40" s="145"/>
      <c r="VV40" s="40"/>
      <c r="VW40" s="40"/>
      <c r="VX40" s="40"/>
      <c r="VY40" s="40"/>
      <c r="VZ40" s="40"/>
      <c r="WA40" s="234"/>
      <c r="WB40" s="234"/>
      <c r="WC40" s="234"/>
      <c r="WD40" s="40"/>
      <c r="WE40" s="40"/>
      <c r="WF40" s="40"/>
      <c r="WG40" s="143"/>
      <c r="WH40" s="40"/>
      <c r="WI40" s="40"/>
      <c r="WJ40" s="145"/>
      <c r="WK40" s="145"/>
      <c r="WL40" s="40"/>
      <c r="WM40" s="40"/>
      <c r="WN40" s="40"/>
      <c r="WO40" s="40"/>
      <c r="WP40" s="145"/>
      <c r="WQ40" s="145"/>
      <c r="WR40" s="40"/>
      <c r="WS40" s="40"/>
      <c r="WT40" s="145"/>
      <c r="WU40" s="40"/>
      <c r="WV40" s="40"/>
      <c r="WW40" s="221"/>
      <c r="WX40" s="595"/>
      <c r="WY40" s="595"/>
      <c r="WZ40" s="236"/>
      <c r="XA40" s="236"/>
      <c r="XB40" s="236"/>
      <c r="XC40" s="595"/>
      <c r="XD40" s="595"/>
      <c r="XE40" s="595"/>
      <c r="XF40" s="40"/>
      <c r="XG40" s="40"/>
      <c r="XH40" s="40"/>
      <c r="XI40" s="40"/>
      <c r="XJ40" s="590"/>
      <c r="XK40" s="40"/>
      <c r="XL40" s="40"/>
      <c r="XM40" s="229"/>
      <c r="XN40" s="229"/>
      <c r="XO40" s="229"/>
      <c r="XP40" s="254"/>
      <c r="XQ40" s="40"/>
      <c r="XR40" s="40"/>
      <c r="XS40" s="229"/>
      <c r="XT40" s="40"/>
      <c r="XU40" s="40"/>
      <c r="XV40" s="229"/>
      <c r="XW40" s="40"/>
      <c r="XX40" s="40"/>
      <c r="XY40" s="229"/>
      <c r="XZ40" s="40"/>
      <c r="YA40" s="40"/>
      <c r="YB40" s="587"/>
      <c r="YC40" s="40"/>
      <c r="YD40" s="40"/>
      <c r="YE40" s="40"/>
      <c r="YF40" s="229"/>
      <c r="YG40" s="143"/>
      <c r="YH40" s="145"/>
      <c r="YI40" s="145"/>
      <c r="YJ40" s="145"/>
      <c r="YK40" s="145"/>
      <c r="YL40" s="143"/>
      <c r="YM40" s="145"/>
      <c r="YN40" s="145"/>
      <c r="YO40" s="145"/>
      <c r="YP40" s="145"/>
      <c r="YQ40" s="143"/>
      <c r="YR40" s="145"/>
      <c r="YS40" s="145"/>
      <c r="YT40" s="145"/>
      <c r="YU40" s="145"/>
      <c r="YV40" s="143"/>
      <c r="YW40" s="145"/>
      <c r="YX40" s="145"/>
      <c r="YY40" s="145"/>
      <c r="YZ40" s="145"/>
      <c r="ZA40" s="145"/>
      <c r="ZB40" s="145"/>
      <c r="ZC40" s="145"/>
      <c r="ZD40" s="145"/>
      <c r="ZE40" s="1"/>
      <c r="ZF40" s="1">
        <v>0</v>
      </c>
      <c r="ZG40" s="1">
        <v>0</v>
      </c>
      <c r="ZH40" s="1"/>
      <c r="ZI40" s="1"/>
      <c r="ZJ40" s="1">
        <v>0</v>
      </c>
      <c r="ZK40" s="1"/>
      <c r="ZL40" s="1"/>
      <c r="ZM40" s="1"/>
      <c r="ZN40" s="1"/>
      <c r="ZO40" s="1"/>
      <c r="ZP40" s="1">
        <v>0</v>
      </c>
      <c r="ZQ40" s="1"/>
      <c r="ZR40" s="1"/>
      <c r="ZS40" s="1"/>
      <c r="ZT40" s="1">
        <v>0</v>
      </c>
      <c r="ZU40" s="1"/>
      <c r="ZV40" s="1"/>
      <c r="ZW40" s="1"/>
      <c r="ZX40" s="1"/>
      <c r="ZY40" s="1"/>
      <c r="ZZ40" s="394"/>
      <c r="AAE40" s="50"/>
      <c r="AAF40" s="1"/>
      <c r="AAG40" s="1"/>
      <c r="AAH40" s="1"/>
      <c r="AAI40" s="1"/>
      <c r="AAJ40" s="50"/>
      <c r="AAK40" s="1"/>
      <c r="AAL40" s="1"/>
      <c r="AAM40" s="1"/>
      <c r="AAN40" s="1"/>
      <c r="AAO40" s="68"/>
      <c r="AAP40" s="37"/>
      <c r="AAQ40" s="37"/>
      <c r="AAR40" s="37"/>
      <c r="AAS40" s="37"/>
      <c r="AAT40" s="68"/>
      <c r="AAU40" s="37"/>
      <c r="AAV40" s="37"/>
      <c r="AAW40" s="37"/>
      <c r="AAX40" s="37"/>
      <c r="ABD40" s="143"/>
      <c r="ABE40" s="145"/>
      <c r="ABF40" s="145"/>
      <c r="ABG40" s="145"/>
      <c r="ABH40" s="145"/>
      <c r="ABI40" s="143"/>
      <c r="ABJ40" s="145"/>
      <c r="ABK40" s="145"/>
      <c r="ABL40" s="145"/>
      <c r="ABM40" s="145"/>
      <c r="ABN40" s="143"/>
      <c r="ABO40" s="145"/>
      <c r="ABP40" s="145"/>
      <c r="ABQ40" s="145"/>
      <c r="ABR40" s="145"/>
      <c r="ABS40" s="143"/>
      <c r="ABT40" s="145"/>
      <c r="ABU40" s="145"/>
      <c r="ABV40" s="145"/>
      <c r="ABW40" s="221"/>
      <c r="ABX40" s="374"/>
      <c r="ACB40" s="49"/>
      <c r="ACD40" s="1">
        <v>0</v>
      </c>
      <c r="ACG40" s="1">
        <v>0</v>
      </c>
      <c r="ACM40" s="1">
        <v>0</v>
      </c>
      <c r="ACQ40" s="1">
        <v>0</v>
      </c>
      <c r="ADG40" s="50"/>
    </row>
    <row r="41" spans="1:806" ht="12.75" customHeight="1">
      <c r="A41" s="138" t="s">
        <v>39</v>
      </c>
      <c r="B41" s="174" t="s">
        <v>221</v>
      </c>
      <c r="C41" s="175" t="s">
        <v>221</v>
      </c>
      <c r="D41" s="175" t="s">
        <v>221</v>
      </c>
      <c r="E41" s="175" t="s">
        <v>221</v>
      </c>
      <c r="F41" s="176" t="s">
        <v>221</v>
      </c>
      <c r="G41" s="3">
        <v>750932</v>
      </c>
      <c r="H41" s="3">
        <v>539206</v>
      </c>
      <c r="I41" s="3">
        <v>103669</v>
      </c>
      <c r="J41" s="3">
        <v>152491</v>
      </c>
      <c r="K41" s="8">
        <v>108057</v>
      </c>
      <c r="L41" s="3">
        <v>597684</v>
      </c>
      <c r="M41" s="3">
        <v>364573</v>
      </c>
      <c r="N41" s="3">
        <v>68666</v>
      </c>
      <c r="O41" s="3">
        <v>246009</v>
      </c>
      <c r="P41" s="8">
        <v>164445</v>
      </c>
      <c r="Q41" s="3">
        <v>540295</v>
      </c>
      <c r="R41" s="3">
        <v>192740</v>
      </c>
      <c r="S41" s="3">
        <v>56765</v>
      </c>
      <c r="T41" s="3">
        <v>269189</v>
      </c>
      <c r="U41" s="8">
        <v>189321</v>
      </c>
      <c r="V41" s="5">
        <v>499820</v>
      </c>
      <c r="W41" s="5">
        <v>292349</v>
      </c>
      <c r="X41" s="5">
        <v>52074</v>
      </c>
      <c r="Y41" s="5">
        <v>265638</v>
      </c>
      <c r="Z41" s="408">
        <v>155397</v>
      </c>
      <c r="AA41" s="5">
        <v>477011</v>
      </c>
      <c r="AB41" s="5">
        <v>138996</v>
      </c>
      <c r="AC41" s="5">
        <v>46868</v>
      </c>
      <c r="AD41" s="5">
        <v>265592</v>
      </c>
      <c r="AE41" s="5">
        <v>149164</v>
      </c>
      <c r="AF41" s="399">
        <v>478438</v>
      </c>
      <c r="AG41" s="5">
        <v>135012</v>
      </c>
      <c r="AH41" s="5">
        <v>43898</v>
      </c>
      <c r="AI41" s="5">
        <v>272386</v>
      </c>
      <c r="AJ41" s="490">
        <v>151920</v>
      </c>
      <c r="AK41" s="490">
        <v>451301</v>
      </c>
      <c r="AL41" s="490">
        <v>123440</v>
      </c>
      <c r="AM41" s="685">
        <v>41395</v>
      </c>
      <c r="AN41" s="685">
        <v>260137</v>
      </c>
      <c r="AO41" s="490">
        <v>144853</v>
      </c>
      <c r="AP41" s="394">
        <v>456567</v>
      </c>
      <c r="AQ41" s="394">
        <v>115513</v>
      </c>
      <c r="AR41" s="394">
        <v>37987</v>
      </c>
      <c r="AS41" s="394">
        <v>275688</v>
      </c>
      <c r="AT41" s="394">
        <v>152909</v>
      </c>
      <c r="AU41" s="393">
        <v>429910</v>
      </c>
      <c r="AV41" s="394">
        <v>108765</v>
      </c>
      <c r="AW41" s="394">
        <v>36482</v>
      </c>
      <c r="AX41" s="394">
        <v>252800</v>
      </c>
      <c r="AY41" s="394">
        <v>161947</v>
      </c>
      <c r="AZ41" s="1">
        <v>28215</v>
      </c>
      <c r="BA41" s="1">
        <v>0</v>
      </c>
      <c r="BB41" s="1">
        <v>2663</v>
      </c>
      <c r="BC41" s="1">
        <v>5756</v>
      </c>
      <c r="BD41" s="1">
        <v>125313</v>
      </c>
      <c r="BE41" s="393">
        <v>424494</v>
      </c>
      <c r="BF41" s="394">
        <v>98004</v>
      </c>
      <c r="BG41" s="394">
        <v>36321</v>
      </c>
      <c r="BH41" s="394">
        <v>260498</v>
      </c>
      <c r="BI41" s="394">
        <v>156758</v>
      </c>
      <c r="BJ41" s="393">
        <v>403880</v>
      </c>
      <c r="BK41" s="394"/>
      <c r="BL41" s="394"/>
      <c r="BM41" s="394"/>
      <c r="BN41" s="394"/>
      <c r="BO41" s="393">
        <v>388348</v>
      </c>
      <c r="BP41" s="394">
        <v>95014</v>
      </c>
      <c r="BQ41" s="394">
        <v>35306</v>
      </c>
      <c r="BR41" s="394">
        <v>225401</v>
      </c>
      <c r="BS41" s="394">
        <v>127820</v>
      </c>
      <c r="BT41" s="393">
        <v>399073</v>
      </c>
      <c r="BU41" s="394">
        <v>95756</v>
      </c>
      <c r="BV41" s="394">
        <v>33438</v>
      </c>
      <c r="BW41" s="394">
        <v>237736</v>
      </c>
      <c r="BX41" s="394">
        <v>25946</v>
      </c>
      <c r="BY41" s="1">
        <v>0</v>
      </c>
      <c r="BZ41" s="1">
        <v>9130</v>
      </c>
      <c r="CA41" s="1">
        <v>96824</v>
      </c>
      <c r="CB41" s="1">
        <v>122075</v>
      </c>
      <c r="CC41" s="10">
        <v>984857</v>
      </c>
      <c r="CD41" s="3">
        <v>702792</v>
      </c>
      <c r="CE41" s="3">
        <v>223285</v>
      </c>
      <c r="CF41" s="3">
        <v>237736</v>
      </c>
      <c r="CG41" s="8">
        <v>58780</v>
      </c>
      <c r="CH41" s="3">
        <v>882759</v>
      </c>
      <c r="CI41" s="3">
        <v>559297</v>
      </c>
      <c r="CJ41" s="3">
        <v>218567</v>
      </c>
      <c r="CK41" s="3">
        <v>142841</v>
      </c>
      <c r="CL41" s="8">
        <v>104895</v>
      </c>
      <c r="CM41" s="1">
        <v>686382</v>
      </c>
      <c r="CN41" s="3">
        <v>360646</v>
      </c>
      <c r="CO41" s="3">
        <v>161045</v>
      </c>
      <c r="CP41" s="3">
        <v>144368</v>
      </c>
      <c r="CQ41" s="8">
        <v>108501</v>
      </c>
      <c r="CR41" s="3">
        <v>633143</v>
      </c>
      <c r="CS41" s="3">
        <v>389124</v>
      </c>
      <c r="CT41" s="3">
        <v>148099</v>
      </c>
      <c r="CU41" s="3">
        <v>154364</v>
      </c>
      <c r="CV41" s="8">
        <v>95920</v>
      </c>
      <c r="CW41" s="3">
        <v>608597</v>
      </c>
      <c r="CX41" s="3">
        <v>284194</v>
      </c>
      <c r="CY41" s="3">
        <v>144374</v>
      </c>
      <c r="CZ41" s="3">
        <v>158644</v>
      </c>
      <c r="DA41" s="3">
        <v>93717</v>
      </c>
      <c r="DB41" s="3">
        <v>586595</v>
      </c>
      <c r="DC41" s="3">
        <v>271680</v>
      </c>
      <c r="DD41" s="3">
        <v>137112</v>
      </c>
      <c r="DE41" s="3">
        <v>156009</v>
      </c>
      <c r="DF41" s="39">
        <v>91175</v>
      </c>
      <c r="DG41" s="39">
        <v>570565</v>
      </c>
      <c r="DH41" s="39">
        <v>262702</v>
      </c>
      <c r="DI41" s="39">
        <v>133177</v>
      </c>
      <c r="DJ41" s="39">
        <v>154796</v>
      </c>
      <c r="DK41" s="39">
        <v>87558</v>
      </c>
      <c r="DL41" s="39">
        <v>535035</v>
      </c>
      <c r="DM41" s="39">
        <v>241485</v>
      </c>
      <c r="DN41" s="39">
        <v>124290</v>
      </c>
      <c r="DO41" s="39">
        <v>147363</v>
      </c>
      <c r="DP41" s="39">
        <v>86656</v>
      </c>
      <c r="DQ41" s="39">
        <v>536517</v>
      </c>
      <c r="DR41" s="39">
        <v>246697</v>
      </c>
      <c r="DS41" s="39">
        <v>122622</v>
      </c>
      <c r="DT41" s="39">
        <v>146065</v>
      </c>
      <c r="DU41" s="39">
        <v>87742</v>
      </c>
      <c r="DV41" s="118">
        <v>525386</v>
      </c>
      <c r="DW41" s="39">
        <v>225696</v>
      </c>
      <c r="DX41" s="39">
        <v>118595</v>
      </c>
      <c r="DY41" s="39">
        <v>159039</v>
      </c>
      <c r="DZ41" s="39">
        <v>94377</v>
      </c>
      <c r="EA41" s="118">
        <v>510902</v>
      </c>
      <c r="EB41" s="39"/>
      <c r="EC41" s="39"/>
      <c r="ED41" s="39"/>
      <c r="EE41" s="39"/>
      <c r="EF41" s="118">
        <v>494289</v>
      </c>
      <c r="EG41" s="39">
        <v>210134</v>
      </c>
      <c r="EH41" s="39">
        <v>123115</v>
      </c>
      <c r="EI41" s="39">
        <v>135504</v>
      </c>
      <c r="EJ41" s="39">
        <v>74617</v>
      </c>
      <c r="EK41" s="118">
        <v>494289</v>
      </c>
      <c r="EL41" s="39">
        <v>210134</v>
      </c>
      <c r="EM41" s="39">
        <v>123115</v>
      </c>
      <c r="EN41" s="39">
        <v>135504</v>
      </c>
      <c r="EO41" s="39">
        <v>74617</v>
      </c>
      <c r="EP41" s="118">
        <v>458931</v>
      </c>
      <c r="EQ41" s="39">
        <v>191344</v>
      </c>
      <c r="ER41" s="39">
        <v>101733</v>
      </c>
      <c r="ES41" s="39">
        <v>132123</v>
      </c>
      <c r="ET41" s="1">
        <v>18781</v>
      </c>
      <c r="EU41" s="1">
        <v>0</v>
      </c>
      <c r="EV41" s="1">
        <v>5768</v>
      </c>
      <c r="EW41" s="1">
        <v>62196</v>
      </c>
      <c r="EX41" s="1">
        <v>66240</v>
      </c>
      <c r="EY41" s="10">
        <v>1109013</v>
      </c>
      <c r="EZ41" s="3">
        <v>665401</v>
      </c>
      <c r="FA41" s="3">
        <v>194800</v>
      </c>
      <c r="FB41" s="3">
        <v>420877</v>
      </c>
      <c r="FC41" s="201">
        <f t="shared" ref="FC41:FC52" si="574">EY41-EZ41-FA41</f>
        <v>248812</v>
      </c>
      <c r="FD41" s="174" t="s">
        <v>221</v>
      </c>
      <c r="FE41" s="175" t="s">
        <v>221</v>
      </c>
      <c r="FF41" s="175" t="s">
        <v>221</v>
      </c>
      <c r="FG41" s="175" t="s">
        <v>221</v>
      </c>
      <c r="FH41" s="174" t="s">
        <v>221</v>
      </c>
      <c r="FI41" s="175" t="s">
        <v>221</v>
      </c>
      <c r="FJ41" s="175" t="s">
        <v>221</v>
      </c>
      <c r="FK41" s="175" t="s">
        <v>221</v>
      </c>
      <c r="FL41" s="176" t="s">
        <v>221</v>
      </c>
      <c r="FM41" s="3">
        <v>5558141</v>
      </c>
      <c r="FN41" s="3">
        <v>4707893</v>
      </c>
      <c r="FO41" s="3">
        <v>611424</v>
      </c>
      <c r="FP41" s="3">
        <v>190594</v>
      </c>
      <c r="FQ41" s="8">
        <v>238824</v>
      </c>
      <c r="FR41" s="3">
        <v>6493228</v>
      </c>
      <c r="FS41" s="3">
        <v>5220174</v>
      </c>
      <c r="FT41" s="3">
        <v>777283</v>
      </c>
      <c r="FU41" s="3">
        <v>365798</v>
      </c>
      <c r="FV41" s="3">
        <v>495771</v>
      </c>
      <c r="FW41" s="127">
        <v>7066217</v>
      </c>
      <c r="FX41" s="3">
        <v>5218152</v>
      </c>
      <c r="FY41" s="3">
        <v>962598</v>
      </c>
      <c r="FZ41" s="3">
        <v>721289</v>
      </c>
      <c r="GA41" s="3">
        <v>576921</v>
      </c>
      <c r="GB41" s="10">
        <v>7133717</v>
      </c>
      <c r="GC41" s="3">
        <v>5522069</v>
      </c>
      <c r="GD41" s="3">
        <v>898135</v>
      </c>
      <c r="GE41" s="3">
        <v>713513</v>
      </c>
      <c r="GF41" s="3">
        <v>597653</v>
      </c>
      <c r="GG41" s="42">
        <v>7207343</v>
      </c>
      <c r="GH41" s="40">
        <v>5610421</v>
      </c>
      <c r="GI41" s="40">
        <v>912763</v>
      </c>
      <c r="GJ41" s="40">
        <v>684159</v>
      </c>
      <c r="GK41" s="40">
        <v>593871</v>
      </c>
      <c r="GL41" s="10">
        <v>7274223</v>
      </c>
      <c r="GM41" s="3">
        <v>5673645</v>
      </c>
      <c r="GN41" s="3">
        <v>917125</v>
      </c>
      <c r="GO41" s="3">
        <v>621803</v>
      </c>
      <c r="GP41" s="3">
        <v>615040</v>
      </c>
      <c r="GQ41" s="10">
        <v>7356736.75</v>
      </c>
      <c r="GR41" s="3">
        <v>5739084.9360000007</v>
      </c>
      <c r="GS41" s="3">
        <v>930086.7379999999</v>
      </c>
      <c r="GT41" s="3">
        <v>651127.26399999997</v>
      </c>
      <c r="GU41" s="373">
        <f t="shared" ref="GU41:GU52" si="575">GQ41-GR41-GS41</f>
        <v>687565.07599999942</v>
      </c>
      <c r="GV41" s="3">
        <v>7429553</v>
      </c>
      <c r="GW41" s="3">
        <v>5369053</v>
      </c>
      <c r="GX41" s="3">
        <v>943091</v>
      </c>
      <c r="GY41" s="3">
        <v>670638</v>
      </c>
      <c r="GZ41" s="3">
        <v>699500</v>
      </c>
      <c r="HA41" s="3">
        <v>7491755</v>
      </c>
      <c r="HB41" s="3">
        <v>5385240</v>
      </c>
      <c r="HC41" s="3">
        <v>954121</v>
      </c>
      <c r="HD41" s="3">
        <v>689327</v>
      </c>
      <c r="HE41" s="3">
        <v>713146</v>
      </c>
      <c r="HF41" s="3">
        <v>7617210</v>
      </c>
      <c r="HG41" s="3">
        <v>5385508</v>
      </c>
      <c r="HH41" s="3">
        <v>972624</v>
      </c>
      <c r="HI41" s="3">
        <v>754650</v>
      </c>
      <c r="HJ41" s="3">
        <v>782154</v>
      </c>
      <c r="HK41" s="3">
        <v>7670336</v>
      </c>
      <c r="HL41" s="3">
        <v>5391468</v>
      </c>
      <c r="HM41" s="3">
        <v>996040</v>
      </c>
      <c r="HN41" s="3">
        <v>771827</v>
      </c>
      <c r="HO41" s="3">
        <v>799553</v>
      </c>
      <c r="HP41" s="10">
        <v>7698792</v>
      </c>
      <c r="HQ41" s="3">
        <v>5369059</v>
      </c>
      <c r="HR41" s="3">
        <v>995224</v>
      </c>
      <c r="HS41" s="3">
        <v>806186</v>
      </c>
      <c r="HT41" s="3">
        <v>836740</v>
      </c>
      <c r="HU41" s="394">
        <v>434158</v>
      </c>
      <c r="HV41" s="1">
        <v>0</v>
      </c>
      <c r="HW41" s="1">
        <v>16188</v>
      </c>
      <c r="HX41" s="1">
        <v>113489</v>
      </c>
      <c r="HY41" s="1">
        <v>272905</v>
      </c>
      <c r="HZ41" s="10">
        <v>7757177</v>
      </c>
      <c r="IA41" s="3">
        <v>5387377</v>
      </c>
      <c r="IB41" s="3">
        <v>1013687</v>
      </c>
      <c r="IC41" s="3">
        <v>815096</v>
      </c>
      <c r="ID41" s="3">
        <v>846113</v>
      </c>
      <c r="IE41" s="399">
        <v>7791594</v>
      </c>
      <c r="IF41" s="5"/>
      <c r="IG41" s="5"/>
      <c r="IH41" s="5"/>
      <c r="II41" s="5"/>
      <c r="IJ41" s="399">
        <v>7812057</v>
      </c>
      <c r="IK41" s="5">
        <v>5335849</v>
      </c>
      <c r="IL41" s="5">
        <v>1019157</v>
      </c>
      <c r="IM41" s="5">
        <v>895411</v>
      </c>
      <c r="IN41" s="5">
        <v>897760</v>
      </c>
      <c r="IO41" s="399">
        <v>7872693</v>
      </c>
      <c r="IP41" s="5">
        <v>5219158</v>
      </c>
      <c r="IQ41" s="5">
        <v>1002738</v>
      </c>
      <c r="IR41" s="5">
        <v>946946</v>
      </c>
      <c r="IS41" s="5">
        <v>1518412</v>
      </c>
      <c r="IT41" s="1">
        <v>478254</v>
      </c>
      <c r="IU41" s="1">
        <v>0</v>
      </c>
      <c r="IV41" s="1">
        <v>37381</v>
      </c>
      <c r="IW41" s="1">
        <v>610414</v>
      </c>
      <c r="IX41" s="1">
        <v>392363</v>
      </c>
      <c r="IY41" s="380" t="s">
        <v>221</v>
      </c>
      <c r="IZ41" s="188" t="s">
        <v>221</v>
      </c>
      <c r="JA41" s="188" t="s">
        <v>221</v>
      </c>
      <c r="JB41" s="188" t="s">
        <v>221</v>
      </c>
      <c r="JC41" s="635" t="s">
        <v>221</v>
      </c>
      <c r="JD41" s="5">
        <v>1835803</v>
      </c>
      <c r="JE41" s="5">
        <v>1502548</v>
      </c>
      <c r="JF41" s="5">
        <v>262635</v>
      </c>
      <c r="JG41" s="5">
        <v>69968</v>
      </c>
      <c r="JH41" s="408">
        <v>70620</v>
      </c>
      <c r="JI41" s="5">
        <v>2202888</v>
      </c>
      <c r="JJ41" s="5">
        <v>1719292</v>
      </c>
      <c r="JK41" s="5">
        <v>343052</v>
      </c>
      <c r="JL41" s="5">
        <v>128919</v>
      </c>
      <c r="JM41" s="408">
        <v>140544</v>
      </c>
      <c r="JN41" s="5">
        <v>2270740</v>
      </c>
      <c r="JO41" s="5">
        <v>1648546</v>
      </c>
      <c r="JP41" s="5">
        <v>356738</v>
      </c>
      <c r="JQ41" s="5">
        <v>179108</v>
      </c>
      <c r="JR41" s="5">
        <v>188442</v>
      </c>
      <c r="JS41" s="5">
        <v>2406161</v>
      </c>
      <c r="JT41" s="5">
        <v>1830272</v>
      </c>
      <c r="JU41" s="5">
        <v>398817</v>
      </c>
      <c r="JV41" s="5">
        <v>203180</v>
      </c>
      <c r="JW41" s="408">
        <v>177072</v>
      </c>
      <c r="JX41" s="5">
        <v>2421204.5000000005</v>
      </c>
      <c r="JY41" s="5">
        <v>1842649.3440000003</v>
      </c>
      <c r="JZ41" s="5">
        <v>404238.66699999996</v>
      </c>
      <c r="KA41" s="5">
        <v>212044.734</v>
      </c>
      <c r="KB41" s="408">
        <v>174316.48900000023</v>
      </c>
      <c r="KC41" s="5">
        <v>2445190</v>
      </c>
      <c r="KD41" s="5">
        <v>1724182</v>
      </c>
      <c r="KE41" s="5">
        <v>404943</v>
      </c>
      <c r="KF41" s="5">
        <v>221800</v>
      </c>
      <c r="KG41" s="439">
        <v>177546</v>
      </c>
      <c r="KH41" s="439">
        <v>2458427</v>
      </c>
      <c r="KI41" s="439">
        <v>1726776</v>
      </c>
      <c r="KJ41" s="439">
        <v>403498</v>
      </c>
      <c r="KK41" s="439">
        <v>229571</v>
      </c>
      <c r="KL41" s="439">
        <v>180140</v>
      </c>
      <c r="KM41" s="439">
        <v>2478122</v>
      </c>
      <c r="KN41" s="439">
        <v>1710890</v>
      </c>
      <c r="KO41" s="439">
        <v>408130</v>
      </c>
      <c r="KP41" s="439">
        <v>248627</v>
      </c>
      <c r="KQ41" s="439">
        <v>203446</v>
      </c>
      <c r="KR41" s="439">
        <v>2502604</v>
      </c>
      <c r="KS41" s="439">
        <v>1720128</v>
      </c>
      <c r="KT41" s="439">
        <v>416852</v>
      </c>
      <c r="KU41" s="439">
        <v>256228</v>
      </c>
      <c r="KV41" s="439">
        <v>203137</v>
      </c>
      <c r="KW41" s="630">
        <v>2506115</v>
      </c>
      <c r="KX41" s="439">
        <v>1710745</v>
      </c>
      <c r="KY41" s="439">
        <v>423174</v>
      </c>
      <c r="KZ41" s="439">
        <v>264872</v>
      </c>
      <c r="LA41" s="439">
        <v>207594</v>
      </c>
      <c r="LB41" s="652">
        <v>2487198</v>
      </c>
      <c r="LC41" s="653">
        <v>1678615</v>
      </c>
      <c r="LD41" s="653">
        <v>429491</v>
      </c>
      <c r="LE41" s="653">
        <v>274837</v>
      </c>
      <c r="LF41" s="653">
        <v>206551</v>
      </c>
      <c r="LG41" s="652">
        <v>2469625</v>
      </c>
      <c r="LH41" s="653"/>
      <c r="LI41" s="439"/>
      <c r="LJ41" s="439"/>
      <c r="LK41" s="439"/>
      <c r="LL41" s="652">
        <v>2447474</v>
      </c>
      <c r="LM41" s="653">
        <v>1623673</v>
      </c>
      <c r="LN41" s="653">
        <v>416955</v>
      </c>
      <c r="LO41" s="653">
        <v>298932</v>
      </c>
      <c r="LP41" s="653">
        <v>222946</v>
      </c>
      <c r="LQ41" s="652">
        <v>2435121</v>
      </c>
      <c r="LR41" s="653">
        <v>1581083</v>
      </c>
      <c r="LS41" s="653">
        <v>397632</v>
      </c>
      <c r="LT41" s="653">
        <v>302058</v>
      </c>
      <c r="LU41" s="653">
        <v>407289</v>
      </c>
      <c r="LV41" s="1">
        <v>78868</v>
      </c>
      <c r="LW41" s="1">
        <v>0</v>
      </c>
      <c r="LX41" s="1">
        <v>12636</v>
      </c>
      <c r="LY41" s="1">
        <v>196059</v>
      </c>
      <c r="LZ41" s="1">
        <v>119726</v>
      </c>
      <c r="MA41" s="10">
        <v>421248</v>
      </c>
      <c r="MB41" s="3">
        <v>346104</v>
      </c>
      <c r="MC41" s="3">
        <v>53929</v>
      </c>
      <c r="MD41" s="3">
        <v>17312</v>
      </c>
      <c r="ME41" s="8">
        <v>21215</v>
      </c>
      <c r="MF41" s="3">
        <v>482502</v>
      </c>
      <c r="MG41" s="3">
        <v>380880</v>
      </c>
      <c r="MH41" s="3">
        <v>64934</v>
      </c>
      <c r="MI41" s="3">
        <v>28486</v>
      </c>
      <c r="MJ41" s="8">
        <v>36688</v>
      </c>
      <c r="MK41" s="3">
        <v>594844</v>
      </c>
      <c r="ML41" s="3">
        <v>437025</v>
      </c>
      <c r="MM41" s="3">
        <v>83528</v>
      </c>
      <c r="MN41" s="3">
        <v>44824</v>
      </c>
      <c r="MO41" s="3">
        <v>54746</v>
      </c>
      <c r="MP41" s="10">
        <v>611882</v>
      </c>
      <c r="MQ41" s="3">
        <v>478258</v>
      </c>
      <c r="MR41" s="3">
        <v>81957</v>
      </c>
      <c r="MS41" s="3">
        <v>50786</v>
      </c>
      <c r="MT41" s="3">
        <v>51667</v>
      </c>
      <c r="MU41" s="10"/>
      <c r="MV41" s="3"/>
      <c r="MW41" s="3"/>
      <c r="MX41" s="3"/>
      <c r="MY41" s="8"/>
      <c r="MZ41" s="3">
        <v>627680</v>
      </c>
      <c r="NA41" s="3">
        <v>460531</v>
      </c>
      <c r="NB41" s="3">
        <v>82489</v>
      </c>
      <c r="NC41" s="3">
        <v>54601</v>
      </c>
      <c r="ND41" s="3">
        <v>50860</v>
      </c>
      <c r="NE41" s="3">
        <v>641045</v>
      </c>
      <c r="NF41" s="3">
        <v>465940</v>
      </c>
      <c r="NG41" s="3">
        <v>85909</v>
      </c>
      <c r="NH41" s="3">
        <v>56979</v>
      </c>
      <c r="NI41" s="3">
        <v>52292</v>
      </c>
      <c r="NJ41" s="3">
        <v>670372</v>
      </c>
      <c r="NK41" s="3">
        <v>482348</v>
      </c>
      <c r="NL41" s="3">
        <v>91614</v>
      </c>
      <c r="NM41" s="3">
        <v>60083</v>
      </c>
      <c r="NN41" s="3">
        <v>430063</v>
      </c>
      <c r="NO41" s="3">
        <v>698002</v>
      </c>
      <c r="NP41" s="3">
        <v>497508</v>
      </c>
      <c r="NQ41" s="3">
        <v>95904</v>
      </c>
      <c r="NR41" s="3">
        <v>65386</v>
      </c>
      <c r="NS41" s="3">
        <v>61445</v>
      </c>
      <c r="NT41" s="3">
        <v>682989</v>
      </c>
      <c r="NU41" s="3">
        <v>486351</v>
      </c>
      <c r="NV41" s="3">
        <v>89976</v>
      </c>
      <c r="NW41" s="3">
        <v>69990</v>
      </c>
      <c r="NX41" s="3">
        <v>60318</v>
      </c>
      <c r="NY41" s="10">
        <v>692672</v>
      </c>
      <c r="NZ41" s="3">
        <v>487035</v>
      </c>
      <c r="OA41" s="3">
        <v>95374</v>
      </c>
      <c r="OB41" s="3">
        <v>75637</v>
      </c>
      <c r="OC41" s="3">
        <v>60811</v>
      </c>
      <c r="OD41" s="10">
        <v>704851</v>
      </c>
      <c r="OE41" s="3"/>
      <c r="OF41" s="3"/>
      <c r="OG41" s="3"/>
      <c r="OH41" s="3"/>
      <c r="OI41" s="10">
        <v>710058</v>
      </c>
      <c r="OJ41" s="3">
        <v>492235</v>
      </c>
      <c r="OK41" s="3">
        <v>98062</v>
      </c>
      <c r="OL41" s="3">
        <v>83018</v>
      </c>
      <c r="OM41" s="3">
        <v>70418</v>
      </c>
      <c r="ON41" s="10">
        <v>727336</v>
      </c>
      <c r="OO41" s="3">
        <v>496773</v>
      </c>
      <c r="OP41" s="3">
        <v>91470</v>
      </c>
      <c r="OQ41" s="3">
        <v>86158</v>
      </c>
      <c r="OR41" s="3">
        <v>33331</v>
      </c>
      <c r="OS41" s="1">
        <v>29757</v>
      </c>
      <c r="OT41" s="1">
        <v>0</v>
      </c>
      <c r="OU41" s="1">
        <v>2826</v>
      </c>
      <c r="OV41" s="1">
        <v>57816</v>
      </c>
      <c r="OW41" s="1">
        <v>33331</v>
      </c>
      <c r="OX41" s="402">
        <f t="shared" ref="OX41:OX52" si="576">MA41+RU41+AAY41</f>
        <v>1753689</v>
      </c>
      <c r="OY41" s="382">
        <f t="shared" ref="OY41:OY52" si="577">MB41+RV41+AAZ41</f>
        <v>1205017</v>
      </c>
      <c r="OZ41" s="382">
        <f t="shared" ref="OZ41:OZ52" si="578">MC41+RW41+ABA41</f>
        <v>132344</v>
      </c>
      <c r="PA41" s="382">
        <f t="shared" ref="PA41:PA52" si="579">MD41+RX41+ABB41</f>
        <v>240342</v>
      </c>
      <c r="PB41" s="382">
        <f t="shared" ref="PB41:PB52" si="580">ME41+RY41+ABC41</f>
        <v>167534</v>
      </c>
      <c r="PC41" s="402">
        <f t="shared" ref="PC41:PC52" si="581">MF41+RZ41+ABD41</f>
        <v>2560551</v>
      </c>
      <c r="PD41" s="382">
        <f t="shared" ref="PD41:PD52" si="582">MG41+SA41+ABE41</f>
        <v>2090313</v>
      </c>
      <c r="PE41" s="382">
        <f t="shared" ref="PE41:PE52" si="583">MH41+SB41+ABF41</f>
        <v>221262</v>
      </c>
      <c r="PF41" s="382">
        <f t="shared" ref="PF41:PF52" si="584">MI41+SC41+ABG41</f>
        <v>96793</v>
      </c>
      <c r="PG41" s="382">
        <f t="shared" ref="PG41:PG52" si="585">MJ41+SD41+ABH41</f>
        <v>248976</v>
      </c>
      <c r="PH41" s="10">
        <v>2695373</v>
      </c>
      <c r="PI41" s="3">
        <v>2141846</v>
      </c>
      <c r="PJ41" s="3">
        <v>242298</v>
      </c>
      <c r="PK41" s="3">
        <v>156548</v>
      </c>
      <c r="PL41" s="3">
        <v>311229</v>
      </c>
      <c r="PM41" s="3">
        <v>3002079</v>
      </c>
      <c r="PN41" s="3">
        <v>2303279</v>
      </c>
      <c r="PO41" s="3">
        <v>278894</v>
      </c>
      <c r="PP41" s="3">
        <v>152091</v>
      </c>
      <c r="PQ41" s="3">
        <v>345490</v>
      </c>
      <c r="PR41" s="399"/>
      <c r="PS41" s="5"/>
      <c r="PT41" s="5"/>
      <c r="PU41" s="5"/>
      <c r="PV41" s="5"/>
      <c r="PW41" s="5">
        <v>3283807</v>
      </c>
      <c r="PX41" s="5">
        <v>2480384</v>
      </c>
      <c r="PY41" s="5">
        <v>294777</v>
      </c>
      <c r="PZ41" s="5">
        <v>190055</v>
      </c>
      <c r="QA41" s="408">
        <v>380501</v>
      </c>
      <c r="QB41" s="5">
        <v>3349990</v>
      </c>
      <c r="QC41" s="5">
        <v>2518253</v>
      </c>
      <c r="QD41" s="5">
        <v>304287</v>
      </c>
      <c r="QE41" s="5">
        <v>196394</v>
      </c>
      <c r="QF41" s="5">
        <v>392129</v>
      </c>
      <c r="QG41" s="5">
        <v>3503779</v>
      </c>
      <c r="QH41" s="5">
        <v>2595778</v>
      </c>
      <c r="QI41" s="5">
        <v>330580</v>
      </c>
      <c r="QJ41" s="5">
        <v>216392</v>
      </c>
      <c r="QK41" s="5">
        <v>430063</v>
      </c>
      <c r="QL41" s="399">
        <v>3551542</v>
      </c>
      <c r="QM41" s="5">
        <v>2627113</v>
      </c>
      <c r="QN41" s="5">
        <v>329264</v>
      </c>
      <c r="QO41" s="5">
        <v>226178</v>
      </c>
      <c r="QP41" s="5">
        <v>444681</v>
      </c>
      <c r="QQ41" s="399">
        <v>3625274</v>
      </c>
      <c r="QR41" s="5">
        <v>2650851</v>
      </c>
      <c r="QS41" s="5">
        <v>339774</v>
      </c>
      <c r="QT41" s="5">
        <v>244697</v>
      </c>
      <c r="QU41" s="5">
        <v>468322</v>
      </c>
      <c r="QV41" s="399">
        <v>3690477</v>
      </c>
      <c r="QW41" s="5">
        <v>2700486</v>
      </c>
      <c r="QX41" s="5">
        <v>341441</v>
      </c>
      <c r="QY41" s="5">
        <v>251808</v>
      </c>
      <c r="QZ41" s="5">
        <v>476762</v>
      </c>
      <c r="RA41" s="399">
        <v>3757535</v>
      </c>
      <c r="RB41" s="5"/>
      <c r="RC41" s="5"/>
      <c r="RD41" s="5"/>
      <c r="RE41" s="5"/>
      <c r="RF41" s="5">
        <v>3819030</v>
      </c>
      <c r="RG41" s="5">
        <v>2744238</v>
      </c>
      <c r="RH41" s="5">
        <v>364750</v>
      </c>
      <c r="RI41" s="5">
        <v>293921</v>
      </c>
      <c r="RJ41" s="5">
        <v>521885</v>
      </c>
      <c r="RK41" s="5">
        <v>3969915</v>
      </c>
      <c r="RL41" s="5">
        <v>2775025</v>
      </c>
      <c r="RM41" s="5">
        <v>377352</v>
      </c>
      <c r="RN41" s="5">
        <v>325747</v>
      </c>
      <c r="RO41" s="5">
        <v>761894</v>
      </c>
      <c r="RP41" s="1">
        <v>372390</v>
      </c>
      <c r="RQ41" s="1">
        <v>0</v>
      </c>
      <c r="RR41" s="1">
        <v>11225</v>
      </c>
      <c r="RS41" s="1">
        <v>259508</v>
      </c>
      <c r="RT41" s="1">
        <v>118771</v>
      </c>
      <c r="RU41" s="10">
        <v>989808</v>
      </c>
      <c r="RV41" s="3">
        <v>858913</v>
      </c>
      <c r="RW41" s="3">
        <v>70016</v>
      </c>
      <c r="RX41" s="3">
        <v>21338</v>
      </c>
      <c r="RY41" s="3">
        <v>60879</v>
      </c>
      <c r="RZ41" s="10">
        <v>1317182</v>
      </c>
      <c r="SA41" s="3">
        <v>1086485</v>
      </c>
      <c r="SB41" s="3">
        <v>102489</v>
      </c>
      <c r="SC41" s="3">
        <v>43974</v>
      </c>
      <c r="SD41" s="3">
        <v>128208</v>
      </c>
      <c r="SE41" s="10">
        <v>1509213</v>
      </c>
      <c r="SF41" s="3">
        <v>1167472</v>
      </c>
      <c r="SG41" s="3">
        <v>126163</v>
      </c>
      <c r="SH41" s="3">
        <v>75120</v>
      </c>
      <c r="SI41" s="3">
        <v>178843</v>
      </c>
      <c r="SJ41" s="10">
        <v>1600229</v>
      </c>
      <c r="SK41" s="3">
        <v>1273990</v>
      </c>
      <c r="SL41" s="3">
        <v>132493</v>
      </c>
      <c r="SM41" s="3">
        <v>87751</v>
      </c>
      <c r="SN41" s="3">
        <v>193746</v>
      </c>
      <c r="SO41" s="10">
        <v>1625424</v>
      </c>
      <c r="SP41" s="3">
        <v>1298811.8640000001</v>
      </c>
      <c r="SQ41" s="3">
        <v>129491.49500000001</v>
      </c>
      <c r="SR41" s="3">
        <v>89958.372000000003</v>
      </c>
      <c r="SS41" s="3">
        <v>197120.64099999995</v>
      </c>
      <c r="ST41" s="10">
        <v>1654991</v>
      </c>
      <c r="SU41" s="3">
        <v>1257590</v>
      </c>
      <c r="SV41" s="3">
        <v>133531</v>
      </c>
      <c r="SW41" s="3">
        <v>93844</v>
      </c>
      <c r="SX41" s="3">
        <v>200253</v>
      </c>
      <c r="SY41" s="3">
        <v>1678096</v>
      </c>
      <c r="SZ41" s="3">
        <v>1273389</v>
      </c>
      <c r="TA41" s="3">
        <v>135413</v>
      </c>
      <c r="TB41" s="3">
        <v>96257</v>
      </c>
      <c r="TC41" s="3">
        <v>202270</v>
      </c>
      <c r="TD41" s="145">
        <v>1737022</v>
      </c>
      <c r="TE41" s="3">
        <v>1302542</v>
      </c>
      <c r="TF41" s="3">
        <v>140817</v>
      </c>
      <c r="TG41" s="3">
        <v>109638</v>
      </c>
      <c r="TH41" s="3">
        <v>217605</v>
      </c>
      <c r="TI41" s="3">
        <v>1757697</v>
      </c>
      <c r="TJ41" s="3">
        <v>1311704</v>
      </c>
      <c r="TK41" s="3">
        <v>144889</v>
      </c>
      <c r="TL41" s="3">
        <v>110200</v>
      </c>
      <c r="TM41" s="3">
        <v>230189</v>
      </c>
      <c r="TN41" s="3">
        <v>1813840</v>
      </c>
      <c r="TO41" s="3">
        <v>1343570</v>
      </c>
      <c r="TP41" s="3">
        <v>149770</v>
      </c>
      <c r="TQ41" s="3">
        <v>119623</v>
      </c>
      <c r="TR41" s="3">
        <v>239794</v>
      </c>
      <c r="TS41" s="10">
        <v>1829903</v>
      </c>
      <c r="TT41" s="3">
        <v>1353508</v>
      </c>
      <c r="TU41" s="3">
        <v>147050</v>
      </c>
      <c r="TV41" s="3">
        <v>121522</v>
      </c>
      <c r="TW41" s="3">
        <v>247239</v>
      </c>
      <c r="TX41" s="10">
        <v>1833666</v>
      </c>
      <c r="TY41" s="3"/>
      <c r="TZ41" s="3"/>
      <c r="UA41" s="3"/>
      <c r="UB41" s="3"/>
      <c r="UC41" s="10">
        <v>1886240</v>
      </c>
      <c r="UD41" s="3">
        <v>1377561</v>
      </c>
      <c r="UE41" s="3">
        <v>161150</v>
      </c>
      <c r="UF41" s="3">
        <v>142553</v>
      </c>
      <c r="UG41" s="3">
        <v>254207</v>
      </c>
      <c r="UH41" s="10">
        <v>1932282</v>
      </c>
      <c r="UI41" s="3">
        <v>1362844</v>
      </c>
      <c r="UJ41" s="3">
        <v>165713</v>
      </c>
      <c r="UK41" s="3">
        <v>160312</v>
      </c>
      <c r="UL41" s="3">
        <v>376948</v>
      </c>
      <c r="UM41" s="1">
        <v>188701</v>
      </c>
      <c r="UN41" s="1">
        <v>0</v>
      </c>
      <c r="UO41" s="1">
        <v>4931</v>
      </c>
      <c r="UP41" s="1">
        <v>125930</v>
      </c>
      <c r="UQ41" s="1">
        <v>85440</v>
      </c>
      <c r="UR41" s="588">
        <f t="shared" ref="UR41:UR52" si="586">+US41+UT41</f>
        <v>405412</v>
      </c>
      <c r="US41" s="40">
        <v>255296</v>
      </c>
      <c r="UT41" s="40">
        <v>150116</v>
      </c>
      <c r="UU41" s="588">
        <f t="shared" ref="UU41:UU52" si="587">+UV41+UW41</f>
        <v>19150</v>
      </c>
      <c r="UV41" s="40">
        <v>10072</v>
      </c>
      <c r="UW41" s="40">
        <v>9078</v>
      </c>
      <c r="UX41" s="42">
        <v>625155</v>
      </c>
      <c r="UY41" s="588">
        <f t="shared" ref="UY41:UY52" si="588">+VB41+VE41+VH41</f>
        <v>381580</v>
      </c>
      <c r="UZ41" s="588">
        <f t="shared" ref="UZ41:UZ52" si="589">+VC41+VF41+VI41</f>
        <v>243575</v>
      </c>
      <c r="VA41" s="588">
        <f t="shared" ref="VA41:VA52" si="590">+VB41+VC41</f>
        <v>589408</v>
      </c>
      <c r="VB41" s="40">
        <v>363207</v>
      </c>
      <c r="VC41" s="40">
        <v>226201</v>
      </c>
      <c r="VD41" s="588">
        <f t="shared" ref="VD41:VD52" si="591">+VE41+VF41</f>
        <v>26512</v>
      </c>
      <c r="VE41" s="40">
        <v>12573</v>
      </c>
      <c r="VF41" s="40">
        <v>13939</v>
      </c>
      <c r="VG41" s="588">
        <f t="shared" ref="VG41:VG52" si="592">+VH41+VI41</f>
        <v>9235</v>
      </c>
      <c r="VH41" s="40">
        <v>5800</v>
      </c>
      <c r="VI41" s="40">
        <v>3435</v>
      </c>
      <c r="VJ41" s="42">
        <v>1082285</v>
      </c>
      <c r="VK41" s="588">
        <f t="shared" ref="VK41:VK52" si="593">+VN41+VS41+VV41+VY41</f>
        <v>628768</v>
      </c>
      <c r="VL41" s="588">
        <f t="shared" ref="VL41:VL52" si="594">+VO41+VT41+VW41+VZ41</f>
        <v>453517</v>
      </c>
      <c r="VM41" s="240">
        <f t="shared" ref="VM41:VM52" si="595">+VN41+VO41</f>
        <v>945698</v>
      </c>
      <c r="VN41" s="40">
        <v>560108</v>
      </c>
      <c r="VO41" s="40">
        <v>385590</v>
      </c>
      <c r="VP41" s="40">
        <v>68660</v>
      </c>
      <c r="VQ41" s="40">
        <v>67927</v>
      </c>
      <c r="VR41" s="240">
        <f t="shared" ref="VR41:VR52" si="596">+VS41+VT41</f>
        <v>66991</v>
      </c>
      <c r="VS41" s="40">
        <v>29582</v>
      </c>
      <c r="VT41" s="40">
        <v>37409</v>
      </c>
      <c r="VU41" s="240">
        <f t="shared" ref="VU41:VU52" si="597">+VV41+VW41</f>
        <v>17711</v>
      </c>
      <c r="VV41" s="40">
        <v>10304</v>
      </c>
      <c r="VW41" s="40">
        <v>7407</v>
      </c>
      <c r="VX41" s="233">
        <f t="shared" ref="VX41:VX52" si="598">+VY41+VZ41</f>
        <v>51885</v>
      </c>
      <c r="VY41" s="233">
        <f t="shared" ref="VY41:VY52" si="599">+WB41+WE41</f>
        <v>28774</v>
      </c>
      <c r="VZ41" s="233">
        <f t="shared" ref="VZ41:VZ52" si="600">+WC41+WF41</f>
        <v>23111</v>
      </c>
      <c r="WA41" s="234">
        <f t="shared" ref="WA41:WA52" si="601">+WB41+WC41</f>
        <v>1160</v>
      </c>
      <c r="WB41" s="234">
        <f t="shared" ref="WB41:WB52" si="602">+VP41-VS41-VV41-WE41</f>
        <v>678</v>
      </c>
      <c r="WC41" s="234">
        <f t="shared" ref="WC41:WC52" si="603">+VQ41-VT41-VW41-WF41</f>
        <v>482</v>
      </c>
      <c r="WD41" s="40">
        <v>50725</v>
      </c>
      <c r="WE41" s="40">
        <v>28096</v>
      </c>
      <c r="WF41" s="40">
        <v>22629</v>
      </c>
      <c r="WG41" s="12">
        <f t="shared" ref="WG41:WG52" si="604">+RU41+AAY41</f>
        <v>1332441</v>
      </c>
      <c r="WH41" s="588">
        <f t="shared" ref="WH41:WH52" si="605">+WL41+WR41+WU41+WX41</f>
        <v>826520</v>
      </c>
      <c r="WI41" s="588">
        <f t="shared" ref="WI41:WI52" si="606">+WM41+WS41+WV41+WY41</f>
        <v>708476</v>
      </c>
      <c r="WJ41" s="11">
        <f t="shared" ref="WJ41:WJ52" si="607">+RV41+AAZ41</f>
        <v>858913</v>
      </c>
      <c r="WK41" s="90">
        <f t="shared" ref="WK41:WK52" si="608">+WL41+WM41</f>
        <v>1309749</v>
      </c>
      <c r="WL41" s="40">
        <v>718491</v>
      </c>
      <c r="WM41" s="40">
        <v>591258</v>
      </c>
      <c r="WN41" s="40">
        <v>108029</v>
      </c>
      <c r="WO41" s="40">
        <v>117218</v>
      </c>
      <c r="WP41" s="11">
        <f t="shared" ref="WP41:WP52" si="609">+RW41+ABA41</f>
        <v>78415</v>
      </c>
      <c r="WQ41" s="90">
        <f t="shared" ref="WQ41:WQ52" si="610">+WR41+WS41</f>
        <v>105791</v>
      </c>
      <c r="WR41" s="40">
        <v>43836</v>
      </c>
      <c r="WS41" s="40">
        <v>61955</v>
      </c>
      <c r="WT41" s="11">
        <f t="shared" ref="WT41:WT52" si="611">+WU41+WV41</f>
        <v>33710</v>
      </c>
      <c r="WU41" s="40">
        <v>17611</v>
      </c>
      <c r="WV41" s="40">
        <v>16099</v>
      </c>
      <c r="WW41" s="9">
        <f t="shared" ref="WW41:WW52" si="612">+RY41+ABC41</f>
        <v>146319</v>
      </c>
      <c r="WX41" s="235">
        <f t="shared" ref="WX41:WX52" si="613">+XA41+XD41</f>
        <v>46582</v>
      </c>
      <c r="WY41" s="235">
        <f t="shared" ref="WY41:WY52" si="614">+XB41+XE41</f>
        <v>39164</v>
      </c>
      <c r="WZ41" s="236">
        <f t="shared" ref="WZ41:WZ52" si="615">+XA41+XB41</f>
        <v>478</v>
      </c>
      <c r="XA41" s="236">
        <f t="shared" ref="XA41:XA52" si="616">+WN41-WR41-WU41-XD41</f>
        <v>261</v>
      </c>
      <c r="XB41" s="236">
        <f t="shared" ref="XB41:XB52" si="617">+WO41-WS41-WV41-XE41</f>
        <v>217</v>
      </c>
      <c r="XC41" s="589">
        <f t="shared" ref="XC41:XC52" si="618">+XD41+XE41</f>
        <v>85268</v>
      </c>
      <c r="XD41" s="589">
        <f t="shared" ref="XD41:XD52" si="619">+XF41+XH41</f>
        <v>46321</v>
      </c>
      <c r="XE41" s="589">
        <f t="shared" ref="XE41:XE52" si="620">+XG41+XI41</f>
        <v>38947</v>
      </c>
      <c r="XF41" s="40">
        <v>977</v>
      </c>
      <c r="XG41" s="40">
        <v>866</v>
      </c>
      <c r="XH41" s="40">
        <v>45344</v>
      </c>
      <c r="XI41" s="40">
        <v>38081</v>
      </c>
      <c r="XJ41" s="590">
        <v>2078049</v>
      </c>
      <c r="XK41" s="40">
        <v>1054577</v>
      </c>
      <c r="XL41" s="40">
        <v>1023472</v>
      </c>
      <c r="XM41" s="5">
        <f t="shared" ref="XM41:XM52" si="621">+SA41+ABE41</f>
        <v>1709433</v>
      </c>
      <c r="XN41" s="5">
        <v>883770</v>
      </c>
      <c r="XO41" s="5">
        <v>825663</v>
      </c>
      <c r="XP41" s="84">
        <f t="shared" ref="XP41:XP52" si="622">+XQ41+XR41</f>
        <v>1669279</v>
      </c>
      <c r="XQ41" s="40">
        <v>863292</v>
      </c>
      <c r="XR41" s="40">
        <v>805987</v>
      </c>
      <c r="XS41" s="5">
        <f t="shared" ref="XS41:XS52" si="623">+XT41+XU41</f>
        <v>156328</v>
      </c>
      <c r="XT41" s="40">
        <v>62626</v>
      </c>
      <c r="XU41" s="40">
        <v>93702</v>
      </c>
      <c r="XV41" s="5">
        <f t="shared" ref="XV41:XV52" si="624">+XW41+XX41</f>
        <v>68307</v>
      </c>
      <c r="XW41" s="40">
        <v>33806</v>
      </c>
      <c r="XX41" s="40">
        <v>34501</v>
      </c>
      <c r="XY41" s="84">
        <f t="shared" ref="XY41:XY52" si="625">+XJ41-XM41-XS41</f>
        <v>212288</v>
      </c>
      <c r="XZ41" s="84">
        <f t="shared" ref="XZ41:XZ52" si="626">+XK41-XN41-XT41</f>
        <v>108181</v>
      </c>
      <c r="YA41" s="84">
        <f t="shared" ref="YA41:YA52" si="627">+XL41-XO41-XU41</f>
        <v>104107</v>
      </c>
      <c r="YB41" s="587">
        <v>2407235</v>
      </c>
      <c r="YC41" s="40">
        <v>1866254</v>
      </c>
      <c r="YD41" s="40">
        <v>195366</v>
      </c>
      <c r="YE41" s="40">
        <v>107267</v>
      </c>
      <c r="YF41" s="5">
        <v>290744</v>
      </c>
      <c r="YG41" s="10">
        <v>2461724</v>
      </c>
      <c r="YH41" s="3">
        <v>1959614</v>
      </c>
      <c r="YI41" s="3">
        <v>203821</v>
      </c>
      <c r="YJ41" s="3">
        <v>298289</v>
      </c>
      <c r="YK41" s="3">
        <v>113567</v>
      </c>
      <c r="YL41" s="10">
        <v>2530044</v>
      </c>
      <c r="YM41" s="3">
        <v>2026667</v>
      </c>
      <c r="YN41" s="3">
        <v>206809</v>
      </c>
      <c r="YO41" s="3">
        <v>296568</v>
      </c>
      <c r="YP41" s="3">
        <v>116786</v>
      </c>
      <c r="YQ41" s="10">
        <v>2571670</v>
      </c>
      <c r="YR41" s="3">
        <v>2045120</v>
      </c>
      <c r="YS41" s="3">
        <v>209940</v>
      </c>
      <c r="YT41" s="3">
        <v>316610</v>
      </c>
      <c r="YU41" s="3">
        <v>127183</v>
      </c>
      <c r="YV41" s="10">
        <v>2615916.75</v>
      </c>
      <c r="YW41" s="3">
        <v>2085776.6880000001</v>
      </c>
      <c r="YX41" s="3">
        <v>208312.40500000003</v>
      </c>
      <c r="YY41" s="3">
        <v>131724.75900000002</v>
      </c>
      <c r="YZ41" s="3">
        <v>321827.65699999989</v>
      </c>
      <c r="ZA41" s="3">
        <v>2656127</v>
      </c>
      <c r="ZB41" s="3">
        <v>2019853</v>
      </c>
      <c r="ZC41" s="3">
        <v>212288</v>
      </c>
      <c r="ZD41" s="3">
        <v>135454</v>
      </c>
      <c r="ZE41" s="1">
        <v>329641</v>
      </c>
      <c r="ZF41" s="1">
        <v>2708945</v>
      </c>
      <c r="ZG41" s="1">
        <v>2052313</v>
      </c>
      <c r="ZH41" s="1">
        <v>218378</v>
      </c>
      <c r="ZI41" s="1">
        <v>139415</v>
      </c>
      <c r="ZJ41" s="1">
        <v>339837</v>
      </c>
      <c r="ZK41" s="1">
        <v>2833407</v>
      </c>
      <c r="ZL41" s="1">
        <v>2113430</v>
      </c>
      <c r="ZM41" s="1">
        <v>238966</v>
      </c>
      <c r="ZN41" s="1">
        <v>156309</v>
      </c>
      <c r="ZO41" s="1">
        <v>371582</v>
      </c>
      <c r="ZP41" s="1">
        <v>2853540</v>
      </c>
      <c r="ZQ41" s="1">
        <v>2129605</v>
      </c>
      <c r="ZR41" s="1">
        <v>233360</v>
      </c>
      <c r="ZS41" s="1">
        <v>160792</v>
      </c>
      <c r="ZT41" s="1">
        <v>383236</v>
      </c>
      <c r="ZU41" s="1">
        <v>2942285</v>
      </c>
      <c r="ZV41" s="1">
        <v>2164500</v>
      </c>
      <c r="ZW41" s="1">
        <v>249798</v>
      </c>
      <c r="ZX41" s="1">
        <v>174707</v>
      </c>
      <c r="ZY41" s="1">
        <v>408004</v>
      </c>
      <c r="ZZ41" s="394">
        <v>311468</v>
      </c>
      <c r="AAA41" s="1">
        <v>0</v>
      </c>
      <c r="AAB41" s="1">
        <v>4106</v>
      </c>
      <c r="AAC41" s="1">
        <v>47347</v>
      </c>
      <c r="AAD41" s="1">
        <v>45083</v>
      </c>
      <c r="AAE41" s="50">
        <v>2997805</v>
      </c>
      <c r="AAF41" s="1">
        <v>2213451</v>
      </c>
      <c r="AAG41" s="1">
        <v>246067</v>
      </c>
      <c r="AAH41" s="1">
        <v>176171</v>
      </c>
      <c r="AAI41" s="1">
        <v>415951</v>
      </c>
      <c r="AAJ41" s="50">
        <v>3052684</v>
      </c>
      <c r="AAK41" s="1"/>
      <c r="AAL41" s="1"/>
      <c r="AAM41" s="1"/>
      <c r="AAN41" s="1"/>
      <c r="AAO41" s="68">
        <v>3108972</v>
      </c>
      <c r="AAP41" s="37">
        <v>2252003</v>
      </c>
      <c r="AAQ41" s="37">
        <v>266688</v>
      </c>
      <c r="AAR41" s="37">
        <v>210903</v>
      </c>
      <c r="AAS41" s="37">
        <v>451467</v>
      </c>
      <c r="AAT41" s="68">
        <v>3242579</v>
      </c>
      <c r="AAU41" s="37">
        <v>2278252</v>
      </c>
      <c r="AAV41" s="37">
        <v>285882</v>
      </c>
      <c r="AAW41" s="37">
        <v>239589</v>
      </c>
      <c r="AAX41" s="37">
        <v>638164</v>
      </c>
      <c r="AAY41" s="1">
        <v>342633</v>
      </c>
      <c r="AAZ41" s="1">
        <v>0</v>
      </c>
      <c r="ABA41" s="1">
        <v>8399</v>
      </c>
      <c r="ABB41" s="1">
        <v>201692</v>
      </c>
      <c r="ABC41" s="1">
        <v>85440</v>
      </c>
      <c r="ABD41" s="10">
        <v>760867</v>
      </c>
      <c r="ABE41" s="3">
        <v>622948</v>
      </c>
      <c r="ABF41" s="3">
        <v>53839</v>
      </c>
      <c r="ABG41" s="3">
        <v>24333</v>
      </c>
      <c r="ABH41" s="3">
        <v>84080</v>
      </c>
      <c r="ABI41" s="10">
        <v>898022</v>
      </c>
      <c r="ABJ41" s="3">
        <v>698782</v>
      </c>
      <c r="ABK41" s="3">
        <v>69203</v>
      </c>
      <c r="ABL41" s="3">
        <v>32147</v>
      </c>
      <c r="ABM41" s="3">
        <v>111901</v>
      </c>
      <c r="ABN41" s="10">
        <v>971441</v>
      </c>
      <c r="ABO41" s="3">
        <v>771130</v>
      </c>
      <c r="ABP41" s="3">
        <v>77447</v>
      </c>
      <c r="ABQ41" s="3">
        <v>39432</v>
      </c>
      <c r="ABR41" s="3">
        <v>122864</v>
      </c>
      <c r="ABS41" s="10">
        <v>990492.74999999988</v>
      </c>
      <c r="ABT41" s="3">
        <v>786964.82400000002</v>
      </c>
      <c r="ABU41" s="3">
        <v>78820.91</v>
      </c>
      <c r="ABV41" s="3">
        <v>41766.387000000002</v>
      </c>
      <c r="ABW41" s="8">
        <v>124707.01599999986</v>
      </c>
      <c r="ABX41" s="1">
        <v>1001136</v>
      </c>
      <c r="ABY41" s="1">
        <v>762263</v>
      </c>
      <c r="ABZ41" s="1">
        <v>78757</v>
      </c>
      <c r="ACA41" s="1">
        <v>41610</v>
      </c>
      <c r="ACB41" s="49">
        <v>129388</v>
      </c>
      <c r="ACC41" s="1">
        <v>1030849</v>
      </c>
      <c r="ACD41" s="1">
        <v>778924</v>
      </c>
      <c r="ACE41" s="1">
        <v>82965</v>
      </c>
      <c r="ACF41" s="1">
        <v>43158</v>
      </c>
      <c r="ACG41" s="1">
        <v>137567</v>
      </c>
      <c r="ACH41" s="1">
        <v>1096385</v>
      </c>
      <c r="ACI41" s="1">
        <v>810888</v>
      </c>
      <c r="ACJ41" s="1">
        <v>98149</v>
      </c>
      <c r="ACK41" s="1">
        <v>46671</v>
      </c>
      <c r="ACL41" s="1">
        <v>153977</v>
      </c>
      <c r="ACM41" s="1">
        <v>1095843</v>
      </c>
      <c r="ACN41" s="1">
        <v>817901</v>
      </c>
      <c r="ACO41" s="1">
        <v>88471</v>
      </c>
      <c r="ACP41" s="1">
        <v>50592</v>
      </c>
      <c r="ACQ41" s="1">
        <v>153047</v>
      </c>
      <c r="ACR41" s="1">
        <v>1128445</v>
      </c>
      <c r="ACS41" s="1">
        <v>820930</v>
      </c>
      <c r="ACT41" s="1">
        <v>100028</v>
      </c>
      <c r="ACU41" s="1">
        <v>55084</v>
      </c>
      <c r="ACV41" s="1">
        <v>168210</v>
      </c>
      <c r="ADB41" s="50">
        <v>1167902</v>
      </c>
      <c r="ADC41" s="1">
        <v>859943</v>
      </c>
      <c r="ADD41" s="1">
        <v>99017</v>
      </c>
      <c r="ADE41" s="1">
        <v>54649</v>
      </c>
      <c r="ADF41" s="1">
        <v>168712</v>
      </c>
      <c r="ADG41" s="50">
        <v>1219018</v>
      </c>
      <c r="ADL41" s="50">
        <v>1222732</v>
      </c>
      <c r="ADM41" s="1">
        <v>874442</v>
      </c>
      <c r="ADN41" s="1">
        <v>105538</v>
      </c>
      <c r="ADO41" s="1">
        <v>68350</v>
      </c>
      <c r="ADP41" s="1">
        <v>197260</v>
      </c>
      <c r="ADQ41" s="50">
        <v>1310297</v>
      </c>
      <c r="ADR41" s="1">
        <v>915408</v>
      </c>
      <c r="ADS41" s="1">
        <v>120169</v>
      </c>
      <c r="ADT41" s="1">
        <v>79277</v>
      </c>
      <c r="ADU41" s="1">
        <v>261216</v>
      </c>
      <c r="ADV41" s="1">
        <v>153932</v>
      </c>
      <c r="ADW41" s="1">
        <v>0</v>
      </c>
      <c r="ADX41" s="1">
        <v>3468</v>
      </c>
      <c r="ADY41" s="1">
        <v>75762</v>
      </c>
      <c r="ADZ41" s="1">
        <v>28054</v>
      </c>
    </row>
    <row r="42" spans="1:806" ht="14.1">
      <c r="A42" s="138" t="s">
        <v>40</v>
      </c>
      <c r="B42" s="174" t="s">
        <v>221</v>
      </c>
      <c r="C42" s="175" t="s">
        <v>221</v>
      </c>
      <c r="D42" s="175" t="s">
        <v>221</v>
      </c>
      <c r="E42" s="175" t="s">
        <v>221</v>
      </c>
      <c r="F42" s="176" t="s">
        <v>221</v>
      </c>
      <c r="G42" s="3">
        <v>297423</v>
      </c>
      <c r="H42" s="3">
        <v>265490</v>
      </c>
      <c r="I42" s="3">
        <v>24730</v>
      </c>
      <c r="J42" s="3">
        <v>9315</v>
      </c>
      <c r="K42" s="8">
        <v>7203</v>
      </c>
      <c r="L42" s="3">
        <v>206540</v>
      </c>
      <c r="M42" s="3">
        <v>170986</v>
      </c>
      <c r="N42" s="3">
        <v>16536</v>
      </c>
      <c r="O42" s="3">
        <v>23589</v>
      </c>
      <c r="P42" s="8">
        <v>19018</v>
      </c>
      <c r="Q42" s="3">
        <v>185445</v>
      </c>
      <c r="R42" s="3">
        <v>129510</v>
      </c>
      <c r="S42" s="3">
        <v>13472</v>
      </c>
      <c r="T42" s="3">
        <v>37893</v>
      </c>
      <c r="U42" s="8">
        <v>26052</v>
      </c>
      <c r="V42" s="5">
        <v>180571</v>
      </c>
      <c r="W42" s="5">
        <v>143378</v>
      </c>
      <c r="X42" s="5">
        <v>12941</v>
      </c>
      <c r="Y42" s="5">
        <v>39708</v>
      </c>
      <c r="Z42" s="408">
        <v>24252</v>
      </c>
      <c r="AA42" s="5">
        <v>174429</v>
      </c>
      <c r="AB42" s="5">
        <v>112520</v>
      </c>
      <c r="AC42" s="5">
        <v>11718</v>
      </c>
      <c r="AD42" s="5">
        <v>42918</v>
      </c>
      <c r="AE42" s="5">
        <v>28524</v>
      </c>
      <c r="AF42" s="399">
        <v>175348</v>
      </c>
      <c r="AG42" s="5">
        <v>113399</v>
      </c>
      <c r="AH42" s="5">
        <v>11095</v>
      </c>
      <c r="AI42" s="5">
        <v>43921</v>
      </c>
      <c r="AJ42" s="490">
        <v>29435</v>
      </c>
      <c r="AK42" s="490">
        <v>167710</v>
      </c>
      <c r="AL42" s="490">
        <v>106132</v>
      </c>
      <c r="AM42" s="685">
        <v>10345</v>
      </c>
      <c r="AN42" s="685">
        <v>42919</v>
      </c>
      <c r="AO42" s="490">
        <v>27116</v>
      </c>
      <c r="AP42" s="394">
        <v>164941</v>
      </c>
      <c r="AQ42" s="394">
        <v>100262</v>
      </c>
      <c r="AR42" s="394">
        <v>8147</v>
      </c>
      <c r="AS42" s="394">
        <v>47706</v>
      </c>
      <c r="AT42" s="394">
        <v>27583</v>
      </c>
      <c r="AU42" s="393">
        <v>164742</v>
      </c>
      <c r="AV42" s="394">
        <v>101168</v>
      </c>
      <c r="AW42" s="394">
        <v>10423</v>
      </c>
      <c r="AX42" s="394">
        <v>40826</v>
      </c>
      <c r="AY42" s="394">
        <v>30687</v>
      </c>
      <c r="AZ42" s="1">
        <v>9866</v>
      </c>
      <c r="BA42" s="1">
        <v>0</v>
      </c>
      <c r="BB42" s="1">
        <v>612</v>
      </c>
      <c r="BC42" s="1">
        <v>1560</v>
      </c>
      <c r="BD42" s="1">
        <v>18649</v>
      </c>
      <c r="BE42" s="393">
        <v>161138</v>
      </c>
      <c r="BF42" s="394">
        <v>97686</v>
      </c>
      <c r="BG42" s="394">
        <v>11887</v>
      </c>
      <c r="BH42" s="394">
        <v>43404</v>
      </c>
      <c r="BI42" s="394">
        <v>23336</v>
      </c>
      <c r="BJ42" s="393">
        <v>164472</v>
      </c>
      <c r="BK42" s="394"/>
      <c r="BL42" s="394"/>
      <c r="BM42" s="394"/>
      <c r="BN42" s="394"/>
      <c r="BO42" s="393">
        <v>162057</v>
      </c>
      <c r="BP42" s="394">
        <v>99025</v>
      </c>
      <c r="BQ42" s="394">
        <v>8980</v>
      </c>
      <c r="BR42" s="394">
        <v>39809</v>
      </c>
      <c r="BS42" s="394">
        <v>32819</v>
      </c>
      <c r="BT42" s="393">
        <v>165167</v>
      </c>
      <c r="BU42" s="394">
        <v>92353</v>
      </c>
      <c r="BV42" s="394">
        <v>13214</v>
      </c>
      <c r="BW42" s="394">
        <v>40251</v>
      </c>
      <c r="BX42" s="394">
        <v>14946</v>
      </c>
      <c r="BY42" s="1">
        <v>0</v>
      </c>
      <c r="BZ42" s="1">
        <v>987</v>
      </c>
      <c r="CA42" s="1">
        <v>17534</v>
      </c>
      <c r="CB42" s="1">
        <v>21625</v>
      </c>
      <c r="CC42" s="10">
        <v>552591</v>
      </c>
      <c r="CD42" s="3">
        <v>487581</v>
      </c>
      <c r="CE42" s="3">
        <v>57794</v>
      </c>
      <c r="CF42" s="3">
        <v>40251</v>
      </c>
      <c r="CG42" s="8">
        <v>7216</v>
      </c>
      <c r="CH42" s="3">
        <v>489000</v>
      </c>
      <c r="CI42" s="3">
        <v>414615</v>
      </c>
      <c r="CJ42" s="3">
        <v>55164</v>
      </c>
      <c r="CK42" s="3">
        <v>19015</v>
      </c>
      <c r="CL42" s="8">
        <v>19221</v>
      </c>
      <c r="CM42" s="1">
        <v>421911</v>
      </c>
      <c r="CN42" s="3">
        <v>341559</v>
      </c>
      <c r="CO42" s="3">
        <v>47274</v>
      </c>
      <c r="CP42" s="3">
        <v>25117</v>
      </c>
      <c r="CQ42" s="8">
        <v>21849</v>
      </c>
      <c r="CR42" s="3">
        <v>380749</v>
      </c>
      <c r="CS42" s="3">
        <v>314356</v>
      </c>
      <c r="CT42" s="3">
        <v>44098</v>
      </c>
      <c r="CU42" s="3">
        <v>31000</v>
      </c>
      <c r="CV42" s="8">
        <v>22295</v>
      </c>
      <c r="CW42" s="3">
        <v>366014</v>
      </c>
      <c r="CX42" s="3">
        <v>283441</v>
      </c>
      <c r="CY42" s="3">
        <v>43981</v>
      </c>
      <c r="CZ42" s="3">
        <v>31209</v>
      </c>
      <c r="DA42" s="3">
        <v>20860</v>
      </c>
      <c r="DB42" s="3">
        <v>361740</v>
      </c>
      <c r="DC42" s="3">
        <v>280263</v>
      </c>
      <c r="DD42" s="3">
        <v>42796</v>
      </c>
      <c r="DE42" s="3">
        <v>30536</v>
      </c>
      <c r="DF42" s="39">
        <v>22428</v>
      </c>
      <c r="DG42" s="39">
        <v>333960</v>
      </c>
      <c r="DH42" s="39">
        <v>249994</v>
      </c>
      <c r="DI42" s="39">
        <v>43357</v>
      </c>
      <c r="DJ42" s="39">
        <v>32220</v>
      </c>
      <c r="DK42" s="39">
        <v>21443</v>
      </c>
      <c r="DL42" s="39">
        <v>349195</v>
      </c>
      <c r="DM42" s="39">
        <v>263327</v>
      </c>
      <c r="DN42" s="39">
        <v>44903</v>
      </c>
      <c r="DO42" s="39">
        <v>31983</v>
      </c>
      <c r="DP42" s="39">
        <v>20511</v>
      </c>
      <c r="DQ42" s="39">
        <v>346757</v>
      </c>
      <c r="DR42" s="39">
        <v>259234</v>
      </c>
      <c r="DS42" s="39">
        <v>43104</v>
      </c>
      <c r="DT42" s="39">
        <v>33598</v>
      </c>
      <c r="DU42" s="39">
        <v>25942</v>
      </c>
      <c r="DV42" s="118">
        <v>343724</v>
      </c>
      <c r="DW42" s="39">
        <v>249086</v>
      </c>
      <c r="DX42" s="39">
        <v>44996</v>
      </c>
      <c r="DY42" s="39">
        <v>38840</v>
      </c>
      <c r="DZ42" s="39">
        <v>24486</v>
      </c>
      <c r="EA42" s="118">
        <v>327362</v>
      </c>
      <c r="EB42" s="39"/>
      <c r="EC42" s="39"/>
      <c r="ED42" s="39"/>
      <c r="EE42" s="39"/>
      <c r="EF42" s="118">
        <v>306026</v>
      </c>
      <c r="EG42" s="39">
        <v>223957</v>
      </c>
      <c r="EH42" s="39">
        <v>39718</v>
      </c>
      <c r="EI42" s="39">
        <v>34621</v>
      </c>
      <c r="EJ42" s="39">
        <v>24944</v>
      </c>
      <c r="EK42" s="118">
        <v>306026</v>
      </c>
      <c r="EL42" s="39">
        <v>223957</v>
      </c>
      <c r="EM42" s="39">
        <v>39718</v>
      </c>
      <c r="EN42" s="39">
        <v>34621</v>
      </c>
      <c r="EO42" s="39">
        <v>24944</v>
      </c>
      <c r="EP42" s="118">
        <v>261567</v>
      </c>
      <c r="EQ42" s="39">
        <v>188110</v>
      </c>
      <c r="ER42" s="39">
        <v>34689</v>
      </c>
      <c r="ES42" s="39">
        <v>24913</v>
      </c>
      <c r="ET42" s="1">
        <v>4815</v>
      </c>
      <c r="EU42" s="1">
        <v>0</v>
      </c>
      <c r="EV42" s="1">
        <v>1013</v>
      </c>
      <c r="EW42" s="1">
        <v>18777</v>
      </c>
      <c r="EX42" s="1">
        <v>11231</v>
      </c>
      <c r="EY42" s="10">
        <v>549810</v>
      </c>
      <c r="EZ42" s="3">
        <v>443623</v>
      </c>
      <c r="FA42" s="3">
        <v>56507</v>
      </c>
      <c r="FB42" s="3">
        <v>73397</v>
      </c>
      <c r="FC42" s="201">
        <f t="shared" si="574"/>
        <v>49680</v>
      </c>
      <c r="FD42" s="174" t="s">
        <v>221</v>
      </c>
      <c r="FE42" s="175" t="s">
        <v>221</v>
      </c>
      <c r="FF42" s="175" t="s">
        <v>221</v>
      </c>
      <c r="FG42" s="175" t="s">
        <v>221</v>
      </c>
      <c r="FH42" s="174" t="s">
        <v>221</v>
      </c>
      <c r="FI42" s="175" t="s">
        <v>221</v>
      </c>
      <c r="FJ42" s="175" t="s">
        <v>221</v>
      </c>
      <c r="FK42" s="175" t="s">
        <v>221</v>
      </c>
      <c r="FL42" s="176" t="s">
        <v>221</v>
      </c>
      <c r="FM42" s="3">
        <v>2639456</v>
      </c>
      <c r="FN42" s="3">
        <v>2449249</v>
      </c>
      <c r="FO42" s="3">
        <v>155763</v>
      </c>
      <c r="FP42" s="3">
        <v>29033</v>
      </c>
      <c r="FQ42" s="8">
        <v>34444</v>
      </c>
      <c r="FR42" s="3">
        <v>3197738</v>
      </c>
      <c r="FS42" s="3">
        <v>2893300</v>
      </c>
      <c r="FT42" s="3">
        <v>214394</v>
      </c>
      <c r="FU42" s="3">
        <v>58657</v>
      </c>
      <c r="FV42" s="3">
        <v>90044</v>
      </c>
      <c r="FW42" s="127">
        <v>3500473</v>
      </c>
      <c r="FX42" s="3">
        <v>3072031</v>
      </c>
      <c r="FY42" s="3">
        <v>279222</v>
      </c>
      <c r="FZ42" s="3">
        <v>117257</v>
      </c>
      <c r="GA42" s="3">
        <v>92140</v>
      </c>
      <c r="GB42" s="10">
        <v>3554779</v>
      </c>
      <c r="GC42" s="3">
        <v>3161278</v>
      </c>
      <c r="GD42" s="3">
        <v>263049</v>
      </c>
      <c r="GE42" s="3">
        <v>130452</v>
      </c>
      <c r="GF42" s="3">
        <v>96026</v>
      </c>
      <c r="GG42" s="42">
        <v>3579477</v>
      </c>
      <c r="GH42" s="40">
        <v>3177281</v>
      </c>
      <c r="GI42" s="40">
        <v>268417</v>
      </c>
      <c r="GJ42" s="40">
        <v>133779</v>
      </c>
      <c r="GK42" s="40">
        <v>101776</v>
      </c>
      <c r="GL42" s="10">
        <v>3639111</v>
      </c>
      <c r="GM42" s="3">
        <v>3219699</v>
      </c>
      <c r="GN42" s="3">
        <v>281058</v>
      </c>
      <c r="GO42" s="3">
        <v>112614</v>
      </c>
      <c r="GP42" s="3">
        <v>101511</v>
      </c>
      <c r="GQ42" s="10">
        <v>3679496.2200000007</v>
      </c>
      <c r="GR42" s="3">
        <v>3249538.1820000005</v>
      </c>
      <c r="GS42" s="3">
        <v>285958.27500000002</v>
      </c>
      <c r="GT42" s="3">
        <v>115770.204</v>
      </c>
      <c r="GU42" s="373">
        <f t="shared" si="575"/>
        <v>143999.76300000015</v>
      </c>
      <c r="GV42" s="3">
        <v>3715899</v>
      </c>
      <c r="GW42" s="3">
        <v>3208357</v>
      </c>
      <c r="GX42" s="3">
        <v>290174</v>
      </c>
      <c r="GY42" s="3">
        <v>121017</v>
      </c>
      <c r="GZ42" s="3">
        <v>145361</v>
      </c>
      <c r="HA42" s="3">
        <v>3750083</v>
      </c>
      <c r="HB42" s="3">
        <v>3224242</v>
      </c>
      <c r="HC42" s="3">
        <v>297606</v>
      </c>
      <c r="HD42" s="3">
        <v>126821</v>
      </c>
      <c r="HE42" s="3">
        <v>153225</v>
      </c>
      <c r="HF42" s="3">
        <v>3841246</v>
      </c>
      <c r="HG42" s="3">
        <v>3285777</v>
      </c>
      <c r="HH42" s="3">
        <v>310687</v>
      </c>
      <c r="HI42" s="3">
        <v>131833</v>
      </c>
      <c r="HJ42" s="3">
        <v>162135</v>
      </c>
      <c r="HK42" s="3">
        <v>3849437</v>
      </c>
      <c r="HL42" s="3">
        <v>3288581</v>
      </c>
      <c r="HM42" s="3">
        <v>311392</v>
      </c>
      <c r="HN42" s="3">
        <v>134491</v>
      </c>
      <c r="HO42" s="3">
        <v>165415</v>
      </c>
      <c r="HP42" s="10">
        <v>3881077</v>
      </c>
      <c r="HQ42" s="3">
        <v>3296102</v>
      </c>
      <c r="HR42" s="3">
        <v>316669</v>
      </c>
      <c r="HS42" s="3">
        <v>149640</v>
      </c>
      <c r="HT42" s="3">
        <v>174628</v>
      </c>
      <c r="HU42" s="394">
        <v>69290</v>
      </c>
      <c r="HV42" s="1">
        <v>0</v>
      </c>
      <c r="HW42" s="1">
        <v>10940</v>
      </c>
      <c r="HX42" s="1">
        <v>43852</v>
      </c>
      <c r="HY42" s="1">
        <v>50546</v>
      </c>
      <c r="HZ42" s="10">
        <v>3930455</v>
      </c>
      <c r="IA42" s="3">
        <v>3326258</v>
      </c>
      <c r="IB42" s="3">
        <v>326696</v>
      </c>
      <c r="IC42" s="3">
        <v>148306</v>
      </c>
      <c r="ID42" s="3">
        <v>180738</v>
      </c>
      <c r="IE42" s="399">
        <v>3976059</v>
      </c>
      <c r="IF42" s="5"/>
      <c r="IG42" s="5"/>
      <c r="IH42" s="5"/>
      <c r="II42" s="5"/>
      <c r="IJ42" s="399">
        <v>4033932</v>
      </c>
      <c r="IK42" s="5">
        <v>3369378</v>
      </c>
      <c r="IL42" s="5">
        <v>347099</v>
      </c>
      <c r="IM42" s="5">
        <v>172907</v>
      </c>
      <c r="IN42" s="5">
        <v>203457</v>
      </c>
      <c r="IO42" s="399">
        <v>4132897</v>
      </c>
      <c r="IP42" s="5">
        <v>3382683</v>
      </c>
      <c r="IQ42" s="5">
        <v>329009</v>
      </c>
      <c r="IR42" s="5">
        <v>199927</v>
      </c>
      <c r="IS42" s="5">
        <v>384976</v>
      </c>
      <c r="IT42" s="1">
        <v>79073</v>
      </c>
      <c r="IU42" s="1">
        <v>0</v>
      </c>
      <c r="IV42" s="1">
        <v>10522</v>
      </c>
      <c r="IW42" s="1">
        <v>212904</v>
      </c>
      <c r="IX42" s="1">
        <v>82477</v>
      </c>
      <c r="IY42" s="380" t="s">
        <v>221</v>
      </c>
      <c r="IZ42" s="188" t="s">
        <v>221</v>
      </c>
      <c r="JA42" s="188" t="s">
        <v>221</v>
      </c>
      <c r="JB42" s="188" t="s">
        <v>221</v>
      </c>
      <c r="JC42" s="635" t="s">
        <v>221</v>
      </c>
      <c r="JD42" s="5">
        <v>763422</v>
      </c>
      <c r="JE42" s="5">
        <v>695298</v>
      </c>
      <c r="JF42" s="5">
        <v>59119</v>
      </c>
      <c r="JG42" s="5">
        <v>9819</v>
      </c>
      <c r="JH42" s="408">
        <v>9005</v>
      </c>
      <c r="JI42" s="5">
        <v>994391</v>
      </c>
      <c r="JJ42" s="5">
        <v>882193</v>
      </c>
      <c r="JK42" s="5">
        <v>85078</v>
      </c>
      <c r="JL42" s="5">
        <v>19182</v>
      </c>
      <c r="JM42" s="408">
        <v>27120</v>
      </c>
      <c r="JN42" s="5">
        <v>1088406</v>
      </c>
      <c r="JO42" s="5">
        <v>939698</v>
      </c>
      <c r="JP42" s="5">
        <v>98414</v>
      </c>
      <c r="JQ42" s="5">
        <v>28843</v>
      </c>
      <c r="JR42" s="5">
        <v>36184</v>
      </c>
      <c r="JS42" s="5">
        <v>1191030</v>
      </c>
      <c r="JT42" s="5">
        <v>1036420</v>
      </c>
      <c r="JU42" s="5">
        <v>115256</v>
      </c>
      <c r="JV42" s="5">
        <v>36661</v>
      </c>
      <c r="JW42" s="408">
        <v>39354</v>
      </c>
      <c r="JX42" s="5">
        <v>1209581.5160000001</v>
      </c>
      <c r="JY42" s="5">
        <v>1049907.672</v>
      </c>
      <c r="JZ42" s="5">
        <v>119862.74999999999</v>
      </c>
      <c r="KA42" s="5">
        <v>36698.397999999994</v>
      </c>
      <c r="KB42" s="408">
        <v>39811.094000000056</v>
      </c>
      <c r="KC42" s="5">
        <v>1222194</v>
      </c>
      <c r="KD42" s="5">
        <v>1038207</v>
      </c>
      <c r="KE42" s="5">
        <v>119683</v>
      </c>
      <c r="KF42" s="5">
        <v>38627</v>
      </c>
      <c r="KG42" s="439">
        <v>40987</v>
      </c>
      <c r="KH42" s="439">
        <v>1242493</v>
      </c>
      <c r="KI42" s="439">
        <v>1048923</v>
      </c>
      <c r="KJ42" s="439">
        <v>125740</v>
      </c>
      <c r="KK42" s="439">
        <v>40632</v>
      </c>
      <c r="KL42" s="439">
        <v>44222</v>
      </c>
      <c r="KM42" s="439">
        <v>1282631</v>
      </c>
      <c r="KN42" s="439">
        <v>1074240</v>
      </c>
      <c r="KO42" s="439">
        <v>130333</v>
      </c>
      <c r="KP42" s="439">
        <v>47298</v>
      </c>
      <c r="KQ42" s="439">
        <v>48683</v>
      </c>
      <c r="KR42" s="439">
        <v>1264542</v>
      </c>
      <c r="KS42" s="439">
        <v>1064935</v>
      </c>
      <c r="KT42" s="439">
        <v>127982</v>
      </c>
      <c r="KU42" s="439">
        <v>44041</v>
      </c>
      <c r="KV42" s="439">
        <v>44695</v>
      </c>
      <c r="KW42" s="630">
        <v>1274349</v>
      </c>
      <c r="KX42" s="439">
        <v>1056348</v>
      </c>
      <c r="KY42" s="439">
        <v>134854</v>
      </c>
      <c r="KZ42" s="439">
        <v>52773</v>
      </c>
      <c r="LA42" s="439">
        <v>51612</v>
      </c>
      <c r="LB42" s="652">
        <v>1290230</v>
      </c>
      <c r="LC42" s="653">
        <v>1078137</v>
      </c>
      <c r="LD42" s="653">
        <v>126211</v>
      </c>
      <c r="LE42" s="653">
        <v>49312</v>
      </c>
      <c r="LF42" s="653">
        <v>53137</v>
      </c>
      <c r="LG42" s="652">
        <v>1284953</v>
      </c>
      <c r="LH42" s="653"/>
      <c r="LI42" s="439"/>
      <c r="LJ42" s="439"/>
      <c r="LK42" s="439"/>
      <c r="LL42" s="652">
        <v>1294281</v>
      </c>
      <c r="LM42" s="653">
        <v>1077857</v>
      </c>
      <c r="LN42" s="653">
        <v>125408</v>
      </c>
      <c r="LO42" s="653">
        <v>54829</v>
      </c>
      <c r="LP42" s="653">
        <v>57313</v>
      </c>
      <c r="LQ42" s="652">
        <v>1298114</v>
      </c>
      <c r="LR42" s="653">
        <v>1050741</v>
      </c>
      <c r="LS42" s="653">
        <v>121322</v>
      </c>
      <c r="LT42" s="653">
        <v>57645</v>
      </c>
      <c r="LU42" s="653">
        <v>114827</v>
      </c>
      <c r="LV42" s="1">
        <v>13049</v>
      </c>
      <c r="LW42" s="1">
        <v>0</v>
      </c>
      <c r="LX42" s="1">
        <v>4696</v>
      </c>
      <c r="LY42" s="1">
        <v>74398</v>
      </c>
      <c r="LZ42" s="1">
        <v>22684</v>
      </c>
      <c r="MA42" s="10">
        <v>184717</v>
      </c>
      <c r="MB42" s="3">
        <v>170127</v>
      </c>
      <c r="MC42" s="3">
        <v>12019</v>
      </c>
      <c r="MD42" s="3">
        <v>2260</v>
      </c>
      <c r="ME42" s="8">
        <v>2571</v>
      </c>
      <c r="MF42" s="3">
        <v>225535</v>
      </c>
      <c r="MG42" s="3">
        <v>203358</v>
      </c>
      <c r="MH42" s="3">
        <v>15884</v>
      </c>
      <c r="MI42" s="3">
        <v>3830</v>
      </c>
      <c r="MJ42" s="8">
        <v>6293</v>
      </c>
      <c r="MK42" s="3">
        <v>288175</v>
      </c>
      <c r="ML42" s="3">
        <v>252507</v>
      </c>
      <c r="MM42" s="3">
        <v>22681</v>
      </c>
      <c r="MN42" s="3">
        <v>6760</v>
      </c>
      <c r="MO42" s="3">
        <v>9405</v>
      </c>
      <c r="MP42" s="10">
        <v>313558</v>
      </c>
      <c r="MQ42" s="3">
        <v>277851</v>
      </c>
      <c r="MR42" s="3">
        <v>25990</v>
      </c>
      <c r="MS42" s="3">
        <v>9779</v>
      </c>
      <c r="MT42" s="3">
        <v>9717</v>
      </c>
      <c r="MU42" s="10"/>
      <c r="MV42" s="3"/>
      <c r="MW42" s="3"/>
      <c r="MX42" s="3"/>
      <c r="MY42" s="8"/>
      <c r="MZ42" s="3">
        <v>334180</v>
      </c>
      <c r="NA42" s="3">
        <v>290684</v>
      </c>
      <c r="NB42" s="3">
        <v>27047</v>
      </c>
      <c r="NC42" s="3">
        <v>9593</v>
      </c>
      <c r="ND42" s="3">
        <v>10563</v>
      </c>
      <c r="NE42" s="3">
        <v>345182</v>
      </c>
      <c r="NF42" s="3">
        <v>299300</v>
      </c>
      <c r="NG42" s="3">
        <v>28409</v>
      </c>
      <c r="NH42" s="3">
        <v>9834</v>
      </c>
      <c r="NI42" s="3">
        <v>11765</v>
      </c>
      <c r="NJ42" s="3">
        <v>367996</v>
      </c>
      <c r="NK42" s="3">
        <v>320553</v>
      </c>
      <c r="NL42" s="3">
        <v>29883</v>
      </c>
      <c r="NM42" s="3">
        <v>10874</v>
      </c>
      <c r="NN42" s="3">
        <v>74864</v>
      </c>
      <c r="NO42" s="3">
        <v>364142</v>
      </c>
      <c r="NP42" s="3">
        <v>311234</v>
      </c>
      <c r="NQ42" s="3">
        <v>33818</v>
      </c>
      <c r="NR42" s="3">
        <v>10906</v>
      </c>
      <c r="NS42" s="3">
        <v>12317</v>
      </c>
      <c r="NT42" s="3">
        <v>374136</v>
      </c>
      <c r="NU42" s="3">
        <v>312779</v>
      </c>
      <c r="NV42" s="3">
        <v>38589</v>
      </c>
      <c r="NW42" s="3">
        <v>14064</v>
      </c>
      <c r="NX42" s="3">
        <v>14105</v>
      </c>
      <c r="NY42" s="10">
        <v>394092</v>
      </c>
      <c r="NZ42" s="3">
        <v>333164</v>
      </c>
      <c r="OA42" s="3">
        <v>36585</v>
      </c>
      <c r="OB42" s="3">
        <v>13296</v>
      </c>
      <c r="OC42" s="3">
        <v>15388</v>
      </c>
      <c r="OD42" s="10">
        <v>397824</v>
      </c>
      <c r="OE42" s="3"/>
      <c r="OF42" s="3"/>
      <c r="OG42" s="3"/>
      <c r="OH42" s="3"/>
      <c r="OI42" s="10">
        <v>397627</v>
      </c>
      <c r="OJ42" s="3">
        <v>334291</v>
      </c>
      <c r="OK42" s="3">
        <v>35909</v>
      </c>
      <c r="OL42" s="3">
        <v>16788</v>
      </c>
      <c r="OM42" s="3">
        <v>17719</v>
      </c>
      <c r="ON42" s="10">
        <v>414408</v>
      </c>
      <c r="OO42" s="3">
        <v>339918</v>
      </c>
      <c r="OP42" s="3">
        <v>35956</v>
      </c>
      <c r="OQ42" s="3">
        <v>16257</v>
      </c>
      <c r="OR42" s="3">
        <v>7063</v>
      </c>
      <c r="OS42" s="1">
        <v>4549</v>
      </c>
      <c r="OT42" s="1">
        <v>0</v>
      </c>
      <c r="OU42" s="1">
        <v>1389</v>
      </c>
      <c r="OV42" s="1">
        <v>22567</v>
      </c>
      <c r="OW42" s="1">
        <v>7063</v>
      </c>
      <c r="OX42" s="402">
        <f t="shared" si="576"/>
        <v>558797</v>
      </c>
      <c r="OY42" s="382">
        <f t="shared" si="577"/>
        <v>471812</v>
      </c>
      <c r="OZ42" s="382">
        <f t="shared" si="578"/>
        <v>27390</v>
      </c>
      <c r="PA42" s="382">
        <f t="shared" si="579"/>
        <v>70053</v>
      </c>
      <c r="PB42" s="382">
        <f t="shared" si="580"/>
        <v>26559</v>
      </c>
      <c r="PC42" s="402">
        <f t="shared" si="581"/>
        <v>981148</v>
      </c>
      <c r="PD42" s="382">
        <f t="shared" si="582"/>
        <v>892541</v>
      </c>
      <c r="PE42" s="382">
        <f t="shared" si="583"/>
        <v>50470</v>
      </c>
      <c r="PF42" s="382">
        <f t="shared" si="584"/>
        <v>15228</v>
      </c>
      <c r="PG42" s="382">
        <f t="shared" si="585"/>
        <v>38137</v>
      </c>
      <c r="PH42" s="10">
        <v>1094854</v>
      </c>
      <c r="PI42" s="3">
        <v>977767</v>
      </c>
      <c r="PJ42" s="3">
        <v>66083</v>
      </c>
      <c r="PK42" s="3">
        <v>27725</v>
      </c>
      <c r="PL42" s="3">
        <v>51004</v>
      </c>
      <c r="PM42" s="3">
        <v>1176747</v>
      </c>
      <c r="PN42" s="3">
        <v>1039058</v>
      </c>
      <c r="PO42" s="3">
        <v>67630</v>
      </c>
      <c r="PP42" s="3">
        <v>24705</v>
      </c>
      <c r="PQ42" s="3">
        <v>56595</v>
      </c>
      <c r="PR42" s="399"/>
      <c r="PS42" s="5"/>
      <c r="PT42" s="5"/>
      <c r="PU42" s="5"/>
      <c r="PV42" s="5"/>
      <c r="PW42" s="5">
        <v>1317183</v>
      </c>
      <c r="PX42" s="5">
        <v>1148331</v>
      </c>
      <c r="PY42" s="5">
        <v>79665</v>
      </c>
      <c r="PZ42" s="5">
        <v>34262</v>
      </c>
      <c r="QA42" s="408">
        <v>66791</v>
      </c>
      <c r="QB42" s="5">
        <v>1351461</v>
      </c>
      <c r="QC42" s="5">
        <v>1175591</v>
      </c>
      <c r="QD42" s="5">
        <v>83744</v>
      </c>
      <c r="QE42" s="5">
        <v>34155</v>
      </c>
      <c r="QF42" s="5">
        <v>69439</v>
      </c>
      <c r="QG42" s="5">
        <v>1438598</v>
      </c>
      <c r="QH42" s="5">
        <v>1248450</v>
      </c>
      <c r="QI42" s="5">
        <v>89334</v>
      </c>
      <c r="QJ42" s="5">
        <v>37039</v>
      </c>
      <c r="QK42" s="5">
        <v>74864</v>
      </c>
      <c r="QL42" s="399">
        <v>1452262</v>
      </c>
      <c r="QM42" s="5">
        <v>1249428</v>
      </c>
      <c r="QN42" s="5">
        <v>95375</v>
      </c>
      <c r="QO42" s="5">
        <v>36486</v>
      </c>
      <c r="QP42" s="5">
        <v>83147</v>
      </c>
      <c r="QQ42" s="399">
        <v>1498982</v>
      </c>
      <c r="QR42" s="5">
        <v>1291303</v>
      </c>
      <c r="QS42" s="5">
        <v>96889</v>
      </c>
      <c r="QT42" s="5">
        <v>43805</v>
      </c>
      <c r="QU42" s="5">
        <v>81293</v>
      </c>
      <c r="QV42" s="399">
        <v>1583550</v>
      </c>
      <c r="QW42" s="5">
        <v>1348385</v>
      </c>
      <c r="QX42" s="5">
        <v>110291</v>
      </c>
      <c r="QY42" s="5">
        <v>46797</v>
      </c>
      <c r="QZ42" s="5">
        <v>92193</v>
      </c>
      <c r="RA42" s="399">
        <v>1608890</v>
      </c>
      <c r="RB42" s="5"/>
      <c r="RC42" s="5"/>
      <c r="RD42" s="5"/>
      <c r="RE42" s="5"/>
      <c r="RF42" s="5">
        <v>1610453</v>
      </c>
      <c r="RG42" s="5">
        <v>1356041</v>
      </c>
      <c r="RH42" s="5">
        <v>112404</v>
      </c>
      <c r="RI42" s="5">
        <v>55399</v>
      </c>
      <c r="RJ42" s="5">
        <v>103387</v>
      </c>
      <c r="RK42" s="5">
        <v>1731195</v>
      </c>
      <c r="RL42" s="5">
        <v>1428248</v>
      </c>
      <c r="RM42" s="5">
        <v>114601</v>
      </c>
      <c r="RN42" s="5">
        <v>69624</v>
      </c>
      <c r="RO42" s="5">
        <v>172908</v>
      </c>
      <c r="RP42" s="1">
        <v>57351</v>
      </c>
      <c r="RQ42" s="1">
        <v>0</v>
      </c>
      <c r="RR42" s="1">
        <v>3235</v>
      </c>
      <c r="RS42" s="1">
        <v>87339</v>
      </c>
      <c r="RT42" s="1">
        <v>24983</v>
      </c>
      <c r="RU42" s="10">
        <v>321278</v>
      </c>
      <c r="RV42" s="3">
        <v>301685</v>
      </c>
      <c r="RW42" s="3">
        <v>13525</v>
      </c>
      <c r="RX42" s="3">
        <v>3021</v>
      </c>
      <c r="RY42" s="3">
        <v>6068</v>
      </c>
      <c r="RZ42" s="10">
        <v>475247</v>
      </c>
      <c r="SA42" s="3">
        <v>435202</v>
      </c>
      <c r="SB42" s="3">
        <v>23137</v>
      </c>
      <c r="SC42" s="3">
        <v>7146</v>
      </c>
      <c r="SD42" s="3">
        <v>16908</v>
      </c>
      <c r="SE42" s="10">
        <v>564166</v>
      </c>
      <c r="SF42" s="3">
        <v>503084</v>
      </c>
      <c r="SG42" s="3">
        <v>29044</v>
      </c>
      <c r="SH42" s="3">
        <v>12225</v>
      </c>
      <c r="SI42" s="3">
        <v>25385</v>
      </c>
      <c r="SJ42" s="10">
        <v>612297</v>
      </c>
      <c r="SK42" s="3">
        <v>550122</v>
      </c>
      <c r="SL42" s="3">
        <v>34321</v>
      </c>
      <c r="SM42" s="3">
        <v>14243</v>
      </c>
      <c r="SN42" s="3">
        <v>27854</v>
      </c>
      <c r="SO42" s="10">
        <v>617478.67599999998</v>
      </c>
      <c r="SP42" s="3">
        <v>554528.69999999995</v>
      </c>
      <c r="SQ42" s="3">
        <v>33219.104999999996</v>
      </c>
      <c r="SR42" s="3">
        <v>15511.693999999998</v>
      </c>
      <c r="SS42" s="3">
        <v>29730.871000000028</v>
      </c>
      <c r="ST42" s="10">
        <v>629739</v>
      </c>
      <c r="SU42" s="3">
        <v>554642</v>
      </c>
      <c r="SV42" s="3">
        <v>34367</v>
      </c>
      <c r="SW42" s="3">
        <v>16753</v>
      </c>
      <c r="SX42" s="3">
        <v>29594</v>
      </c>
      <c r="SY42" s="3">
        <v>643815</v>
      </c>
      <c r="SZ42" s="3">
        <v>565780</v>
      </c>
      <c r="TA42" s="3">
        <v>36220</v>
      </c>
      <c r="TB42" s="3">
        <v>16711</v>
      </c>
      <c r="TC42" s="3">
        <v>30288</v>
      </c>
      <c r="TD42" s="3">
        <v>682893</v>
      </c>
      <c r="TE42" s="3">
        <v>600044</v>
      </c>
      <c r="TF42" s="3">
        <v>36602</v>
      </c>
      <c r="TG42" s="3">
        <v>17393</v>
      </c>
      <c r="TH42" s="3">
        <v>34436</v>
      </c>
      <c r="TI42" s="3">
        <v>697223</v>
      </c>
      <c r="TJ42" s="3">
        <v>611766</v>
      </c>
      <c r="TK42" s="3">
        <v>39553</v>
      </c>
      <c r="TL42" s="3">
        <v>17127</v>
      </c>
      <c r="TM42" s="3">
        <v>34250</v>
      </c>
      <c r="TN42" s="3">
        <v>716293</v>
      </c>
      <c r="TO42" s="3">
        <v>627832</v>
      </c>
      <c r="TP42" s="3">
        <v>36526</v>
      </c>
      <c r="TQ42" s="3">
        <v>21784</v>
      </c>
      <c r="TR42" s="3">
        <v>36897</v>
      </c>
      <c r="TS42" s="10">
        <v>753268</v>
      </c>
      <c r="TT42" s="3">
        <v>651998</v>
      </c>
      <c r="TU42" s="3">
        <v>48763</v>
      </c>
      <c r="TV42" s="3">
        <v>22320</v>
      </c>
      <c r="TW42" s="3">
        <v>36888</v>
      </c>
      <c r="TX42" s="10">
        <v>771811</v>
      </c>
      <c r="TY42" s="3"/>
      <c r="TZ42" s="3"/>
      <c r="UA42" s="3"/>
      <c r="UB42" s="3"/>
      <c r="UC42" s="10">
        <v>777771</v>
      </c>
      <c r="UD42" s="3">
        <v>664147</v>
      </c>
      <c r="UE42" s="3">
        <v>45295</v>
      </c>
      <c r="UF42" s="3">
        <v>28069</v>
      </c>
      <c r="UG42" s="3">
        <v>47585</v>
      </c>
      <c r="UH42" s="10">
        <v>843069</v>
      </c>
      <c r="UI42" s="3">
        <v>705181</v>
      </c>
      <c r="UJ42" s="3">
        <v>49782</v>
      </c>
      <c r="UK42" s="3">
        <v>34514</v>
      </c>
      <c r="UL42" s="3">
        <v>79856</v>
      </c>
      <c r="UM42" s="1">
        <v>26385</v>
      </c>
      <c r="UN42" s="1">
        <v>0</v>
      </c>
      <c r="UO42" s="1">
        <v>1600</v>
      </c>
      <c r="UP42" s="1">
        <v>41066</v>
      </c>
      <c r="UQ42" s="1">
        <v>17920</v>
      </c>
      <c r="UR42" s="588">
        <f t="shared" si="586"/>
        <v>155656</v>
      </c>
      <c r="US42" s="40">
        <v>95715</v>
      </c>
      <c r="UT42" s="40">
        <v>59941</v>
      </c>
      <c r="UU42" s="588">
        <f t="shared" si="587"/>
        <v>4194</v>
      </c>
      <c r="UV42" s="40">
        <v>2108</v>
      </c>
      <c r="UW42" s="40">
        <v>2086</v>
      </c>
      <c r="UX42" s="42">
        <v>229388</v>
      </c>
      <c r="UY42" s="588">
        <f t="shared" si="588"/>
        <v>137021</v>
      </c>
      <c r="UZ42" s="588">
        <f t="shared" si="589"/>
        <v>92367</v>
      </c>
      <c r="VA42" s="588">
        <f t="shared" si="590"/>
        <v>220724</v>
      </c>
      <c r="VB42" s="40">
        <v>132752</v>
      </c>
      <c r="VC42" s="40">
        <v>87972</v>
      </c>
      <c r="VD42" s="588">
        <f t="shared" si="591"/>
        <v>6306</v>
      </c>
      <c r="VE42" s="40">
        <v>2732</v>
      </c>
      <c r="VF42" s="40">
        <v>3574</v>
      </c>
      <c r="VG42" s="588">
        <f t="shared" si="592"/>
        <v>2358</v>
      </c>
      <c r="VH42" s="40">
        <v>1537</v>
      </c>
      <c r="VI42" s="40">
        <v>821</v>
      </c>
      <c r="VJ42" s="42">
        <v>392590</v>
      </c>
      <c r="VK42" s="588">
        <f t="shared" si="593"/>
        <v>227260</v>
      </c>
      <c r="VL42" s="588">
        <f t="shared" si="594"/>
        <v>165330</v>
      </c>
      <c r="VM42" s="240">
        <f t="shared" si="595"/>
        <v>369242</v>
      </c>
      <c r="VN42" s="40">
        <v>215540</v>
      </c>
      <c r="VO42" s="40">
        <v>153702</v>
      </c>
      <c r="VP42" s="40">
        <v>11720</v>
      </c>
      <c r="VQ42" s="40">
        <v>11628</v>
      </c>
      <c r="VR42" s="240">
        <f t="shared" si="596"/>
        <v>14074</v>
      </c>
      <c r="VS42" s="40">
        <v>6396</v>
      </c>
      <c r="VT42" s="40">
        <v>7678</v>
      </c>
      <c r="VU42" s="240">
        <f t="shared" si="597"/>
        <v>2935</v>
      </c>
      <c r="VV42" s="40">
        <v>1631</v>
      </c>
      <c r="VW42" s="40">
        <v>1304</v>
      </c>
      <c r="VX42" s="233">
        <f t="shared" si="598"/>
        <v>6339</v>
      </c>
      <c r="VY42" s="233">
        <f t="shared" si="599"/>
        <v>3693</v>
      </c>
      <c r="VZ42" s="233">
        <f t="shared" si="600"/>
        <v>2646</v>
      </c>
      <c r="WA42" s="234">
        <f t="shared" si="601"/>
        <v>203</v>
      </c>
      <c r="WB42" s="234">
        <f t="shared" si="602"/>
        <v>128</v>
      </c>
      <c r="WC42" s="234">
        <f t="shared" si="603"/>
        <v>75</v>
      </c>
      <c r="WD42" s="40">
        <v>6136</v>
      </c>
      <c r="WE42" s="40">
        <v>3565</v>
      </c>
      <c r="WF42" s="40">
        <v>2571</v>
      </c>
      <c r="WG42" s="12">
        <f t="shared" si="604"/>
        <v>374080</v>
      </c>
      <c r="WH42" s="588">
        <f t="shared" si="605"/>
        <v>297039</v>
      </c>
      <c r="WI42" s="588">
        <f t="shared" si="606"/>
        <v>245902</v>
      </c>
      <c r="WJ42" s="11">
        <f t="shared" si="607"/>
        <v>301685</v>
      </c>
      <c r="WK42" s="90">
        <f t="shared" si="608"/>
        <v>503928</v>
      </c>
      <c r="WL42" s="40">
        <v>277782</v>
      </c>
      <c r="WM42" s="40">
        <v>226146</v>
      </c>
      <c r="WN42" s="40">
        <v>19257</v>
      </c>
      <c r="WO42" s="40">
        <v>19756</v>
      </c>
      <c r="WP42" s="11">
        <f t="shared" si="609"/>
        <v>15371</v>
      </c>
      <c r="WQ42" s="90">
        <f t="shared" si="610"/>
        <v>22144</v>
      </c>
      <c r="WR42" s="40">
        <v>9664</v>
      </c>
      <c r="WS42" s="40">
        <v>12480</v>
      </c>
      <c r="WT42" s="11">
        <f t="shared" si="611"/>
        <v>5032</v>
      </c>
      <c r="WU42" s="40">
        <v>2865</v>
      </c>
      <c r="WV42" s="40">
        <v>2167</v>
      </c>
      <c r="WW42" s="9">
        <f t="shared" si="612"/>
        <v>23988</v>
      </c>
      <c r="WX42" s="235">
        <f t="shared" si="613"/>
        <v>6728</v>
      </c>
      <c r="WY42" s="235">
        <f t="shared" si="614"/>
        <v>5109</v>
      </c>
      <c r="WZ42" s="236">
        <f t="shared" si="615"/>
        <v>119</v>
      </c>
      <c r="XA42" s="236">
        <f t="shared" si="616"/>
        <v>80</v>
      </c>
      <c r="XB42" s="236">
        <f t="shared" si="617"/>
        <v>39</v>
      </c>
      <c r="XC42" s="589">
        <f t="shared" si="618"/>
        <v>11718</v>
      </c>
      <c r="XD42" s="589">
        <f t="shared" si="619"/>
        <v>6648</v>
      </c>
      <c r="XE42" s="589">
        <f t="shared" si="620"/>
        <v>5070</v>
      </c>
      <c r="XF42" s="40">
        <v>360</v>
      </c>
      <c r="XG42" s="40">
        <v>342</v>
      </c>
      <c r="XH42" s="40">
        <v>6288</v>
      </c>
      <c r="XI42" s="40">
        <v>4728</v>
      </c>
      <c r="XJ42" s="590">
        <v>755613</v>
      </c>
      <c r="XK42" s="40">
        <v>388215</v>
      </c>
      <c r="XL42" s="40">
        <v>367398</v>
      </c>
      <c r="XM42" s="5">
        <f t="shared" si="621"/>
        <v>689183</v>
      </c>
      <c r="XN42" s="5">
        <v>355976</v>
      </c>
      <c r="XO42" s="5">
        <v>333207</v>
      </c>
      <c r="XP42" s="84">
        <f t="shared" si="622"/>
        <v>682256</v>
      </c>
      <c r="XQ42" s="40">
        <v>352470</v>
      </c>
      <c r="XR42" s="40">
        <v>329786</v>
      </c>
      <c r="XS42" s="5">
        <f t="shared" si="623"/>
        <v>34586</v>
      </c>
      <c r="XT42" s="40">
        <v>15261</v>
      </c>
      <c r="XU42" s="40">
        <v>19325</v>
      </c>
      <c r="XV42" s="5">
        <f t="shared" si="624"/>
        <v>11398</v>
      </c>
      <c r="XW42" s="40">
        <v>5730</v>
      </c>
      <c r="XX42" s="40">
        <v>5668</v>
      </c>
      <c r="XY42" s="84">
        <f t="shared" si="625"/>
        <v>31844</v>
      </c>
      <c r="XZ42" s="84">
        <f t="shared" si="626"/>
        <v>16978</v>
      </c>
      <c r="YA42" s="84">
        <f t="shared" si="627"/>
        <v>14866</v>
      </c>
      <c r="YB42" s="587">
        <v>888572</v>
      </c>
      <c r="YC42" s="40">
        <v>786551</v>
      </c>
      <c r="YD42" s="40">
        <v>44949</v>
      </c>
      <c r="YE42" s="40">
        <v>17945</v>
      </c>
      <c r="YF42" s="5">
        <v>47190</v>
      </c>
      <c r="YG42" s="10">
        <v>924303</v>
      </c>
      <c r="YH42" s="3">
        <v>827233</v>
      </c>
      <c r="YI42" s="3">
        <v>47972</v>
      </c>
      <c r="YJ42" s="3">
        <v>49098</v>
      </c>
      <c r="YK42" s="3">
        <v>18276</v>
      </c>
      <c r="YL42" s="10">
        <v>929917</v>
      </c>
      <c r="YM42" s="3">
        <v>835083</v>
      </c>
      <c r="YN42" s="3">
        <v>47927</v>
      </c>
      <c r="YO42" s="3">
        <v>46907</v>
      </c>
      <c r="YP42" s="3">
        <v>19021</v>
      </c>
      <c r="YQ42" s="10">
        <v>953574</v>
      </c>
      <c r="YR42" s="3">
        <v>851892</v>
      </c>
      <c r="YS42" s="3">
        <v>50038</v>
      </c>
      <c r="YT42" s="3">
        <v>51644</v>
      </c>
      <c r="YU42" s="3">
        <v>21302</v>
      </c>
      <c r="YV42" s="10">
        <v>964281.76799999992</v>
      </c>
      <c r="YW42" s="3">
        <v>857671.05599999987</v>
      </c>
      <c r="YX42" s="3">
        <v>48972.494999999995</v>
      </c>
      <c r="YY42" s="3">
        <v>22700.039999999997</v>
      </c>
      <c r="YZ42" s="3">
        <v>57638.217000000062</v>
      </c>
      <c r="ZA42" s="3">
        <v>983003</v>
      </c>
      <c r="ZB42" s="3">
        <v>857647</v>
      </c>
      <c r="ZC42" s="3">
        <v>52618</v>
      </c>
      <c r="ZD42" s="3">
        <v>24669</v>
      </c>
      <c r="ZE42" s="1">
        <v>56228</v>
      </c>
      <c r="ZF42" s="1">
        <v>1006279</v>
      </c>
      <c r="ZG42" s="1">
        <v>876291</v>
      </c>
      <c r="ZH42" s="1">
        <v>55335</v>
      </c>
      <c r="ZI42" s="1">
        <v>24321</v>
      </c>
      <c r="ZJ42" s="1">
        <v>57674</v>
      </c>
      <c r="ZK42" s="1">
        <v>1070602</v>
      </c>
      <c r="ZL42" s="1">
        <v>927897</v>
      </c>
      <c r="ZM42" s="1">
        <v>59451</v>
      </c>
      <c r="ZN42" s="1">
        <v>26165</v>
      </c>
      <c r="ZO42" s="1">
        <v>64595</v>
      </c>
      <c r="ZP42" s="1">
        <v>1088120</v>
      </c>
      <c r="ZQ42" s="1">
        <v>938194</v>
      </c>
      <c r="ZR42" s="1">
        <v>61557</v>
      </c>
      <c r="ZS42" s="1">
        <v>25580</v>
      </c>
      <c r="ZT42" s="1">
        <v>70830</v>
      </c>
      <c r="ZU42" s="1">
        <v>1124846</v>
      </c>
      <c r="ZV42" s="1">
        <v>978524</v>
      </c>
      <c r="ZW42" s="1">
        <v>58300</v>
      </c>
      <c r="ZX42" s="1">
        <v>29741</v>
      </c>
      <c r="ZY42" s="1">
        <v>67188</v>
      </c>
      <c r="ZZ42" s="394">
        <v>44927</v>
      </c>
      <c r="AAA42" s="1">
        <v>0</v>
      </c>
      <c r="AAB42" s="1">
        <v>2371</v>
      </c>
      <c r="AAC42" s="1">
        <v>11364</v>
      </c>
      <c r="AAD42" s="1">
        <v>8526</v>
      </c>
      <c r="AAE42" s="50">
        <v>1189458</v>
      </c>
      <c r="AAF42" s="1">
        <v>1015221</v>
      </c>
      <c r="AAG42" s="1">
        <v>73706</v>
      </c>
      <c r="AAH42" s="1">
        <v>33501</v>
      </c>
      <c r="AAI42" s="1">
        <v>76805</v>
      </c>
      <c r="AAJ42" s="50">
        <v>1211066</v>
      </c>
      <c r="AAK42" s="1"/>
      <c r="AAL42" s="1"/>
      <c r="AAM42" s="1"/>
      <c r="AAN42" s="1"/>
      <c r="AAO42" s="68">
        <v>1212826</v>
      </c>
      <c r="AAP42" s="37">
        <v>1021750</v>
      </c>
      <c r="AAQ42" s="37">
        <v>76495</v>
      </c>
      <c r="AAR42" s="37">
        <v>38611</v>
      </c>
      <c r="AAS42" s="37">
        <v>85668</v>
      </c>
      <c r="AAT42" s="68">
        <v>1316787</v>
      </c>
      <c r="AAU42" s="37">
        <v>1088330</v>
      </c>
      <c r="AAV42" s="37">
        <v>78645</v>
      </c>
      <c r="AAW42" s="37">
        <v>53367</v>
      </c>
      <c r="AAX42" s="37">
        <v>137340</v>
      </c>
      <c r="AAY42" s="1">
        <v>52802</v>
      </c>
      <c r="AAZ42" s="1">
        <v>0</v>
      </c>
      <c r="ABA42" s="1">
        <v>1846</v>
      </c>
      <c r="ABB42" s="1">
        <v>64772</v>
      </c>
      <c r="ABC42" s="1">
        <v>17920</v>
      </c>
      <c r="ABD42" s="10">
        <v>280366</v>
      </c>
      <c r="ABE42" s="3">
        <v>253981</v>
      </c>
      <c r="ABF42" s="3">
        <v>11449</v>
      </c>
      <c r="ABG42" s="3">
        <v>4252</v>
      </c>
      <c r="ABH42" s="3">
        <v>14936</v>
      </c>
      <c r="ABI42" s="10">
        <v>324406</v>
      </c>
      <c r="ABJ42" s="3">
        <v>283467</v>
      </c>
      <c r="ABK42" s="3">
        <v>15905</v>
      </c>
      <c r="ABL42" s="3">
        <v>5720</v>
      </c>
      <c r="ABM42" s="3">
        <v>21805</v>
      </c>
      <c r="ABN42" s="10">
        <v>341277</v>
      </c>
      <c r="ABO42" s="3">
        <v>301770</v>
      </c>
      <c r="ABP42" s="3">
        <v>15717</v>
      </c>
      <c r="ABQ42" s="3">
        <v>7059</v>
      </c>
      <c r="ABR42" s="3">
        <v>23790</v>
      </c>
      <c r="ABS42" s="10">
        <v>346803.09199999995</v>
      </c>
      <c r="ABT42" s="3">
        <v>303142.35599999997</v>
      </c>
      <c r="ABU42" s="3">
        <v>15753.39</v>
      </c>
      <c r="ABV42" s="3">
        <v>7188.3459999999995</v>
      </c>
      <c r="ABW42" s="8">
        <v>27907.345999999976</v>
      </c>
      <c r="ABX42" s="1">
        <v>353264</v>
      </c>
      <c r="ABY42" s="1">
        <v>303005</v>
      </c>
      <c r="ABZ42" s="1">
        <v>18251</v>
      </c>
      <c r="ACA42" s="1">
        <v>7916</v>
      </c>
      <c r="ACB42" s="49">
        <v>26634</v>
      </c>
      <c r="ACC42" s="1">
        <v>362464</v>
      </c>
      <c r="ACD42" s="1">
        <v>310511</v>
      </c>
      <c r="ACE42" s="1">
        <v>19115</v>
      </c>
      <c r="ACF42" s="1">
        <v>7610</v>
      </c>
      <c r="ACG42" s="1">
        <v>27386</v>
      </c>
      <c r="ACH42" s="1">
        <v>387709</v>
      </c>
      <c r="ACI42" s="1">
        <v>327853</v>
      </c>
      <c r="ACJ42" s="1">
        <v>22849</v>
      </c>
      <c r="ACK42" s="1">
        <v>8772</v>
      </c>
      <c r="ACL42" s="1">
        <v>30159</v>
      </c>
      <c r="ACM42" s="1">
        <v>390897</v>
      </c>
      <c r="ACN42" s="1">
        <v>326428</v>
      </c>
      <c r="ACO42" s="1">
        <v>22004</v>
      </c>
      <c r="ACP42" s="1">
        <v>8453</v>
      </c>
      <c r="ACQ42" s="1">
        <v>36580</v>
      </c>
      <c r="ACR42" s="1">
        <v>408553</v>
      </c>
      <c r="ACS42" s="1">
        <v>350692</v>
      </c>
      <c r="ACT42" s="1">
        <v>21774</v>
      </c>
      <c r="ACU42" s="1">
        <v>7957</v>
      </c>
      <c r="ACV42" s="1">
        <v>30291</v>
      </c>
      <c r="ADB42" s="50">
        <v>436190</v>
      </c>
      <c r="ADC42" s="1">
        <v>363223</v>
      </c>
      <c r="ADD42" s="1">
        <v>24943</v>
      </c>
      <c r="ADE42" s="1">
        <v>11181</v>
      </c>
      <c r="ADF42" s="1">
        <v>39917</v>
      </c>
      <c r="ADG42" s="50">
        <v>439255</v>
      </c>
      <c r="ADL42" s="50">
        <v>435055</v>
      </c>
      <c r="ADM42" s="1">
        <v>357603</v>
      </c>
      <c r="ADN42" s="1">
        <v>31200</v>
      </c>
      <c r="ADO42" s="1">
        <v>10542</v>
      </c>
      <c r="ADP42" s="1">
        <v>38083</v>
      </c>
      <c r="ADQ42" s="50">
        <v>473718</v>
      </c>
      <c r="ADR42" s="1">
        <v>383149</v>
      </c>
      <c r="ADS42" s="1">
        <v>28863</v>
      </c>
      <c r="ADT42" s="1">
        <v>18853</v>
      </c>
      <c r="ADU42" s="1">
        <v>57484</v>
      </c>
      <c r="ADV42" s="1">
        <v>26417</v>
      </c>
      <c r="ADW42" s="1">
        <v>0</v>
      </c>
      <c r="ADX42" s="1">
        <v>246</v>
      </c>
      <c r="ADY42" s="1">
        <v>23706</v>
      </c>
      <c r="ADZ42" s="1">
        <v>7115</v>
      </c>
    </row>
    <row r="43" spans="1:806" ht="14.1">
      <c r="A43" s="138" t="s">
        <v>41</v>
      </c>
      <c r="B43" s="174" t="s">
        <v>221</v>
      </c>
      <c r="C43" s="175" t="s">
        <v>221</v>
      </c>
      <c r="D43" s="175" t="s">
        <v>221</v>
      </c>
      <c r="E43" s="175" t="s">
        <v>221</v>
      </c>
      <c r="F43" s="176" t="s">
        <v>221</v>
      </c>
      <c r="G43" s="3">
        <v>163335</v>
      </c>
      <c r="H43" s="3">
        <v>157596</v>
      </c>
      <c r="I43" s="3">
        <v>2276</v>
      </c>
      <c r="J43" s="3">
        <v>2513</v>
      </c>
      <c r="K43" s="8">
        <v>3463</v>
      </c>
      <c r="L43" s="3">
        <v>105424</v>
      </c>
      <c r="M43" s="3">
        <v>92569</v>
      </c>
      <c r="N43" s="3">
        <v>2024</v>
      </c>
      <c r="O43" s="3">
        <v>10983</v>
      </c>
      <c r="P43" s="8">
        <v>10831</v>
      </c>
      <c r="Q43" s="3">
        <v>82560</v>
      </c>
      <c r="R43" s="3">
        <v>62486</v>
      </c>
      <c r="S43" s="3">
        <v>1466</v>
      </c>
      <c r="T43" s="3">
        <v>15291</v>
      </c>
      <c r="U43" s="8">
        <v>10825</v>
      </c>
      <c r="V43" s="5">
        <v>77567</v>
      </c>
      <c r="W43" s="5">
        <v>63081</v>
      </c>
      <c r="X43" s="5">
        <v>2337</v>
      </c>
      <c r="Y43" s="5">
        <v>17830</v>
      </c>
      <c r="Z43" s="408">
        <v>12149</v>
      </c>
      <c r="AA43" s="5">
        <v>73747</v>
      </c>
      <c r="AB43" s="5">
        <v>46436</v>
      </c>
      <c r="AC43" s="5">
        <v>2283</v>
      </c>
      <c r="AD43" s="5">
        <v>20708</v>
      </c>
      <c r="AE43" s="5">
        <v>13259</v>
      </c>
      <c r="AF43" s="399">
        <v>69737</v>
      </c>
      <c r="AG43" s="5">
        <v>42882</v>
      </c>
      <c r="AH43" s="5">
        <v>2433</v>
      </c>
      <c r="AI43" s="5">
        <v>19977</v>
      </c>
      <c r="AJ43" s="490">
        <v>11874</v>
      </c>
      <c r="AK43" s="490">
        <v>63410</v>
      </c>
      <c r="AL43" s="490">
        <v>36490</v>
      </c>
      <c r="AM43" s="685">
        <v>2994</v>
      </c>
      <c r="AN43" s="685">
        <v>18585</v>
      </c>
      <c r="AO43" s="490">
        <v>11313</v>
      </c>
      <c r="AP43" s="394">
        <v>66506</v>
      </c>
      <c r="AQ43" s="394">
        <v>38163</v>
      </c>
      <c r="AR43" s="394">
        <v>2689</v>
      </c>
      <c r="AS43" s="394">
        <v>20213</v>
      </c>
      <c r="AT43" s="394">
        <v>13002</v>
      </c>
      <c r="AU43" s="393">
        <v>66242</v>
      </c>
      <c r="AV43" s="394">
        <v>37511</v>
      </c>
      <c r="AW43" s="394">
        <v>3057</v>
      </c>
      <c r="AX43" s="394">
        <v>19246</v>
      </c>
      <c r="AY43" s="394">
        <v>12621</v>
      </c>
      <c r="AZ43" s="1">
        <v>5871</v>
      </c>
      <c r="BA43" s="1">
        <v>0</v>
      </c>
      <c r="BB43" s="1">
        <v>452</v>
      </c>
      <c r="BC43" s="1">
        <v>301</v>
      </c>
      <c r="BD43" s="1">
        <v>5997</v>
      </c>
      <c r="BE43" s="393">
        <v>65578</v>
      </c>
      <c r="BF43" s="394">
        <v>35770</v>
      </c>
      <c r="BG43" s="394">
        <v>2333</v>
      </c>
      <c r="BH43" s="394">
        <v>19817</v>
      </c>
      <c r="BI43" s="394">
        <v>13510</v>
      </c>
      <c r="BJ43" s="393">
        <v>64952</v>
      </c>
      <c r="BK43" s="394"/>
      <c r="BL43" s="394"/>
      <c r="BM43" s="394"/>
      <c r="BN43" s="394"/>
      <c r="BO43" s="393">
        <v>57894</v>
      </c>
      <c r="BP43" s="394">
        <v>29582</v>
      </c>
      <c r="BQ43" s="394">
        <v>4886</v>
      </c>
      <c r="BR43" s="394">
        <v>17272</v>
      </c>
      <c r="BS43" s="394">
        <v>10109</v>
      </c>
      <c r="BT43" s="393">
        <v>58639</v>
      </c>
      <c r="BU43" s="394">
        <v>28087</v>
      </c>
      <c r="BV43" s="394">
        <v>3845</v>
      </c>
      <c r="BW43" s="394">
        <v>17819</v>
      </c>
      <c r="BX43" s="394">
        <v>7081</v>
      </c>
      <c r="BY43" s="1">
        <v>0</v>
      </c>
      <c r="BZ43" s="1">
        <v>419</v>
      </c>
      <c r="CA43" s="1">
        <v>8321</v>
      </c>
      <c r="CB43" s="1">
        <v>9211</v>
      </c>
      <c r="CC43" s="10">
        <v>190465</v>
      </c>
      <c r="CD43" s="3">
        <v>183122</v>
      </c>
      <c r="CE43" s="3">
        <v>4690</v>
      </c>
      <c r="CF43" s="3">
        <v>17819</v>
      </c>
      <c r="CG43" s="8">
        <v>2653</v>
      </c>
      <c r="CH43" s="3">
        <v>158012</v>
      </c>
      <c r="CI43" s="3">
        <v>144851</v>
      </c>
      <c r="CJ43" s="3">
        <v>5030</v>
      </c>
      <c r="CK43" s="3">
        <v>6800</v>
      </c>
      <c r="CL43" s="8">
        <v>8131</v>
      </c>
      <c r="CM43" s="1">
        <v>128615</v>
      </c>
      <c r="CN43" s="3">
        <v>109770</v>
      </c>
      <c r="CO43" s="3">
        <v>5621</v>
      </c>
      <c r="CP43" s="3">
        <v>10023</v>
      </c>
      <c r="CQ43" s="8">
        <v>8476</v>
      </c>
      <c r="CR43" s="3">
        <v>115125</v>
      </c>
      <c r="CS43" s="3">
        <v>99932</v>
      </c>
      <c r="CT43" s="3">
        <v>5887</v>
      </c>
      <c r="CU43" s="3">
        <v>10764</v>
      </c>
      <c r="CV43" s="8">
        <v>9306</v>
      </c>
      <c r="CW43" s="3">
        <v>109737</v>
      </c>
      <c r="CX43" s="3">
        <v>88544</v>
      </c>
      <c r="CY43" s="3">
        <v>5794</v>
      </c>
      <c r="CZ43" s="3">
        <v>11102</v>
      </c>
      <c r="DA43" s="3">
        <v>8817</v>
      </c>
      <c r="DB43" s="3">
        <v>109584</v>
      </c>
      <c r="DC43" s="3">
        <v>87721</v>
      </c>
      <c r="DD43" s="3">
        <v>5854</v>
      </c>
      <c r="DE43" s="3">
        <v>12354</v>
      </c>
      <c r="DF43" s="39">
        <v>8434</v>
      </c>
      <c r="DG43" s="39">
        <v>98980</v>
      </c>
      <c r="DH43" s="39">
        <v>76795</v>
      </c>
      <c r="DI43" s="39">
        <v>5604</v>
      </c>
      <c r="DJ43" s="39">
        <v>13251</v>
      </c>
      <c r="DK43" s="39">
        <v>6347</v>
      </c>
      <c r="DL43" s="39">
        <v>105159</v>
      </c>
      <c r="DM43" s="39">
        <v>80956</v>
      </c>
      <c r="DN43" s="39">
        <v>6680</v>
      </c>
      <c r="DO43" s="39">
        <v>13904</v>
      </c>
      <c r="DP43" s="39">
        <v>8951</v>
      </c>
      <c r="DQ43" s="39">
        <v>105856</v>
      </c>
      <c r="DR43" s="39">
        <v>80191</v>
      </c>
      <c r="DS43" s="39">
        <v>7466</v>
      </c>
      <c r="DT43" s="39">
        <v>14211</v>
      </c>
      <c r="DU43" s="39">
        <v>8951</v>
      </c>
      <c r="DV43" s="118">
        <v>100027</v>
      </c>
      <c r="DW43" s="39">
        <v>75432</v>
      </c>
      <c r="DX43" s="39">
        <v>5966</v>
      </c>
      <c r="DY43" s="39">
        <v>13196</v>
      </c>
      <c r="DZ43" s="39">
        <v>10413</v>
      </c>
      <c r="EA43" s="118">
        <v>97697</v>
      </c>
      <c r="EB43" s="39"/>
      <c r="EC43" s="39"/>
      <c r="ED43" s="39"/>
      <c r="EE43" s="39"/>
      <c r="EF43" s="118">
        <v>98587</v>
      </c>
      <c r="EG43" s="39">
        <v>71507</v>
      </c>
      <c r="EH43" s="39">
        <v>7418</v>
      </c>
      <c r="EI43" s="39">
        <v>13515</v>
      </c>
      <c r="EJ43" s="39">
        <v>9212</v>
      </c>
      <c r="EK43" s="118">
        <v>98587</v>
      </c>
      <c r="EL43" s="39">
        <v>71507</v>
      </c>
      <c r="EM43" s="39">
        <v>7418</v>
      </c>
      <c r="EN43" s="39">
        <v>13515</v>
      </c>
      <c r="EO43" s="39">
        <v>9212</v>
      </c>
      <c r="EP43" s="118">
        <v>84027</v>
      </c>
      <c r="EQ43" s="39">
        <v>59124</v>
      </c>
      <c r="ER43" s="39">
        <v>4909</v>
      </c>
      <c r="ES43" s="39">
        <v>12125</v>
      </c>
      <c r="ET43" s="1">
        <v>3829</v>
      </c>
      <c r="EU43" s="1">
        <v>0</v>
      </c>
      <c r="EV43" s="1">
        <v>891</v>
      </c>
      <c r="EW43" s="1">
        <v>8032</v>
      </c>
      <c r="EX43" s="1">
        <v>4510</v>
      </c>
      <c r="EY43" s="10">
        <v>189304</v>
      </c>
      <c r="EZ43" s="3">
        <v>158757</v>
      </c>
      <c r="FA43" s="3">
        <v>8114</v>
      </c>
      <c r="FB43" s="3">
        <v>30332</v>
      </c>
      <c r="FC43" s="201">
        <f t="shared" si="574"/>
        <v>22433</v>
      </c>
      <c r="FD43" s="174" t="s">
        <v>221</v>
      </c>
      <c r="FE43" s="175" t="s">
        <v>221</v>
      </c>
      <c r="FF43" s="175" t="s">
        <v>221</v>
      </c>
      <c r="FG43" s="175" t="s">
        <v>221</v>
      </c>
      <c r="FH43" s="174" t="s">
        <v>221</v>
      </c>
      <c r="FI43" s="175" t="s">
        <v>221</v>
      </c>
      <c r="FJ43" s="175" t="s">
        <v>221</v>
      </c>
      <c r="FK43" s="175" t="s">
        <v>221</v>
      </c>
      <c r="FL43" s="176" t="s">
        <v>221</v>
      </c>
      <c r="FM43" s="3">
        <v>1422998</v>
      </c>
      <c r="FN43" s="3">
        <v>1392034</v>
      </c>
      <c r="FO43" s="3">
        <v>16334</v>
      </c>
      <c r="FP43" s="3">
        <v>8563</v>
      </c>
      <c r="FQ43" s="8">
        <v>14630</v>
      </c>
      <c r="FR43" s="3">
        <v>1632420</v>
      </c>
      <c r="FS43" s="3">
        <v>1572873</v>
      </c>
      <c r="FT43" s="3">
        <v>23969</v>
      </c>
      <c r="FU43" s="3">
        <v>19501</v>
      </c>
      <c r="FV43" s="3">
        <v>35578</v>
      </c>
      <c r="FW43" s="127">
        <v>1740807</v>
      </c>
      <c r="FX43" s="3">
        <v>1644953</v>
      </c>
      <c r="FY43" s="3">
        <v>32421</v>
      </c>
      <c r="FZ43" s="3">
        <v>39669</v>
      </c>
      <c r="GA43" s="3">
        <v>29646</v>
      </c>
      <c r="GB43" s="10">
        <v>1761844</v>
      </c>
      <c r="GC43" s="3">
        <v>1680510</v>
      </c>
      <c r="GD43" s="3">
        <v>29832</v>
      </c>
      <c r="GE43" s="3">
        <v>51502</v>
      </c>
      <c r="GF43" s="3">
        <v>31731</v>
      </c>
      <c r="GG43" s="42">
        <v>1771625</v>
      </c>
      <c r="GH43" s="40">
        <v>1688401</v>
      </c>
      <c r="GI43" s="40">
        <v>31164</v>
      </c>
      <c r="GJ43" s="40">
        <v>52060</v>
      </c>
      <c r="GK43" s="40">
        <v>34203</v>
      </c>
      <c r="GL43" s="10">
        <v>1808000</v>
      </c>
      <c r="GM43" s="3">
        <v>1718595</v>
      </c>
      <c r="GN43" s="3">
        <v>35296</v>
      </c>
      <c r="GO43" s="3">
        <v>36433</v>
      </c>
      <c r="GP43" s="3">
        <v>38851</v>
      </c>
      <c r="GQ43" s="10">
        <v>1824572.5619999999</v>
      </c>
      <c r="GR43" s="3">
        <v>1731203.36</v>
      </c>
      <c r="GS43" s="3">
        <v>37471.692000000003</v>
      </c>
      <c r="GT43" s="3">
        <v>37154.699999999997</v>
      </c>
      <c r="GU43" s="373">
        <f t="shared" si="575"/>
        <v>55897.509999999813</v>
      </c>
      <c r="GV43" s="3">
        <v>1844278</v>
      </c>
      <c r="GW43" s="3">
        <v>1721640</v>
      </c>
      <c r="GX43" s="3">
        <v>38721</v>
      </c>
      <c r="GY43" s="3">
        <v>38704</v>
      </c>
      <c r="GZ43" s="3">
        <v>56626</v>
      </c>
      <c r="HA43" s="3">
        <v>1859050</v>
      </c>
      <c r="HB43" s="3">
        <v>1729595</v>
      </c>
      <c r="HC43" s="3">
        <v>40263</v>
      </c>
      <c r="HD43" s="3">
        <v>41429</v>
      </c>
      <c r="HE43" s="3">
        <v>58633</v>
      </c>
      <c r="HF43" s="3">
        <v>1900344</v>
      </c>
      <c r="HG43" s="3">
        <v>1754382</v>
      </c>
      <c r="HH43" s="3">
        <v>44367</v>
      </c>
      <c r="HI43" s="3">
        <v>47598</v>
      </c>
      <c r="HJ43" s="3">
        <v>64854</v>
      </c>
      <c r="HK43" s="3">
        <v>1902839</v>
      </c>
      <c r="HL43" s="3">
        <v>1754861</v>
      </c>
      <c r="HM43" s="3">
        <v>47420</v>
      </c>
      <c r="HN43" s="3">
        <v>46522</v>
      </c>
      <c r="HO43" s="3">
        <v>67247</v>
      </c>
      <c r="HP43" s="10">
        <v>1914922</v>
      </c>
      <c r="HQ43" s="3">
        <v>1755784</v>
      </c>
      <c r="HR43" s="3">
        <v>49027</v>
      </c>
      <c r="HS43" s="3">
        <v>52108</v>
      </c>
      <c r="HT43" s="3">
        <v>70450</v>
      </c>
      <c r="HU43" s="394">
        <v>36895</v>
      </c>
      <c r="HV43" s="1">
        <v>0</v>
      </c>
      <c r="HW43" s="1">
        <v>5517</v>
      </c>
      <c r="HX43" s="1">
        <v>16136</v>
      </c>
      <c r="HY43" s="1">
        <v>11902</v>
      </c>
      <c r="HZ43" s="10">
        <v>1928304</v>
      </c>
      <c r="IA43" s="3">
        <v>1762615</v>
      </c>
      <c r="IB43" s="3">
        <v>48896</v>
      </c>
      <c r="IC43" s="3">
        <v>55548</v>
      </c>
      <c r="ID43" s="3">
        <v>73925</v>
      </c>
      <c r="IE43" s="399">
        <v>1942143</v>
      </c>
      <c r="IF43" s="5"/>
      <c r="IG43" s="5"/>
      <c r="IH43" s="5"/>
      <c r="II43" s="5"/>
      <c r="IJ43" s="399">
        <v>1966523</v>
      </c>
      <c r="IK43" s="5">
        <v>1776895</v>
      </c>
      <c r="IL43" s="5">
        <v>60078</v>
      </c>
      <c r="IM43" s="5">
        <v>64035</v>
      </c>
      <c r="IN43" s="5">
        <v>79335</v>
      </c>
      <c r="IO43" s="399">
        <v>1994595</v>
      </c>
      <c r="IP43" s="5">
        <v>1772254</v>
      </c>
      <c r="IQ43" s="5">
        <v>52696</v>
      </c>
      <c r="IR43" s="5">
        <v>70844</v>
      </c>
      <c r="IS43" s="5">
        <v>151502</v>
      </c>
      <c r="IT43" s="1">
        <v>36549</v>
      </c>
      <c r="IU43" s="1">
        <v>0</v>
      </c>
      <c r="IV43" s="1">
        <v>7062</v>
      </c>
      <c r="IW43" s="1">
        <v>83437</v>
      </c>
      <c r="IX43" s="1">
        <v>24454</v>
      </c>
      <c r="IY43" s="380" t="s">
        <v>221</v>
      </c>
      <c r="IZ43" s="188" t="s">
        <v>221</v>
      </c>
      <c r="JA43" s="188" t="s">
        <v>221</v>
      </c>
      <c r="JB43" s="188" t="s">
        <v>221</v>
      </c>
      <c r="JC43" s="635" t="s">
        <v>221</v>
      </c>
      <c r="JD43" s="5">
        <v>439238</v>
      </c>
      <c r="JE43" s="5">
        <v>429188</v>
      </c>
      <c r="JF43" s="5">
        <v>6182</v>
      </c>
      <c r="JG43" s="5">
        <v>2951</v>
      </c>
      <c r="JH43" s="408">
        <v>3868</v>
      </c>
      <c r="JI43" s="5">
        <v>546388</v>
      </c>
      <c r="JJ43" s="5">
        <v>525754</v>
      </c>
      <c r="JK43" s="5">
        <v>9660</v>
      </c>
      <c r="JL43" s="5">
        <v>6658</v>
      </c>
      <c r="JM43" s="408">
        <v>10974</v>
      </c>
      <c r="JN43" s="5">
        <v>575122</v>
      </c>
      <c r="JO43" s="5">
        <v>544662</v>
      </c>
      <c r="JP43" s="5">
        <v>12037</v>
      </c>
      <c r="JQ43" s="5">
        <v>8272</v>
      </c>
      <c r="JR43" s="5">
        <v>13952</v>
      </c>
      <c r="JS43" s="5">
        <v>640921</v>
      </c>
      <c r="JT43" s="5">
        <v>607912</v>
      </c>
      <c r="JU43" s="5">
        <v>15851</v>
      </c>
      <c r="JV43" s="5">
        <v>12709</v>
      </c>
      <c r="JW43" s="408">
        <v>17158</v>
      </c>
      <c r="JX43" s="5">
        <v>644440.64</v>
      </c>
      <c r="JY43" s="5">
        <v>610457.07999999996</v>
      </c>
      <c r="JZ43" s="5">
        <v>16730.062000000002</v>
      </c>
      <c r="KA43" s="5">
        <v>13308.137999999999</v>
      </c>
      <c r="KB43" s="408">
        <v>17253.498000000054</v>
      </c>
      <c r="KC43" s="5">
        <v>653140</v>
      </c>
      <c r="KD43" s="5">
        <v>610266</v>
      </c>
      <c r="KE43" s="5">
        <v>16736</v>
      </c>
      <c r="KF43" s="5">
        <v>13969</v>
      </c>
      <c r="KG43" s="439">
        <v>16274</v>
      </c>
      <c r="KH43" s="439">
        <v>661299</v>
      </c>
      <c r="KI43" s="439">
        <v>615231</v>
      </c>
      <c r="KJ43" s="439">
        <v>17607</v>
      </c>
      <c r="KK43" s="439">
        <v>14619</v>
      </c>
      <c r="KL43" s="439">
        <v>18052</v>
      </c>
      <c r="KM43" s="439">
        <v>675028</v>
      </c>
      <c r="KN43" s="439">
        <v>621964</v>
      </c>
      <c r="KO43" s="439">
        <v>19360</v>
      </c>
      <c r="KP43" s="439">
        <v>18090</v>
      </c>
      <c r="KQ43" s="439">
        <v>19838</v>
      </c>
      <c r="KR43" s="439">
        <v>681336</v>
      </c>
      <c r="KS43" s="439">
        <v>628850</v>
      </c>
      <c r="KT43" s="439">
        <v>19379</v>
      </c>
      <c r="KU43" s="439">
        <v>16054</v>
      </c>
      <c r="KV43" s="439">
        <v>21351</v>
      </c>
      <c r="KW43" s="630">
        <v>672228</v>
      </c>
      <c r="KX43" s="439">
        <v>619652</v>
      </c>
      <c r="KY43" s="439">
        <v>19831</v>
      </c>
      <c r="KZ43" s="439">
        <v>18473</v>
      </c>
      <c r="LA43" s="439">
        <v>18497</v>
      </c>
      <c r="LB43" s="652">
        <v>683254</v>
      </c>
      <c r="LC43" s="653">
        <v>625179</v>
      </c>
      <c r="LD43" s="653">
        <v>20471</v>
      </c>
      <c r="LE43" s="653">
        <v>17642</v>
      </c>
      <c r="LF43" s="653">
        <v>25311</v>
      </c>
      <c r="LG43" s="652">
        <v>682334</v>
      </c>
      <c r="LH43" s="653"/>
      <c r="LI43" s="439"/>
      <c r="LJ43" s="439"/>
      <c r="LK43" s="439"/>
      <c r="LL43" s="652">
        <v>685448</v>
      </c>
      <c r="LM43" s="653">
        <v>618496</v>
      </c>
      <c r="LN43" s="653">
        <v>25208</v>
      </c>
      <c r="LO43" s="653">
        <v>23705</v>
      </c>
      <c r="LP43" s="653">
        <v>22984</v>
      </c>
      <c r="LQ43" s="652">
        <v>695181</v>
      </c>
      <c r="LR43" s="653">
        <v>617365</v>
      </c>
      <c r="LS43" s="653">
        <v>17852</v>
      </c>
      <c r="LT43" s="653">
        <v>26703</v>
      </c>
      <c r="LU43" s="653">
        <v>53311</v>
      </c>
      <c r="LV43" s="1">
        <v>8073</v>
      </c>
      <c r="LW43" s="1">
        <v>0</v>
      </c>
      <c r="LX43" s="1">
        <v>3147</v>
      </c>
      <c r="LY43" s="1">
        <v>33481</v>
      </c>
      <c r="LZ43" s="1">
        <v>8610</v>
      </c>
      <c r="MA43" s="10">
        <v>136638</v>
      </c>
      <c r="MB43" s="3">
        <v>134223</v>
      </c>
      <c r="MC43" s="3">
        <v>1382</v>
      </c>
      <c r="MD43" s="3">
        <v>905</v>
      </c>
      <c r="ME43" s="8">
        <v>1033</v>
      </c>
      <c r="MF43" s="3">
        <v>140640</v>
      </c>
      <c r="MG43" s="3">
        <v>136163</v>
      </c>
      <c r="MH43" s="3">
        <v>1797</v>
      </c>
      <c r="MI43" s="3">
        <v>1443</v>
      </c>
      <c r="MJ43" s="8">
        <v>2680</v>
      </c>
      <c r="MK43" s="3">
        <v>177471</v>
      </c>
      <c r="ML43" s="3">
        <v>169029</v>
      </c>
      <c r="MM43" s="3">
        <v>2981</v>
      </c>
      <c r="MN43" s="3">
        <v>2456</v>
      </c>
      <c r="MO43" s="3">
        <v>4085</v>
      </c>
      <c r="MP43" s="10">
        <v>198740</v>
      </c>
      <c r="MQ43" s="3">
        <v>191308</v>
      </c>
      <c r="MR43" s="3">
        <v>3385</v>
      </c>
      <c r="MS43" s="3">
        <v>3111</v>
      </c>
      <c r="MT43" s="3">
        <v>4047</v>
      </c>
      <c r="MU43" s="10"/>
      <c r="MV43" s="3"/>
      <c r="MW43" s="3"/>
      <c r="MX43" s="3"/>
      <c r="MY43" s="8"/>
      <c r="MZ43" s="3">
        <v>214003</v>
      </c>
      <c r="NA43" s="3">
        <v>202308</v>
      </c>
      <c r="NB43" s="3">
        <v>4241</v>
      </c>
      <c r="NC43" s="3">
        <v>3861</v>
      </c>
      <c r="ND43" s="3">
        <v>4502</v>
      </c>
      <c r="NE43" s="3">
        <v>222140</v>
      </c>
      <c r="NF43" s="3">
        <v>209397</v>
      </c>
      <c r="NG43" s="3">
        <v>4697</v>
      </c>
      <c r="NH43" s="3">
        <v>3911</v>
      </c>
      <c r="NI43" s="3">
        <v>5018</v>
      </c>
      <c r="NJ43" s="3">
        <v>233906</v>
      </c>
      <c r="NK43" s="3">
        <v>218954</v>
      </c>
      <c r="NL43" s="3">
        <v>5337</v>
      </c>
      <c r="NM43" s="3">
        <v>5182</v>
      </c>
      <c r="NN43" s="3">
        <v>34806</v>
      </c>
      <c r="NO43" s="3">
        <v>236728</v>
      </c>
      <c r="NP43" s="3">
        <v>222872</v>
      </c>
      <c r="NQ43" s="3">
        <v>3496</v>
      </c>
      <c r="NR43" s="3">
        <v>4530</v>
      </c>
      <c r="NS43" s="3">
        <v>6906</v>
      </c>
      <c r="NT43" s="3">
        <v>234055</v>
      </c>
      <c r="NU43" s="3">
        <v>218266</v>
      </c>
      <c r="NV43" s="3">
        <v>5397</v>
      </c>
      <c r="NW43" s="3">
        <v>5060</v>
      </c>
      <c r="NX43" s="3">
        <v>6238</v>
      </c>
      <c r="NY43" s="10">
        <v>242738</v>
      </c>
      <c r="NZ43" s="3">
        <v>227203</v>
      </c>
      <c r="OA43" s="3">
        <v>4861</v>
      </c>
      <c r="OB43" s="3">
        <v>5485</v>
      </c>
      <c r="OC43" s="3">
        <v>7269</v>
      </c>
      <c r="OD43" s="10">
        <v>247997</v>
      </c>
      <c r="OE43" s="3"/>
      <c r="OF43" s="3"/>
      <c r="OG43" s="3"/>
      <c r="OH43" s="3"/>
      <c r="OI43" s="10">
        <v>251578</v>
      </c>
      <c r="OJ43" s="3">
        <v>235120</v>
      </c>
      <c r="OK43" s="3">
        <v>5184</v>
      </c>
      <c r="OL43" s="3">
        <v>6484</v>
      </c>
      <c r="OM43" s="3">
        <v>5663</v>
      </c>
      <c r="ON43" s="10">
        <v>255456</v>
      </c>
      <c r="OO43" s="3">
        <v>231359</v>
      </c>
      <c r="OP43" s="3">
        <v>4312</v>
      </c>
      <c r="OQ43" s="3">
        <v>9010</v>
      </c>
      <c r="OR43" s="3">
        <v>2897</v>
      </c>
      <c r="OS43" s="1">
        <v>2431</v>
      </c>
      <c r="OT43" s="1">
        <v>0</v>
      </c>
      <c r="OU43" s="1">
        <v>949</v>
      </c>
      <c r="OV43" s="1">
        <v>11036</v>
      </c>
      <c r="OW43" s="1">
        <v>2897</v>
      </c>
      <c r="OX43" s="402">
        <f t="shared" si="576"/>
        <v>363623</v>
      </c>
      <c r="OY43" s="382">
        <f t="shared" si="577"/>
        <v>336784</v>
      </c>
      <c r="OZ43" s="382">
        <f t="shared" si="578"/>
        <v>4796</v>
      </c>
      <c r="PA43" s="382">
        <f t="shared" si="579"/>
        <v>25817</v>
      </c>
      <c r="PB43" s="382">
        <f t="shared" si="580"/>
        <v>10333</v>
      </c>
      <c r="PC43" s="402">
        <f t="shared" si="581"/>
        <v>542730</v>
      </c>
      <c r="PD43" s="382">
        <f t="shared" si="582"/>
        <v>521106</v>
      </c>
      <c r="PE43" s="382">
        <f t="shared" si="583"/>
        <v>6356</v>
      </c>
      <c r="PF43" s="382">
        <f t="shared" si="584"/>
        <v>5535</v>
      </c>
      <c r="PG43" s="382">
        <f t="shared" si="585"/>
        <v>15268</v>
      </c>
      <c r="PH43" s="10">
        <v>621130</v>
      </c>
      <c r="PI43" s="3">
        <v>591555</v>
      </c>
      <c r="PJ43" s="3">
        <v>9591</v>
      </c>
      <c r="PK43" s="3">
        <v>9061</v>
      </c>
      <c r="PL43" s="3">
        <v>19984</v>
      </c>
      <c r="PM43" s="3">
        <v>646426</v>
      </c>
      <c r="PN43" s="3">
        <v>608371</v>
      </c>
      <c r="PO43" s="3">
        <v>9340</v>
      </c>
      <c r="PP43" s="3">
        <v>8322</v>
      </c>
      <c r="PQ43" s="3">
        <v>23840</v>
      </c>
      <c r="PR43" s="399"/>
      <c r="PS43" s="5"/>
      <c r="PT43" s="5"/>
      <c r="PU43" s="5"/>
      <c r="PV43" s="5"/>
      <c r="PW43" s="5">
        <v>736257</v>
      </c>
      <c r="PX43" s="5">
        <v>688814</v>
      </c>
      <c r="PY43" s="5">
        <v>12764</v>
      </c>
      <c r="PZ43" s="5">
        <v>11239</v>
      </c>
      <c r="QA43" s="408">
        <v>25596</v>
      </c>
      <c r="QB43" s="5">
        <v>754322</v>
      </c>
      <c r="QC43" s="5">
        <v>703815</v>
      </c>
      <c r="QD43" s="5">
        <v>12897</v>
      </c>
      <c r="QE43" s="5">
        <v>12193</v>
      </c>
      <c r="QF43" s="5">
        <v>27775</v>
      </c>
      <c r="QG43" s="5">
        <v>804332</v>
      </c>
      <c r="QH43" s="5">
        <v>742431</v>
      </c>
      <c r="QI43" s="5">
        <v>15475</v>
      </c>
      <c r="QJ43" s="5">
        <v>15454</v>
      </c>
      <c r="QK43" s="5">
        <v>34806</v>
      </c>
      <c r="QL43" s="399">
        <v>793319</v>
      </c>
      <c r="QM43" s="5">
        <v>739717</v>
      </c>
      <c r="QN43" s="5">
        <v>11557</v>
      </c>
      <c r="QO43" s="5">
        <v>13251</v>
      </c>
      <c r="QP43" s="5">
        <v>31563</v>
      </c>
      <c r="QQ43" s="399">
        <v>827217</v>
      </c>
      <c r="QR43" s="5">
        <v>757892</v>
      </c>
      <c r="QS43" s="5">
        <v>17228</v>
      </c>
      <c r="QT43" s="5">
        <v>15698</v>
      </c>
      <c r="QU43" s="5">
        <v>39945</v>
      </c>
      <c r="QV43" s="399">
        <v>848558</v>
      </c>
      <c r="QW43" s="5">
        <v>783211</v>
      </c>
      <c r="QX43" s="5">
        <v>16119</v>
      </c>
      <c r="QY43" s="5">
        <v>17132</v>
      </c>
      <c r="QZ43" s="5">
        <v>36327</v>
      </c>
      <c r="RA43" s="399">
        <v>858537</v>
      </c>
      <c r="RB43" s="5"/>
      <c r="RC43" s="5"/>
      <c r="RD43" s="5"/>
      <c r="RE43" s="5"/>
      <c r="RF43" s="5">
        <v>873831</v>
      </c>
      <c r="RG43" s="5">
        <v>801409</v>
      </c>
      <c r="RH43" s="5">
        <v>15948</v>
      </c>
      <c r="RI43" s="5">
        <v>19581</v>
      </c>
      <c r="RJ43" s="5">
        <v>40839</v>
      </c>
      <c r="RK43" s="5">
        <v>908198</v>
      </c>
      <c r="RL43" s="5">
        <v>813491</v>
      </c>
      <c r="RM43" s="5">
        <v>17852</v>
      </c>
      <c r="RN43" s="5">
        <v>25782</v>
      </c>
      <c r="RO43" s="5">
        <v>68956</v>
      </c>
      <c r="RP43" s="1">
        <v>22147</v>
      </c>
      <c r="RQ43" s="1">
        <v>0</v>
      </c>
      <c r="RR43" s="1">
        <v>2422</v>
      </c>
      <c r="RS43" s="1">
        <v>34957</v>
      </c>
      <c r="RT43" s="1">
        <v>9430</v>
      </c>
      <c r="RU43" s="10">
        <v>207269</v>
      </c>
      <c r="RV43" s="3">
        <v>202561</v>
      </c>
      <c r="RW43" s="3">
        <v>1941</v>
      </c>
      <c r="RX43" s="3">
        <v>991</v>
      </c>
      <c r="RY43" s="3">
        <v>2767</v>
      </c>
      <c r="RZ43" s="10">
        <v>278350</v>
      </c>
      <c r="SA43" s="3">
        <v>269072</v>
      </c>
      <c r="SB43" s="3">
        <v>2989</v>
      </c>
      <c r="SC43" s="3">
        <v>2565</v>
      </c>
      <c r="SD43" s="3">
        <v>6289</v>
      </c>
      <c r="SE43" s="10">
        <v>322969</v>
      </c>
      <c r="SF43" s="3">
        <v>306788</v>
      </c>
      <c r="SG43" s="3">
        <v>4244</v>
      </c>
      <c r="SH43" s="3">
        <v>3554</v>
      </c>
      <c r="SI43" s="3">
        <v>9781</v>
      </c>
      <c r="SJ43" s="10">
        <v>344306</v>
      </c>
      <c r="SK43" s="3">
        <v>328990</v>
      </c>
      <c r="SL43" s="3">
        <v>4871</v>
      </c>
      <c r="SM43" s="3">
        <v>4504</v>
      </c>
      <c r="SN43" s="3">
        <v>10445</v>
      </c>
      <c r="SO43" s="10">
        <v>352428.47499999998</v>
      </c>
      <c r="SP43" s="3">
        <v>336412.88000000006</v>
      </c>
      <c r="SQ43" s="3">
        <v>5105.6319999999996</v>
      </c>
      <c r="SR43" s="3">
        <v>4661.2260000000006</v>
      </c>
      <c r="SS43" s="3">
        <v>10909.962999999914</v>
      </c>
      <c r="ST43" s="10">
        <v>358550</v>
      </c>
      <c r="SU43" s="3">
        <v>339309</v>
      </c>
      <c r="SV43" s="3">
        <v>5383</v>
      </c>
      <c r="SW43" s="3">
        <v>4791</v>
      </c>
      <c r="SX43" s="3">
        <v>9956</v>
      </c>
      <c r="SY43" s="3">
        <v>365280</v>
      </c>
      <c r="SZ43" s="3">
        <v>344587</v>
      </c>
      <c r="TA43" s="3">
        <v>5046</v>
      </c>
      <c r="TB43" s="3">
        <v>5527</v>
      </c>
      <c r="TC43" s="3">
        <v>11066</v>
      </c>
      <c r="TD43" s="3">
        <v>383943</v>
      </c>
      <c r="TE43" s="3">
        <v>356527</v>
      </c>
      <c r="TF43" s="3">
        <v>6399</v>
      </c>
      <c r="TG43" s="3">
        <v>6870</v>
      </c>
      <c r="TH43" s="3">
        <v>15512</v>
      </c>
      <c r="TI43" s="3">
        <v>377035</v>
      </c>
      <c r="TJ43" s="3">
        <v>355318</v>
      </c>
      <c r="TK43" s="3">
        <v>5786</v>
      </c>
      <c r="TL43" s="3">
        <v>5821</v>
      </c>
      <c r="TM43" s="3">
        <v>11545</v>
      </c>
      <c r="TN43" s="3">
        <v>398242</v>
      </c>
      <c r="TO43" s="3">
        <v>367881</v>
      </c>
      <c r="TP43" s="3">
        <v>7892</v>
      </c>
      <c r="TQ43" s="3">
        <v>7425</v>
      </c>
      <c r="TR43" s="3">
        <v>16997</v>
      </c>
      <c r="TS43" s="10">
        <v>406630</v>
      </c>
      <c r="TT43" s="3">
        <v>379467</v>
      </c>
      <c r="TU43" s="3">
        <v>6842</v>
      </c>
      <c r="TV43" s="3">
        <v>7675</v>
      </c>
      <c r="TW43" s="3">
        <v>14240</v>
      </c>
      <c r="TX43" s="10">
        <v>413442</v>
      </c>
      <c r="TY43" s="3"/>
      <c r="TZ43" s="3"/>
      <c r="UA43" s="3"/>
      <c r="UB43" s="3"/>
      <c r="UC43" s="10">
        <v>420199</v>
      </c>
      <c r="UD43" s="3">
        <v>388334</v>
      </c>
      <c r="UE43" s="3">
        <v>7957</v>
      </c>
      <c r="UF43" s="3">
        <v>8359</v>
      </c>
      <c r="UG43" s="3">
        <v>17214</v>
      </c>
      <c r="UH43" s="10">
        <v>441878</v>
      </c>
      <c r="UI43" s="3">
        <v>397476</v>
      </c>
      <c r="UJ43" s="3">
        <v>8826</v>
      </c>
      <c r="UK43" s="3">
        <v>12835</v>
      </c>
      <c r="UL43" s="3">
        <v>31648</v>
      </c>
      <c r="UM43" s="1">
        <v>8737</v>
      </c>
      <c r="UN43" s="1">
        <v>0</v>
      </c>
      <c r="UO43" s="1">
        <v>857</v>
      </c>
      <c r="UP43" s="1">
        <v>17228</v>
      </c>
      <c r="UQ43" s="1">
        <v>6533</v>
      </c>
      <c r="UR43" s="588">
        <f t="shared" si="586"/>
        <v>97759</v>
      </c>
      <c r="US43" s="40">
        <v>58472</v>
      </c>
      <c r="UT43" s="40">
        <v>39287</v>
      </c>
      <c r="UU43" s="588">
        <f t="shared" si="587"/>
        <v>791</v>
      </c>
      <c r="UV43" s="40">
        <v>469</v>
      </c>
      <c r="UW43" s="40">
        <v>322</v>
      </c>
      <c r="UX43" s="42">
        <v>139996</v>
      </c>
      <c r="UY43" s="588">
        <f t="shared" si="588"/>
        <v>79338</v>
      </c>
      <c r="UZ43" s="588">
        <f t="shared" si="589"/>
        <v>60658</v>
      </c>
      <c r="VA43" s="588">
        <f t="shared" si="590"/>
        <v>138514</v>
      </c>
      <c r="VB43" s="40">
        <v>78404</v>
      </c>
      <c r="VC43" s="40">
        <v>60110</v>
      </c>
      <c r="VD43" s="588">
        <f t="shared" si="591"/>
        <v>608</v>
      </c>
      <c r="VE43" s="40">
        <v>351</v>
      </c>
      <c r="VF43" s="40">
        <v>257</v>
      </c>
      <c r="VG43" s="588">
        <f t="shared" si="592"/>
        <v>874</v>
      </c>
      <c r="VH43" s="40">
        <v>583</v>
      </c>
      <c r="VI43" s="40">
        <v>291</v>
      </c>
      <c r="VJ43" s="42">
        <v>237055</v>
      </c>
      <c r="VK43" s="588">
        <f t="shared" si="593"/>
        <v>134641</v>
      </c>
      <c r="VL43" s="588">
        <f t="shared" si="594"/>
        <v>102414</v>
      </c>
      <c r="VM43" s="240">
        <f t="shared" si="595"/>
        <v>230807</v>
      </c>
      <c r="VN43" s="40">
        <v>130821</v>
      </c>
      <c r="VO43" s="40">
        <v>99986</v>
      </c>
      <c r="VP43" s="40">
        <v>3820</v>
      </c>
      <c r="VQ43" s="40">
        <v>2428</v>
      </c>
      <c r="VR43" s="240">
        <f t="shared" si="596"/>
        <v>2268</v>
      </c>
      <c r="VS43" s="40">
        <v>1345</v>
      </c>
      <c r="VT43" s="40">
        <v>923</v>
      </c>
      <c r="VU43" s="240">
        <f t="shared" si="597"/>
        <v>1197</v>
      </c>
      <c r="VV43" s="40">
        <v>702</v>
      </c>
      <c r="VW43" s="40">
        <v>495</v>
      </c>
      <c r="VX43" s="233">
        <f t="shared" si="598"/>
        <v>2783</v>
      </c>
      <c r="VY43" s="233">
        <f t="shared" si="599"/>
        <v>1773</v>
      </c>
      <c r="VZ43" s="233">
        <f t="shared" si="600"/>
        <v>1010</v>
      </c>
      <c r="WA43" s="234">
        <f t="shared" si="601"/>
        <v>158</v>
      </c>
      <c r="WB43" s="234">
        <f t="shared" si="602"/>
        <v>119</v>
      </c>
      <c r="WC43" s="234">
        <f t="shared" si="603"/>
        <v>39</v>
      </c>
      <c r="WD43" s="40">
        <v>2625</v>
      </c>
      <c r="WE43" s="40">
        <v>1654</v>
      </c>
      <c r="WF43" s="40">
        <v>971</v>
      </c>
      <c r="WG43" s="12">
        <f t="shared" si="604"/>
        <v>226985</v>
      </c>
      <c r="WH43" s="588">
        <f t="shared" si="605"/>
        <v>159200</v>
      </c>
      <c r="WI43" s="588">
        <f t="shared" si="606"/>
        <v>140192</v>
      </c>
      <c r="WJ43" s="11">
        <f t="shared" si="607"/>
        <v>202561</v>
      </c>
      <c r="WK43" s="90">
        <f t="shared" si="608"/>
        <v>288894</v>
      </c>
      <c r="WL43" s="40">
        <v>153289</v>
      </c>
      <c r="WM43" s="40">
        <v>135605</v>
      </c>
      <c r="WN43" s="40">
        <v>5911</v>
      </c>
      <c r="WO43" s="40">
        <v>4587</v>
      </c>
      <c r="WP43" s="11">
        <f t="shared" si="609"/>
        <v>3414</v>
      </c>
      <c r="WQ43" s="90">
        <f t="shared" si="610"/>
        <v>2949</v>
      </c>
      <c r="WR43" s="40">
        <v>1661</v>
      </c>
      <c r="WS43" s="40">
        <v>1288</v>
      </c>
      <c r="WT43" s="11">
        <f t="shared" si="611"/>
        <v>1828</v>
      </c>
      <c r="WU43" s="40">
        <v>986</v>
      </c>
      <c r="WV43" s="40">
        <v>842</v>
      </c>
      <c r="WW43" s="9">
        <f t="shared" si="612"/>
        <v>9300</v>
      </c>
      <c r="WX43" s="235">
        <f t="shared" si="613"/>
        <v>3264</v>
      </c>
      <c r="WY43" s="235">
        <f t="shared" si="614"/>
        <v>2457</v>
      </c>
      <c r="WZ43" s="236">
        <f t="shared" si="615"/>
        <v>9</v>
      </c>
      <c r="XA43" s="236">
        <f t="shared" si="616"/>
        <v>9</v>
      </c>
      <c r="XB43" s="236">
        <f t="shared" si="617"/>
        <v>0</v>
      </c>
      <c r="XC43" s="589">
        <f t="shared" si="618"/>
        <v>5712</v>
      </c>
      <c r="XD43" s="589">
        <f t="shared" si="619"/>
        <v>3255</v>
      </c>
      <c r="XE43" s="589">
        <f t="shared" si="620"/>
        <v>2457</v>
      </c>
      <c r="XF43" s="40">
        <v>177</v>
      </c>
      <c r="XG43" s="40">
        <v>189</v>
      </c>
      <c r="XH43" s="40">
        <v>3078</v>
      </c>
      <c r="XI43" s="40">
        <v>2268</v>
      </c>
      <c r="XJ43" s="590">
        <v>402090</v>
      </c>
      <c r="XK43" s="40">
        <v>200944</v>
      </c>
      <c r="XL43" s="40">
        <v>201146</v>
      </c>
      <c r="XM43" s="5">
        <f t="shared" si="621"/>
        <v>384943</v>
      </c>
      <c r="XN43" s="5">
        <v>191661</v>
      </c>
      <c r="XO43" s="5">
        <v>193282</v>
      </c>
      <c r="XP43" s="84">
        <f t="shared" si="622"/>
        <v>382565</v>
      </c>
      <c r="XQ43" s="40">
        <v>190441</v>
      </c>
      <c r="XR43" s="40">
        <v>192124</v>
      </c>
      <c r="XS43" s="5">
        <f t="shared" si="623"/>
        <v>4559</v>
      </c>
      <c r="XT43" s="40">
        <v>2406</v>
      </c>
      <c r="XU43" s="40">
        <v>2153</v>
      </c>
      <c r="XV43" s="5">
        <f t="shared" si="624"/>
        <v>4092</v>
      </c>
      <c r="XW43" s="40">
        <v>2121</v>
      </c>
      <c r="XX43" s="40">
        <v>1971</v>
      </c>
      <c r="XY43" s="84">
        <f t="shared" si="625"/>
        <v>12588</v>
      </c>
      <c r="XZ43" s="84">
        <f t="shared" si="626"/>
        <v>6877</v>
      </c>
      <c r="YA43" s="84">
        <f t="shared" si="627"/>
        <v>5711</v>
      </c>
      <c r="YB43" s="587">
        <v>468955</v>
      </c>
      <c r="YC43" s="40">
        <v>439342</v>
      </c>
      <c r="YD43" s="40">
        <v>6359</v>
      </c>
      <c r="YE43" s="40">
        <v>5866</v>
      </c>
      <c r="YF43" s="5">
        <v>19755</v>
      </c>
      <c r="YG43" s="10">
        <v>476217</v>
      </c>
      <c r="YH43" s="3">
        <v>449986</v>
      </c>
      <c r="YI43" s="3">
        <v>6274</v>
      </c>
      <c r="YJ43" s="3">
        <v>19957</v>
      </c>
      <c r="YK43" s="3">
        <v>6372</v>
      </c>
      <c r="YL43" s="10">
        <v>482132</v>
      </c>
      <c r="YM43" s="3">
        <v>456097</v>
      </c>
      <c r="YN43" s="3">
        <v>6696</v>
      </c>
      <c r="YO43" s="3">
        <v>19339</v>
      </c>
      <c r="YP43" s="3">
        <v>7100</v>
      </c>
      <c r="YQ43" s="10">
        <v>495409</v>
      </c>
      <c r="YR43" s="3">
        <v>468084</v>
      </c>
      <c r="YS43" s="3">
        <v>7103</v>
      </c>
      <c r="YT43" s="3">
        <v>20222</v>
      </c>
      <c r="YU43" s="3">
        <v>7191</v>
      </c>
      <c r="YV43" s="10">
        <v>509510.88099999994</v>
      </c>
      <c r="YW43" s="3">
        <v>480049.84000000008</v>
      </c>
      <c r="YX43" s="3">
        <v>7567.2759999999998</v>
      </c>
      <c r="YY43" s="3">
        <v>7160.7240000000011</v>
      </c>
      <c r="YZ43" s="3">
        <v>21893.764999999854</v>
      </c>
      <c r="ZA43" s="3">
        <v>522254</v>
      </c>
      <c r="ZB43" s="3">
        <v>486506</v>
      </c>
      <c r="ZC43" s="3">
        <v>8523</v>
      </c>
      <c r="ZD43" s="3">
        <v>7378</v>
      </c>
      <c r="ZE43" s="1">
        <v>21094</v>
      </c>
      <c r="ZF43" s="1">
        <v>532182</v>
      </c>
      <c r="ZG43" s="1">
        <v>494418</v>
      </c>
      <c r="ZH43" s="1">
        <v>8200</v>
      </c>
      <c r="ZI43" s="1">
        <v>8282</v>
      </c>
      <c r="ZJ43" s="1">
        <v>22757</v>
      </c>
      <c r="ZK43" s="1">
        <v>570426</v>
      </c>
      <c r="ZL43" s="1">
        <v>523477</v>
      </c>
      <c r="ZM43" s="1">
        <v>10138</v>
      </c>
      <c r="ZN43" s="1">
        <v>10272</v>
      </c>
      <c r="ZO43" s="1">
        <v>28883</v>
      </c>
      <c r="ZP43" s="1">
        <v>556591</v>
      </c>
      <c r="ZQ43" s="1">
        <v>516845</v>
      </c>
      <c r="ZR43" s="1">
        <v>8061</v>
      </c>
      <c r="ZS43" s="1">
        <v>8721</v>
      </c>
      <c r="ZT43" s="1">
        <v>24657</v>
      </c>
      <c r="ZU43" s="1">
        <v>593162</v>
      </c>
      <c r="ZV43" s="1">
        <v>539626</v>
      </c>
      <c r="ZW43" s="1">
        <v>11831</v>
      </c>
      <c r="ZX43" s="1">
        <v>10638</v>
      </c>
      <c r="ZY43" s="1">
        <v>33707</v>
      </c>
      <c r="ZZ43" s="394">
        <v>23457</v>
      </c>
      <c r="AAA43" s="1">
        <v>0</v>
      </c>
      <c r="AAB43" s="1">
        <v>1679</v>
      </c>
      <c r="AAC43" s="1">
        <v>5941</v>
      </c>
      <c r="AAD43" s="1">
        <v>2630</v>
      </c>
      <c r="AAE43" s="50">
        <v>605820</v>
      </c>
      <c r="AAF43" s="1">
        <v>556008</v>
      </c>
      <c r="AAG43" s="1">
        <v>11258</v>
      </c>
      <c r="AAH43" s="1">
        <v>11647</v>
      </c>
      <c r="AAI43" s="1">
        <v>29058</v>
      </c>
      <c r="AAJ43" s="50">
        <v>610540</v>
      </c>
      <c r="AAK43" s="1"/>
      <c r="AAL43" s="1"/>
      <c r="AAM43" s="1"/>
      <c r="AAN43" s="1"/>
      <c r="AAO43" s="68">
        <v>622253</v>
      </c>
      <c r="AAP43" s="37">
        <v>566289</v>
      </c>
      <c r="AAQ43" s="37">
        <v>10764</v>
      </c>
      <c r="AAR43" s="37">
        <v>13097</v>
      </c>
      <c r="AAS43" s="37">
        <v>35176</v>
      </c>
      <c r="AAT43" s="68">
        <v>652742</v>
      </c>
      <c r="AAU43" s="37">
        <v>582132</v>
      </c>
      <c r="AAV43" s="37">
        <v>13540</v>
      </c>
      <c r="AAW43" s="37">
        <v>16772</v>
      </c>
      <c r="AAX43" s="37">
        <v>51643</v>
      </c>
      <c r="AAY43" s="1">
        <v>19716</v>
      </c>
      <c r="AAZ43" s="1">
        <v>0</v>
      </c>
      <c r="ABA43" s="1">
        <v>1473</v>
      </c>
      <c r="ABB43" s="1">
        <v>23921</v>
      </c>
      <c r="ABC43" s="1">
        <v>6533</v>
      </c>
      <c r="ABD43" s="10">
        <v>123740</v>
      </c>
      <c r="ABE43" s="3">
        <v>115871</v>
      </c>
      <c r="ABF43" s="3">
        <v>1570</v>
      </c>
      <c r="ABG43" s="3">
        <v>1527</v>
      </c>
      <c r="ABH43" s="3">
        <v>6299</v>
      </c>
      <c r="ABI43" s="10">
        <v>145986</v>
      </c>
      <c r="ABJ43" s="3">
        <v>132554</v>
      </c>
      <c r="ABK43" s="3">
        <v>2115</v>
      </c>
      <c r="ABL43" s="3">
        <v>2312</v>
      </c>
      <c r="ABM43" s="3">
        <v>9974</v>
      </c>
      <c r="ABN43" s="10">
        <v>151103</v>
      </c>
      <c r="ABO43" s="3">
        <v>139094</v>
      </c>
      <c r="ABP43" s="3">
        <v>2232</v>
      </c>
      <c r="ABQ43" s="3">
        <v>2687</v>
      </c>
      <c r="ABR43" s="3">
        <v>9777</v>
      </c>
      <c r="ABS43" s="10">
        <v>157082.40599999999</v>
      </c>
      <c r="ABT43" s="3">
        <v>143636.96</v>
      </c>
      <c r="ABU43" s="3">
        <v>2461.6440000000002</v>
      </c>
      <c r="ABV43" s="3">
        <v>2499.4980000000005</v>
      </c>
      <c r="ABW43" s="8">
        <v>10983.801999999996</v>
      </c>
      <c r="ABX43" s="1">
        <v>163704</v>
      </c>
      <c r="ABY43" s="1">
        <v>147197</v>
      </c>
      <c r="ABZ43" s="1">
        <v>3140</v>
      </c>
      <c r="ACA43" s="1">
        <v>2587</v>
      </c>
      <c r="ACB43" s="49">
        <v>11138</v>
      </c>
      <c r="ACC43" s="1">
        <v>166902</v>
      </c>
      <c r="ACD43" s="1">
        <v>149831</v>
      </c>
      <c r="ACE43" s="1">
        <v>3154</v>
      </c>
      <c r="ACF43" s="1">
        <v>2755</v>
      </c>
      <c r="ACG43" s="1">
        <v>11691</v>
      </c>
      <c r="ACH43" s="1">
        <v>186483</v>
      </c>
      <c r="ACI43" s="1">
        <v>166950</v>
      </c>
      <c r="ACJ43" s="1">
        <v>3739</v>
      </c>
      <c r="ACK43" s="1">
        <v>3402</v>
      </c>
      <c r="ACL43" s="1">
        <v>13371</v>
      </c>
      <c r="ACM43" s="1">
        <v>179556</v>
      </c>
      <c r="ACN43" s="1">
        <v>161527</v>
      </c>
      <c r="ACO43" s="1">
        <v>2275</v>
      </c>
      <c r="ACP43" s="1">
        <v>2900</v>
      </c>
      <c r="ACQ43" s="1">
        <v>13112</v>
      </c>
      <c r="ACR43" s="1">
        <v>194920</v>
      </c>
      <c r="ACS43" s="1">
        <v>171745</v>
      </c>
      <c r="ACT43" s="1">
        <v>3939</v>
      </c>
      <c r="ACU43" s="1">
        <v>3213</v>
      </c>
      <c r="ACV43" s="1">
        <v>16710</v>
      </c>
      <c r="ADB43" s="50">
        <v>199190</v>
      </c>
      <c r="ADC43" s="1">
        <v>176541</v>
      </c>
      <c r="ADD43" s="1">
        <v>4416</v>
      </c>
      <c r="ADE43" s="1">
        <v>3972</v>
      </c>
      <c r="ADF43" s="1">
        <v>14818</v>
      </c>
      <c r="ADG43" s="50">
        <v>197098</v>
      </c>
      <c r="ADL43" s="50">
        <v>202054</v>
      </c>
      <c r="ADM43" s="1">
        <v>177955</v>
      </c>
      <c r="ADN43" s="1">
        <v>2807</v>
      </c>
      <c r="ADO43" s="1">
        <v>4738</v>
      </c>
      <c r="ADP43" s="1">
        <v>17962</v>
      </c>
      <c r="ADQ43" s="50">
        <v>210864</v>
      </c>
      <c r="ADR43" s="1">
        <v>184656</v>
      </c>
      <c r="ADS43" s="1">
        <v>4714</v>
      </c>
      <c r="ADT43" s="1">
        <v>3937</v>
      </c>
      <c r="ADU43" s="1">
        <v>19995</v>
      </c>
      <c r="ADV43" s="1">
        <v>10979</v>
      </c>
      <c r="ADW43" s="1">
        <v>0</v>
      </c>
      <c r="ADX43" s="1">
        <v>616</v>
      </c>
      <c r="ADY43" s="1">
        <v>6693</v>
      </c>
      <c r="ADZ43" s="1">
        <v>1707</v>
      </c>
    </row>
    <row r="44" spans="1:806" ht="14.1">
      <c r="A44" s="138" t="s">
        <v>42</v>
      </c>
      <c r="B44" s="174" t="s">
        <v>221</v>
      </c>
      <c r="C44" s="175" t="s">
        <v>221</v>
      </c>
      <c r="D44" s="175" t="s">
        <v>221</v>
      </c>
      <c r="E44" s="175" t="s">
        <v>221</v>
      </c>
      <c r="F44" s="176" t="s">
        <v>221</v>
      </c>
      <c r="G44" s="3">
        <v>120951</v>
      </c>
      <c r="H44" s="3">
        <v>104943</v>
      </c>
      <c r="I44" s="3">
        <v>6534</v>
      </c>
      <c r="J44" s="3">
        <v>9912</v>
      </c>
      <c r="K44" s="8">
        <v>9474</v>
      </c>
      <c r="L44" s="3">
        <v>88124</v>
      </c>
      <c r="M44" s="3">
        <v>64508</v>
      </c>
      <c r="N44" s="3"/>
      <c r="O44" s="3"/>
      <c r="P44" s="8"/>
      <c r="Q44" s="3">
        <v>75166</v>
      </c>
      <c r="R44" s="3">
        <v>38331</v>
      </c>
      <c r="S44" s="3">
        <v>2584</v>
      </c>
      <c r="T44" s="3">
        <v>29985</v>
      </c>
      <c r="U44" s="8">
        <v>17855</v>
      </c>
      <c r="V44" s="5">
        <v>77505</v>
      </c>
      <c r="W44" s="5">
        <v>58108</v>
      </c>
      <c r="X44" s="5">
        <v>3539</v>
      </c>
      <c r="Y44" s="5">
        <v>33678</v>
      </c>
      <c r="Z44" s="408">
        <v>15858</v>
      </c>
      <c r="AA44" s="5">
        <v>75738</v>
      </c>
      <c r="AB44" s="5">
        <v>32599</v>
      </c>
      <c r="AC44" s="5">
        <v>3201</v>
      </c>
      <c r="AD44" s="5">
        <v>34964</v>
      </c>
      <c r="AE44" s="5">
        <v>15963</v>
      </c>
      <c r="AF44" s="399">
        <v>72957</v>
      </c>
      <c r="AG44" s="5">
        <v>30072</v>
      </c>
      <c r="AH44" s="5">
        <v>3088</v>
      </c>
      <c r="AI44" s="5">
        <v>35124</v>
      </c>
      <c r="AJ44" s="490">
        <v>14633</v>
      </c>
      <c r="AK44" s="490">
        <v>73593</v>
      </c>
      <c r="AL44" s="490">
        <v>30112</v>
      </c>
      <c r="AM44" s="685">
        <v>3236</v>
      </c>
      <c r="AN44" s="685">
        <v>34728</v>
      </c>
      <c r="AO44" s="490">
        <v>15551</v>
      </c>
      <c r="AP44" s="394">
        <v>71948</v>
      </c>
      <c r="AQ44" s="394">
        <v>27546</v>
      </c>
      <c r="AR44" s="394">
        <v>3846</v>
      </c>
      <c r="AS44" s="394">
        <v>34543</v>
      </c>
      <c r="AT44" s="394">
        <v>16199</v>
      </c>
      <c r="AU44" s="393">
        <v>68491</v>
      </c>
      <c r="AV44" s="394">
        <v>26856</v>
      </c>
      <c r="AW44" s="394">
        <v>2487</v>
      </c>
      <c r="AX44" s="394">
        <v>33248</v>
      </c>
      <c r="AY44" s="394">
        <v>15315</v>
      </c>
      <c r="AZ44" s="1">
        <v>4128</v>
      </c>
      <c r="BA44" s="1">
        <v>0</v>
      </c>
      <c r="BB44" s="1">
        <v>462</v>
      </c>
      <c r="BC44" s="1">
        <v>1495</v>
      </c>
      <c r="BD44" s="1">
        <v>9230</v>
      </c>
      <c r="BE44" s="393">
        <v>66505</v>
      </c>
      <c r="BF44" s="394">
        <v>24063</v>
      </c>
      <c r="BG44" s="394">
        <v>3199</v>
      </c>
      <c r="BH44" s="394">
        <v>33854</v>
      </c>
      <c r="BI44" s="394">
        <v>16567</v>
      </c>
      <c r="BJ44" s="393">
        <v>70905</v>
      </c>
      <c r="BK44" s="394"/>
      <c r="BL44" s="394"/>
      <c r="BM44" s="394"/>
      <c r="BN44" s="394"/>
      <c r="BO44" s="393">
        <v>63799</v>
      </c>
      <c r="BP44" s="394">
        <v>22413</v>
      </c>
      <c r="BQ44" s="394">
        <v>3635</v>
      </c>
      <c r="BR44" s="394">
        <v>30653</v>
      </c>
      <c r="BS44" s="394">
        <v>18306</v>
      </c>
      <c r="BT44" s="393">
        <v>67255</v>
      </c>
      <c r="BU44" s="394">
        <v>23291</v>
      </c>
      <c r="BV44" s="394">
        <v>4626</v>
      </c>
      <c r="BW44" s="394">
        <v>32689</v>
      </c>
      <c r="BX44" s="394">
        <v>4946</v>
      </c>
      <c r="BY44" s="1">
        <v>0</v>
      </c>
      <c r="BZ44" s="1">
        <v>1518</v>
      </c>
      <c r="CA44" s="1">
        <v>12897</v>
      </c>
      <c r="CB44" s="1">
        <v>15029</v>
      </c>
      <c r="CC44" s="10">
        <v>172321</v>
      </c>
      <c r="CD44" s="3">
        <v>148375</v>
      </c>
      <c r="CE44" s="3">
        <v>15556</v>
      </c>
      <c r="CF44" s="3">
        <v>32689</v>
      </c>
      <c r="CG44" s="8">
        <v>8390</v>
      </c>
      <c r="CH44" s="3">
        <v>149675</v>
      </c>
      <c r="CI44" s="3">
        <v>118768</v>
      </c>
      <c r="CJ44" s="3"/>
      <c r="CK44" s="3"/>
      <c r="CL44" s="8"/>
      <c r="CM44" s="1">
        <v>128500</v>
      </c>
      <c r="CN44" s="3">
        <v>90355</v>
      </c>
      <c r="CO44" s="3">
        <v>11101</v>
      </c>
      <c r="CP44" s="3">
        <v>20419</v>
      </c>
      <c r="CQ44" s="8">
        <v>16548</v>
      </c>
      <c r="CR44" s="3">
        <v>114811</v>
      </c>
      <c r="CS44" s="3">
        <v>92886</v>
      </c>
      <c r="CT44" s="3">
        <v>9419</v>
      </c>
      <c r="CU44" s="3">
        <v>22354</v>
      </c>
      <c r="CV44" s="8">
        <v>12506</v>
      </c>
      <c r="CW44" s="3">
        <v>113515</v>
      </c>
      <c r="CX44" s="3">
        <v>73828</v>
      </c>
      <c r="CY44" s="3">
        <v>9635</v>
      </c>
      <c r="CZ44" s="3">
        <v>23559</v>
      </c>
      <c r="DA44" s="3">
        <v>13265</v>
      </c>
      <c r="DB44" s="3">
        <v>111857</v>
      </c>
      <c r="DC44" s="3">
        <v>71014</v>
      </c>
      <c r="DD44" s="3">
        <v>9440</v>
      </c>
      <c r="DE44" s="3">
        <v>24519</v>
      </c>
      <c r="DF44" s="39">
        <v>13887</v>
      </c>
      <c r="DG44" s="39">
        <v>109291</v>
      </c>
      <c r="DH44" s="39">
        <v>67169</v>
      </c>
      <c r="DI44" s="39">
        <v>10805</v>
      </c>
      <c r="DJ44" s="39">
        <v>26083</v>
      </c>
      <c r="DK44" s="39">
        <v>12729</v>
      </c>
      <c r="DL44" s="39">
        <v>111806</v>
      </c>
      <c r="DM44" s="39">
        <v>68291</v>
      </c>
      <c r="DN44" s="39">
        <v>10119</v>
      </c>
      <c r="DO44" s="39">
        <v>26490</v>
      </c>
      <c r="DP44" s="39">
        <v>15892</v>
      </c>
      <c r="DQ44" s="39">
        <v>110352</v>
      </c>
      <c r="DR44" s="39">
        <v>67519</v>
      </c>
      <c r="DS44" s="39">
        <v>9655</v>
      </c>
      <c r="DT44" s="39">
        <v>26293</v>
      </c>
      <c r="DU44" s="39">
        <v>14283</v>
      </c>
      <c r="DV44" s="118">
        <v>104758</v>
      </c>
      <c r="DW44" s="39">
        <v>64131</v>
      </c>
      <c r="DX44" s="39">
        <v>10394</v>
      </c>
      <c r="DY44" s="39">
        <v>23320</v>
      </c>
      <c r="DZ44" s="39">
        <v>13489</v>
      </c>
      <c r="EA44" s="118">
        <v>101128</v>
      </c>
      <c r="EB44" s="39"/>
      <c r="EC44" s="39"/>
      <c r="ED44" s="39"/>
      <c r="EE44" s="39"/>
      <c r="EF44" s="118">
        <v>93958</v>
      </c>
      <c r="EG44" s="39">
        <v>53243</v>
      </c>
      <c r="EH44" s="39">
        <v>9209</v>
      </c>
      <c r="EI44" s="39">
        <v>25513</v>
      </c>
      <c r="EJ44" s="39">
        <v>14153</v>
      </c>
      <c r="EK44" s="118">
        <v>93958</v>
      </c>
      <c r="EL44" s="39">
        <v>53243</v>
      </c>
      <c r="EM44" s="39">
        <v>9209</v>
      </c>
      <c r="EN44" s="39">
        <v>25513</v>
      </c>
      <c r="EO44" s="39">
        <v>14153</v>
      </c>
      <c r="EP44" s="118">
        <v>90167</v>
      </c>
      <c r="EQ44" s="39">
        <v>51510</v>
      </c>
      <c r="ER44" s="39">
        <v>8794</v>
      </c>
      <c r="ES44" s="39">
        <v>23857</v>
      </c>
      <c r="ET44" s="1">
        <v>2317</v>
      </c>
      <c r="EU44" s="1">
        <v>0</v>
      </c>
      <c r="EV44" s="1">
        <v>843</v>
      </c>
      <c r="EW44" s="1">
        <v>11913</v>
      </c>
      <c r="EX44" s="1">
        <v>11292</v>
      </c>
      <c r="EY44" s="10">
        <v>191550</v>
      </c>
      <c r="EZ44" s="3">
        <v>148943</v>
      </c>
      <c r="FA44" s="3">
        <v>13553</v>
      </c>
      <c r="FB44" s="3">
        <v>57285</v>
      </c>
      <c r="FC44" s="201">
        <f t="shared" si="574"/>
        <v>29054</v>
      </c>
      <c r="FD44" s="174" t="s">
        <v>221</v>
      </c>
      <c r="FE44" s="175" t="s">
        <v>221</v>
      </c>
      <c r="FF44" s="175" t="s">
        <v>221</v>
      </c>
      <c r="FG44" s="175" t="s">
        <v>221</v>
      </c>
      <c r="FH44" s="174" t="s">
        <v>221</v>
      </c>
      <c r="FI44" s="175" t="s">
        <v>221</v>
      </c>
      <c r="FJ44" s="175" t="s">
        <v>221</v>
      </c>
      <c r="FK44" s="175" t="s">
        <v>221</v>
      </c>
      <c r="FL44" s="176" t="s">
        <v>221</v>
      </c>
      <c r="FM44" s="3">
        <v>1272664</v>
      </c>
      <c r="FN44" s="3">
        <v>1186280</v>
      </c>
      <c r="FO44" s="3">
        <v>54033</v>
      </c>
      <c r="FP44" s="3">
        <v>24277</v>
      </c>
      <c r="FQ44" s="8">
        <v>32351</v>
      </c>
      <c r="FR44" s="3">
        <v>1463408</v>
      </c>
      <c r="FS44" s="3">
        <v>1324632</v>
      </c>
      <c r="FT44" s="3">
        <v>0</v>
      </c>
      <c r="FU44" s="3"/>
      <c r="FV44" s="3"/>
      <c r="FW44" s="127">
        <v>1570242</v>
      </c>
      <c r="FX44" s="3">
        <v>1364911</v>
      </c>
      <c r="FY44" s="3">
        <v>80996</v>
      </c>
      <c r="FZ44" s="3">
        <v>89178</v>
      </c>
      <c r="GA44" s="3">
        <v>68759</v>
      </c>
      <c r="GB44" s="10">
        <v>1594455</v>
      </c>
      <c r="GC44" s="3">
        <v>1423988</v>
      </c>
      <c r="GD44" s="3">
        <v>76557</v>
      </c>
      <c r="GE44" s="3">
        <v>93910</v>
      </c>
      <c r="GF44" s="3">
        <v>71810</v>
      </c>
      <c r="GG44" s="42">
        <v>1605700</v>
      </c>
      <c r="GH44" s="40">
        <v>1435302</v>
      </c>
      <c r="GI44" s="40">
        <v>77974</v>
      </c>
      <c r="GJ44" s="40">
        <v>92424</v>
      </c>
      <c r="GK44" s="40">
        <v>72246</v>
      </c>
      <c r="GL44" s="10">
        <v>1631713</v>
      </c>
      <c r="GM44" s="3">
        <v>1453770</v>
      </c>
      <c r="GN44" s="3">
        <v>81473</v>
      </c>
      <c r="GO44" s="3">
        <v>79831</v>
      </c>
      <c r="GP44" s="3">
        <v>68860</v>
      </c>
      <c r="GQ44" s="10">
        <v>1648431.5850000002</v>
      </c>
      <c r="GR44" s="3">
        <v>1470000.2439999999</v>
      </c>
      <c r="GS44" s="3">
        <v>82565.362000000023</v>
      </c>
      <c r="GT44" s="3">
        <v>84301.22</v>
      </c>
      <c r="GU44" s="373">
        <f t="shared" si="575"/>
        <v>95865.979000000225</v>
      </c>
      <c r="GV44" s="3">
        <v>1664897</v>
      </c>
      <c r="GW44" s="3">
        <v>1420531</v>
      </c>
      <c r="GX44" s="3">
        <v>84372</v>
      </c>
      <c r="GY44" s="3">
        <v>87388</v>
      </c>
      <c r="GZ44" s="3">
        <v>97503</v>
      </c>
      <c r="HA44" s="3">
        <v>1676212</v>
      </c>
      <c r="HB44" s="3">
        <v>1426394</v>
      </c>
      <c r="HC44" s="3">
        <v>85741</v>
      </c>
      <c r="HD44" s="3">
        <v>90229</v>
      </c>
      <c r="HE44" s="3">
        <v>97883</v>
      </c>
      <c r="HF44" s="3">
        <v>1698637</v>
      </c>
      <c r="HG44" s="3">
        <v>1432016</v>
      </c>
      <c r="HH44" s="3">
        <v>87934</v>
      </c>
      <c r="HI44" s="3">
        <v>96127</v>
      </c>
      <c r="HJ44" s="3">
        <v>108252</v>
      </c>
      <c r="HK44" s="3">
        <v>1704725</v>
      </c>
      <c r="HL44" s="3">
        <v>1436236</v>
      </c>
      <c r="HM44" s="3">
        <v>88915</v>
      </c>
      <c r="HN44" s="3">
        <v>102172</v>
      </c>
      <c r="HO44" s="3">
        <v>76729</v>
      </c>
      <c r="HP44" s="10">
        <v>1713093</v>
      </c>
      <c r="HQ44" s="3">
        <v>1438021</v>
      </c>
      <c r="HR44" s="3">
        <v>89977</v>
      </c>
      <c r="HS44" s="3">
        <v>103820</v>
      </c>
      <c r="HT44" s="3">
        <v>79033</v>
      </c>
      <c r="HU44" s="394">
        <v>43077</v>
      </c>
      <c r="HV44" s="1">
        <v>0</v>
      </c>
      <c r="HW44" s="1">
        <v>11734</v>
      </c>
      <c r="HX44" s="1">
        <v>0</v>
      </c>
      <c r="HY44" s="1">
        <v>24222</v>
      </c>
      <c r="HZ44" s="10">
        <v>1733265</v>
      </c>
      <c r="IA44" s="3">
        <v>1444238</v>
      </c>
      <c r="IB44" s="3">
        <v>87418</v>
      </c>
      <c r="IC44" s="3">
        <v>112203</v>
      </c>
      <c r="ID44" s="3">
        <v>118532</v>
      </c>
      <c r="IE44" s="399">
        <v>1739393</v>
      </c>
      <c r="IF44" s="5"/>
      <c r="IG44" s="5"/>
      <c r="IH44" s="5"/>
      <c r="II44" s="5"/>
      <c r="IJ44" s="399">
        <v>1760324</v>
      </c>
      <c r="IK44" s="5">
        <v>1455133</v>
      </c>
      <c r="IL44" s="5">
        <v>88925</v>
      </c>
      <c r="IM44" s="5">
        <v>121553</v>
      </c>
      <c r="IN44" s="5">
        <v>129217</v>
      </c>
      <c r="IO44" s="399">
        <v>1784711</v>
      </c>
      <c r="IP44" s="5">
        <v>1435724</v>
      </c>
      <c r="IQ44" s="5">
        <v>87615</v>
      </c>
      <c r="IR44" s="5">
        <v>132546</v>
      </c>
      <c r="IS44" s="5">
        <v>230647</v>
      </c>
      <c r="IT44" s="1">
        <v>50629</v>
      </c>
      <c r="IU44" s="1">
        <v>0</v>
      </c>
      <c r="IV44" s="1">
        <v>10412</v>
      </c>
      <c r="IW44" s="1">
        <v>124206</v>
      </c>
      <c r="IX44" s="1">
        <v>45400</v>
      </c>
      <c r="IY44" s="380" t="s">
        <v>221</v>
      </c>
      <c r="IZ44" s="188" t="s">
        <v>221</v>
      </c>
      <c r="JA44" s="188" t="s">
        <v>221</v>
      </c>
      <c r="JB44" s="188" t="s">
        <v>221</v>
      </c>
      <c r="JC44" s="635" t="s">
        <v>221</v>
      </c>
      <c r="JD44" s="5">
        <v>428110</v>
      </c>
      <c r="JE44" s="5">
        <v>395610</v>
      </c>
      <c r="JF44" s="5">
        <v>21798</v>
      </c>
      <c r="JG44" s="5">
        <v>8791</v>
      </c>
      <c r="JH44" s="408">
        <v>10702</v>
      </c>
      <c r="JI44" s="5">
        <v>516818</v>
      </c>
      <c r="JJ44" s="5">
        <v>463789</v>
      </c>
      <c r="JK44" s="5">
        <v>0</v>
      </c>
      <c r="JL44" s="5"/>
      <c r="JM44" s="408"/>
      <c r="JN44" s="5">
        <v>530381</v>
      </c>
      <c r="JO44" s="5">
        <v>460461</v>
      </c>
      <c r="JP44" s="5">
        <v>29722</v>
      </c>
      <c r="JQ44" s="5">
        <v>21793</v>
      </c>
      <c r="JR44" s="5">
        <v>28964</v>
      </c>
      <c r="JS44" s="5">
        <v>578801</v>
      </c>
      <c r="JT44" s="5">
        <v>512381</v>
      </c>
      <c r="JU44" s="5">
        <v>35525</v>
      </c>
      <c r="JV44" s="5">
        <v>27748</v>
      </c>
      <c r="JW44" s="408">
        <v>30895</v>
      </c>
      <c r="JX44" s="5">
        <v>585699.71400000004</v>
      </c>
      <c r="JY44" s="5">
        <v>518061.76</v>
      </c>
      <c r="JZ44" s="5">
        <v>35755.896000000008</v>
      </c>
      <c r="KA44" s="5">
        <v>29986.34</v>
      </c>
      <c r="KB44" s="408">
        <v>31882.058000000019</v>
      </c>
      <c r="KC44" s="5">
        <v>594835</v>
      </c>
      <c r="KD44" s="5">
        <v>501521</v>
      </c>
      <c r="KE44" s="5">
        <v>38199</v>
      </c>
      <c r="KF44" s="5">
        <v>30868</v>
      </c>
      <c r="KG44" s="439">
        <v>33299</v>
      </c>
      <c r="KH44" s="439">
        <v>600189</v>
      </c>
      <c r="KI44" s="439">
        <v>503707</v>
      </c>
      <c r="KJ44" s="439">
        <v>39420</v>
      </c>
      <c r="KK44" s="439">
        <v>32770</v>
      </c>
      <c r="KL44" s="439">
        <v>33458</v>
      </c>
      <c r="KM44" s="439">
        <v>606803</v>
      </c>
      <c r="KN44" s="439">
        <v>504508</v>
      </c>
      <c r="KO44" s="439">
        <v>37577</v>
      </c>
      <c r="KP44" s="439">
        <v>35608</v>
      </c>
      <c r="KQ44" s="439">
        <v>39373</v>
      </c>
      <c r="KR44" s="439">
        <v>604384</v>
      </c>
      <c r="KS44" s="439">
        <v>504049</v>
      </c>
      <c r="KT44" s="439">
        <v>37277</v>
      </c>
      <c r="KU44" s="439">
        <v>38970</v>
      </c>
      <c r="KV44" s="439">
        <v>35369</v>
      </c>
      <c r="KW44" s="630">
        <v>595373</v>
      </c>
      <c r="KX44" s="439">
        <v>498978</v>
      </c>
      <c r="KY44" s="439">
        <v>38961</v>
      </c>
      <c r="KZ44" s="439">
        <v>33015</v>
      </c>
      <c r="LA44" s="439">
        <v>31505</v>
      </c>
      <c r="LB44" s="652">
        <v>599754</v>
      </c>
      <c r="LC44" s="653">
        <v>493305</v>
      </c>
      <c r="LD44" s="653">
        <v>36852</v>
      </c>
      <c r="LE44" s="653">
        <v>42294</v>
      </c>
      <c r="LF44" s="653">
        <v>37858</v>
      </c>
      <c r="LG44" s="652">
        <v>607497</v>
      </c>
      <c r="LH44" s="653"/>
      <c r="LI44" s="439"/>
      <c r="LJ44" s="439"/>
      <c r="LK44" s="439"/>
      <c r="LL44" s="652">
        <v>603800</v>
      </c>
      <c r="LM44" s="653">
        <v>492647</v>
      </c>
      <c r="LN44" s="653">
        <v>36299</v>
      </c>
      <c r="LO44" s="653">
        <v>45017</v>
      </c>
      <c r="LP44" s="653">
        <v>42339</v>
      </c>
      <c r="LQ44" s="652">
        <v>603614</v>
      </c>
      <c r="LR44" s="653">
        <v>479010</v>
      </c>
      <c r="LS44" s="653">
        <v>36003</v>
      </c>
      <c r="LT44" s="653">
        <v>47675</v>
      </c>
      <c r="LU44" s="653">
        <v>75059</v>
      </c>
      <c r="LV44" s="1">
        <v>10391</v>
      </c>
      <c r="LW44" s="1">
        <v>0</v>
      </c>
      <c r="LX44" s="1">
        <v>3784</v>
      </c>
      <c r="LY44" s="1">
        <v>47120</v>
      </c>
      <c r="LZ44" s="1">
        <v>13764</v>
      </c>
      <c r="MA44" s="10">
        <v>85146</v>
      </c>
      <c r="MB44" s="3">
        <v>78373</v>
      </c>
      <c r="MC44" s="3">
        <v>4333</v>
      </c>
      <c r="MD44" s="3">
        <v>1898</v>
      </c>
      <c r="ME44" s="8">
        <v>2440</v>
      </c>
      <c r="MF44" s="3">
        <v>99096</v>
      </c>
      <c r="MG44" s="3">
        <v>88636</v>
      </c>
      <c r="MH44" s="3"/>
      <c r="MI44" s="3"/>
      <c r="MJ44" s="8"/>
      <c r="MK44" s="3">
        <v>125972</v>
      </c>
      <c r="ML44" s="3">
        <v>108114</v>
      </c>
      <c r="MM44" s="3">
        <v>8306</v>
      </c>
      <c r="MN44" s="3">
        <v>4938</v>
      </c>
      <c r="MO44" s="3">
        <v>7124</v>
      </c>
      <c r="MP44" s="10">
        <v>134058</v>
      </c>
      <c r="MQ44" s="3">
        <v>119495</v>
      </c>
      <c r="MR44" s="3">
        <v>7862</v>
      </c>
      <c r="MS44" s="3">
        <v>5887</v>
      </c>
      <c r="MT44" s="3">
        <v>6701</v>
      </c>
      <c r="MU44" s="10"/>
      <c r="MV44" s="3"/>
      <c r="MW44" s="3"/>
      <c r="MX44" s="3"/>
      <c r="MY44" s="8"/>
      <c r="MZ44" s="3">
        <v>142705</v>
      </c>
      <c r="NA44" s="3">
        <v>120485</v>
      </c>
      <c r="NB44" s="3">
        <v>8929</v>
      </c>
      <c r="NC44" s="3">
        <v>6851</v>
      </c>
      <c r="ND44" s="3">
        <v>8425</v>
      </c>
      <c r="NE44" s="3">
        <v>144606</v>
      </c>
      <c r="NF44" s="3">
        <v>122226</v>
      </c>
      <c r="NG44" s="3">
        <v>8706</v>
      </c>
      <c r="NH44" s="3">
        <v>7165</v>
      </c>
      <c r="NI44" s="3">
        <v>8874</v>
      </c>
      <c r="NJ44" s="3">
        <v>153284</v>
      </c>
      <c r="NK44" s="3">
        <v>127382</v>
      </c>
      <c r="NL44" s="3">
        <v>8552</v>
      </c>
      <c r="NM44" s="3">
        <v>10596</v>
      </c>
      <c r="NN44" s="3">
        <v>49658</v>
      </c>
      <c r="NO44" s="3">
        <v>158308</v>
      </c>
      <c r="NP44" s="3">
        <v>133338</v>
      </c>
      <c r="NQ44" s="3">
        <v>8252</v>
      </c>
      <c r="NR44" s="3">
        <v>10721</v>
      </c>
      <c r="NS44" s="3">
        <v>8902</v>
      </c>
      <c r="NT44" s="3">
        <v>157030</v>
      </c>
      <c r="NU44" s="3">
        <v>133944</v>
      </c>
      <c r="NV44" s="3">
        <v>8541</v>
      </c>
      <c r="NW44" s="3">
        <v>8296</v>
      </c>
      <c r="NX44" s="3">
        <v>8184</v>
      </c>
      <c r="NY44" s="10">
        <v>167548</v>
      </c>
      <c r="NZ44" s="3">
        <v>135887</v>
      </c>
      <c r="OA44" s="3">
        <v>10062</v>
      </c>
      <c r="OB44" s="3">
        <v>11139</v>
      </c>
      <c r="OC44" s="3">
        <v>13016</v>
      </c>
      <c r="OD44" s="10">
        <v>170965</v>
      </c>
      <c r="OE44" s="3"/>
      <c r="OF44" s="3"/>
      <c r="OG44" s="3"/>
      <c r="OH44" s="3"/>
      <c r="OI44" s="10">
        <v>173251</v>
      </c>
      <c r="OJ44" s="3">
        <v>143340</v>
      </c>
      <c r="OK44" s="3">
        <v>9151</v>
      </c>
      <c r="OL44" s="3">
        <v>11379</v>
      </c>
      <c r="OM44" s="3">
        <v>12405</v>
      </c>
      <c r="ON44" s="10">
        <v>167575</v>
      </c>
      <c r="OO44" s="3">
        <v>135874</v>
      </c>
      <c r="OP44" s="3">
        <v>7256</v>
      </c>
      <c r="OQ44" s="3">
        <v>11427</v>
      </c>
      <c r="OR44" s="3">
        <v>3789</v>
      </c>
      <c r="OS44" s="1">
        <v>4102</v>
      </c>
      <c r="OT44" s="1">
        <v>0</v>
      </c>
      <c r="OU44" s="1">
        <v>649</v>
      </c>
      <c r="OV44" s="1">
        <v>12555</v>
      </c>
      <c r="OW44" s="1">
        <v>3789</v>
      </c>
      <c r="OX44" s="402">
        <f t="shared" si="576"/>
        <v>336873</v>
      </c>
      <c r="OY44" s="382">
        <f t="shared" si="577"/>
        <v>288783</v>
      </c>
      <c r="OZ44" s="382">
        <f t="shared" si="578"/>
        <v>12239</v>
      </c>
      <c r="PA44" s="382">
        <f t="shared" si="579"/>
        <v>41722</v>
      </c>
      <c r="PB44" s="382">
        <f t="shared" si="580"/>
        <v>16592</v>
      </c>
      <c r="PC44" s="402">
        <f t="shared" si="581"/>
        <v>538074</v>
      </c>
      <c r="PD44" s="382">
        <f t="shared" si="582"/>
        <v>494150</v>
      </c>
      <c r="PE44" s="382">
        <f t="shared" si="583"/>
        <v>0</v>
      </c>
      <c r="PF44" s="382">
        <f t="shared" si="584"/>
        <v>0</v>
      </c>
      <c r="PG44" s="382">
        <f t="shared" si="585"/>
        <v>0</v>
      </c>
      <c r="PH44" s="10">
        <v>581959</v>
      </c>
      <c r="PI44" s="3">
        <v>525031</v>
      </c>
      <c r="PJ44" s="3">
        <v>21779</v>
      </c>
      <c r="PK44" s="3">
        <v>19131</v>
      </c>
      <c r="PL44" s="3">
        <v>35149</v>
      </c>
      <c r="PM44" s="3">
        <v>628039</v>
      </c>
      <c r="PN44" s="3">
        <v>558237</v>
      </c>
      <c r="PO44" s="3">
        <v>24103</v>
      </c>
      <c r="PP44" s="3">
        <v>17040</v>
      </c>
      <c r="PQ44" s="3">
        <v>35950</v>
      </c>
      <c r="PR44" s="399"/>
      <c r="PS44" s="5"/>
      <c r="PT44" s="5"/>
      <c r="PU44" s="5"/>
      <c r="PV44" s="5"/>
      <c r="PW44" s="5">
        <v>701062</v>
      </c>
      <c r="PX44" s="5">
        <v>613891</v>
      </c>
      <c r="PY44" s="5">
        <v>27004</v>
      </c>
      <c r="PZ44" s="5">
        <v>24117</v>
      </c>
      <c r="QA44" s="408">
        <v>42179</v>
      </c>
      <c r="QB44" s="5">
        <v>712155</v>
      </c>
      <c r="QC44" s="5">
        <v>623538</v>
      </c>
      <c r="QD44" s="5">
        <v>26423</v>
      </c>
      <c r="QE44" s="5">
        <v>24519</v>
      </c>
      <c r="QF44" s="5">
        <v>43449</v>
      </c>
      <c r="QG44" s="5">
        <v>746368</v>
      </c>
      <c r="QH44" s="5">
        <v>645651</v>
      </c>
      <c r="QI44" s="5">
        <v>28496</v>
      </c>
      <c r="QJ44" s="5">
        <v>30107</v>
      </c>
      <c r="QK44" s="5">
        <v>49658</v>
      </c>
      <c r="QL44" s="399">
        <v>757371</v>
      </c>
      <c r="QM44" s="5">
        <v>658523</v>
      </c>
      <c r="QN44" s="5">
        <v>28083</v>
      </c>
      <c r="QO44" s="5">
        <v>31521</v>
      </c>
      <c r="QP44" s="5">
        <v>35200</v>
      </c>
      <c r="QQ44" s="399">
        <v>778456</v>
      </c>
      <c r="QR44" s="5">
        <v>673466</v>
      </c>
      <c r="QS44" s="5">
        <v>29394</v>
      </c>
      <c r="QT44" s="5">
        <v>31050</v>
      </c>
      <c r="QU44" s="5">
        <v>37910</v>
      </c>
      <c r="QV44" s="399">
        <v>810290</v>
      </c>
      <c r="QW44" s="5">
        <v>695321</v>
      </c>
      <c r="QX44" s="5">
        <v>30307</v>
      </c>
      <c r="QY44" s="5">
        <v>33939</v>
      </c>
      <c r="QZ44" s="5">
        <v>58531</v>
      </c>
      <c r="RA44" s="399">
        <v>817108</v>
      </c>
      <c r="RB44" s="5"/>
      <c r="RC44" s="5"/>
      <c r="RD44" s="5"/>
      <c r="RE44" s="5"/>
      <c r="RF44" s="5">
        <v>825740</v>
      </c>
      <c r="RG44" s="5">
        <v>708602</v>
      </c>
      <c r="RH44" s="5">
        <v>30413</v>
      </c>
      <c r="RI44" s="5">
        <v>36465</v>
      </c>
      <c r="RJ44" s="5">
        <v>59315</v>
      </c>
      <c r="RK44" s="5">
        <v>855027</v>
      </c>
      <c r="RL44" s="5">
        <v>711867</v>
      </c>
      <c r="RM44" s="5">
        <v>31618</v>
      </c>
      <c r="RN44" s="5">
        <v>43889</v>
      </c>
      <c r="RO44" s="5">
        <v>100341</v>
      </c>
      <c r="RP44" s="1">
        <v>34813</v>
      </c>
      <c r="RQ44" s="1">
        <v>0</v>
      </c>
      <c r="RR44" s="1">
        <v>2912</v>
      </c>
      <c r="RS44" s="1">
        <v>49638</v>
      </c>
      <c r="RT44" s="1">
        <v>12978</v>
      </c>
      <c r="RU44" s="10">
        <v>221016</v>
      </c>
      <c r="RV44" s="3">
        <v>210410</v>
      </c>
      <c r="RW44" s="3">
        <v>5643</v>
      </c>
      <c r="RX44" s="3">
        <v>2741</v>
      </c>
      <c r="RY44" s="3">
        <v>4963</v>
      </c>
      <c r="RZ44" s="10">
        <v>290271</v>
      </c>
      <c r="SA44" s="3">
        <v>270206</v>
      </c>
      <c r="SB44" s="3"/>
      <c r="SC44" s="3"/>
      <c r="SD44" s="3"/>
      <c r="SE44" s="10">
        <v>330097</v>
      </c>
      <c r="SF44" s="3">
        <v>298384</v>
      </c>
      <c r="SG44" s="3">
        <v>10085</v>
      </c>
      <c r="SH44" s="3">
        <v>8432</v>
      </c>
      <c r="SI44" s="3">
        <v>16846</v>
      </c>
      <c r="SJ44" s="10">
        <v>353400</v>
      </c>
      <c r="SK44" s="3">
        <v>321909</v>
      </c>
      <c r="SL44" s="3">
        <v>11411</v>
      </c>
      <c r="SM44" s="3">
        <v>11085</v>
      </c>
      <c r="SN44" s="3">
        <v>20080</v>
      </c>
      <c r="SO44" s="10">
        <v>359155.48499999999</v>
      </c>
      <c r="SP44" s="3">
        <v>328645.429</v>
      </c>
      <c r="SQ44" s="3">
        <v>11630.278</v>
      </c>
      <c r="SR44" s="3">
        <v>11174.155000000001</v>
      </c>
      <c r="SS44" s="3">
        <v>18879.777999999984</v>
      </c>
      <c r="ST44" s="10">
        <v>362275</v>
      </c>
      <c r="SU44" s="3">
        <v>323288</v>
      </c>
      <c r="SV44" s="3">
        <v>11337</v>
      </c>
      <c r="SW44" s="3">
        <v>12408</v>
      </c>
      <c r="SX44" s="3">
        <v>18293</v>
      </c>
      <c r="SY44" s="3">
        <v>367417</v>
      </c>
      <c r="SZ44" s="3">
        <v>327994</v>
      </c>
      <c r="TA44" s="3">
        <v>11245</v>
      </c>
      <c r="TB44" s="3">
        <v>12318</v>
      </c>
      <c r="TC44" s="3">
        <v>18251</v>
      </c>
      <c r="TD44" s="3">
        <v>381292</v>
      </c>
      <c r="TE44" s="3">
        <v>338611</v>
      </c>
      <c r="TF44" s="3">
        <v>11568</v>
      </c>
      <c r="TG44" s="3">
        <v>12917</v>
      </c>
      <c r="TH44" s="3">
        <v>21615</v>
      </c>
      <c r="TI44" s="3">
        <v>384495</v>
      </c>
      <c r="TJ44" s="3">
        <v>340900</v>
      </c>
      <c r="TK44" s="3">
        <v>11587</v>
      </c>
      <c r="TL44" s="3">
        <v>13746</v>
      </c>
      <c r="TM44" s="3">
        <v>21382</v>
      </c>
      <c r="TN44" s="3">
        <v>390861</v>
      </c>
      <c r="TO44" s="3">
        <v>341752</v>
      </c>
      <c r="TP44" s="3">
        <v>13568</v>
      </c>
      <c r="TQ44" s="3">
        <v>14980</v>
      </c>
      <c r="TR44" s="3">
        <v>23314</v>
      </c>
      <c r="TS44" s="10">
        <v>403542</v>
      </c>
      <c r="TT44" s="3">
        <v>357231</v>
      </c>
      <c r="TU44" s="3">
        <v>12514</v>
      </c>
      <c r="TV44" s="3">
        <v>13916</v>
      </c>
      <c r="TW44" s="3">
        <v>22952</v>
      </c>
      <c r="TX44" s="10">
        <v>402368</v>
      </c>
      <c r="TY44" s="3"/>
      <c r="TZ44" s="3"/>
      <c r="UA44" s="3"/>
      <c r="UB44" s="3"/>
      <c r="UC44" s="10">
        <v>414851</v>
      </c>
      <c r="UD44" s="3">
        <v>361655</v>
      </c>
      <c r="UE44" s="3">
        <v>13102</v>
      </c>
      <c r="UF44" s="3">
        <v>17201</v>
      </c>
      <c r="UG44" s="3">
        <v>27443</v>
      </c>
      <c r="UH44" s="10">
        <v>427464</v>
      </c>
      <c r="UI44" s="3">
        <v>361116</v>
      </c>
      <c r="UJ44" s="3">
        <v>16333</v>
      </c>
      <c r="UK44" s="3">
        <v>20584</v>
      </c>
      <c r="UL44" s="3">
        <v>44426</v>
      </c>
      <c r="UM44" s="1">
        <v>13931</v>
      </c>
      <c r="UN44" s="1">
        <v>0</v>
      </c>
      <c r="UO44" s="1">
        <v>1411</v>
      </c>
      <c r="UP44" s="1">
        <v>23011</v>
      </c>
      <c r="UQ44" s="1">
        <v>9189</v>
      </c>
      <c r="UR44" s="588">
        <f t="shared" si="586"/>
        <v>97076</v>
      </c>
      <c r="US44" s="40">
        <v>57614</v>
      </c>
      <c r="UT44" s="40">
        <v>39462</v>
      </c>
      <c r="UU44" s="588">
        <f t="shared" si="587"/>
        <v>2061</v>
      </c>
      <c r="UV44" s="40">
        <v>1064</v>
      </c>
      <c r="UW44" s="40">
        <v>997</v>
      </c>
      <c r="UX44" s="42">
        <v>140066</v>
      </c>
      <c r="UY44" s="588">
        <f t="shared" si="588"/>
        <v>81441</v>
      </c>
      <c r="UZ44" s="588">
        <f t="shared" si="589"/>
        <v>58625</v>
      </c>
      <c r="VA44" s="588">
        <f t="shared" si="590"/>
        <v>136272</v>
      </c>
      <c r="VB44" s="40">
        <v>79469</v>
      </c>
      <c r="VC44" s="40">
        <v>56803</v>
      </c>
      <c r="VD44" s="588">
        <f t="shared" si="591"/>
        <v>2239</v>
      </c>
      <c r="VE44" s="40">
        <v>954</v>
      </c>
      <c r="VF44" s="40">
        <v>1285</v>
      </c>
      <c r="VG44" s="588">
        <f t="shared" si="592"/>
        <v>1555</v>
      </c>
      <c r="VH44" s="40">
        <v>1018</v>
      </c>
      <c r="VI44" s="40">
        <v>537</v>
      </c>
      <c r="VJ44" s="42">
        <v>236427</v>
      </c>
      <c r="VK44" s="588">
        <f t="shared" si="593"/>
        <v>136110</v>
      </c>
      <c r="VL44" s="588">
        <f t="shared" si="594"/>
        <v>100317</v>
      </c>
      <c r="VM44" s="240">
        <f t="shared" si="595"/>
        <v>224961</v>
      </c>
      <c r="VN44" s="40">
        <v>129477</v>
      </c>
      <c r="VO44" s="40">
        <v>95484</v>
      </c>
      <c r="VP44" s="40">
        <v>6633</v>
      </c>
      <c r="VQ44" s="40">
        <v>4833</v>
      </c>
      <c r="VR44" s="240">
        <f t="shared" si="596"/>
        <v>5409</v>
      </c>
      <c r="VS44" s="40">
        <v>2912</v>
      </c>
      <c r="VT44" s="40">
        <v>2497</v>
      </c>
      <c r="VU44" s="240">
        <f t="shared" si="597"/>
        <v>2253</v>
      </c>
      <c r="VV44" s="40">
        <v>1418</v>
      </c>
      <c r="VW44" s="40">
        <v>835</v>
      </c>
      <c r="VX44" s="233">
        <f t="shared" si="598"/>
        <v>3804</v>
      </c>
      <c r="VY44" s="233">
        <f t="shared" si="599"/>
        <v>2303</v>
      </c>
      <c r="VZ44" s="233">
        <f t="shared" si="600"/>
        <v>1501</v>
      </c>
      <c r="WA44" s="234">
        <f t="shared" si="601"/>
        <v>144</v>
      </c>
      <c r="WB44" s="234">
        <f t="shared" si="602"/>
        <v>100</v>
      </c>
      <c r="WC44" s="234">
        <f t="shared" si="603"/>
        <v>44</v>
      </c>
      <c r="WD44" s="40">
        <v>3660</v>
      </c>
      <c r="WE44" s="40">
        <v>2203</v>
      </c>
      <c r="WF44" s="40">
        <v>1457</v>
      </c>
      <c r="WG44" s="12">
        <f t="shared" si="604"/>
        <v>251727</v>
      </c>
      <c r="WH44" s="588">
        <f t="shared" si="605"/>
        <v>179392</v>
      </c>
      <c r="WI44" s="588">
        <f t="shared" si="606"/>
        <v>150985</v>
      </c>
      <c r="WJ44" s="11">
        <f t="shared" si="607"/>
        <v>210410</v>
      </c>
      <c r="WK44" s="90">
        <f t="shared" si="608"/>
        <v>309860</v>
      </c>
      <c r="WL44" s="40">
        <v>168461</v>
      </c>
      <c r="WM44" s="40">
        <v>141399</v>
      </c>
      <c r="WN44" s="40">
        <v>10931</v>
      </c>
      <c r="WO44" s="40">
        <v>9586</v>
      </c>
      <c r="WP44" s="11">
        <f t="shared" si="609"/>
        <v>7906</v>
      </c>
      <c r="WQ44" s="90">
        <f t="shared" si="610"/>
        <v>8786</v>
      </c>
      <c r="WR44" s="40">
        <v>4168</v>
      </c>
      <c r="WS44" s="40">
        <v>4618</v>
      </c>
      <c r="WT44" s="11">
        <f t="shared" si="611"/>
        <v>4213</v>
      </c>
      <c r="WU44" s="40">
        <v>2415</v>
      </c>
      <c r="WV44" s="40">
        <v>1798</v>
      </c>
      <c r="WW44" s="9">
        <f t="shared" si="612"/>
        <v>14152</v>
      </c>
      <c r="WX44" s="235">
        <f t="shared" si="613"/>
        <v>4348</v>
      </c>
      <c r="WY44" s="235">
        <f t="shared" si="614"/>
        <v>3170</v>
      </c>
      <c r="WZ44" s="236">
        <f t="shared" si="615"/>
        <v>54</v>
      </c>
      <c r="XA44" s="236">
        <f t="shared" si="616"/>
        <v>22</v>
      </c>
      <c r="XB44" s="236">
        <f t="shared" si="617"/>
        <v>32</v>
      </c>
      <c r="XC44" s="589">
        <f t="shared" si="618"/>
        <v>7464</v>
      </c>
      <c r="XD44" s="589">
        <f t="shared" si="619"/>
        <v>4326</v>
      </c>
      <c r="XE44" s="589">
        <f t="shared" si="620"/>
        <v>3138</v>
      </c>
      <c r="XF44" s="40">
        <v>731</v>
      </c>
      <c r="XG44" s="40">
        <v>624</v>
      </c>
      <c r="XH44" s="40">
        <v>3595</v>
      </c>
      <c r="XI44" s="40">
        <v>2514</v>
      </c>
      <c r="XJ44" s="590">
        <v>438978</v>
      </c>
      <c r="XK44" s="40">
        <v>223619</v>
      </c>
      <c r="XL44" s="40">
        <v>215359</v>
      </c>
      <c r="XM44" s="5">
        <f t="shared" si="621"/>
        <v>405514</v>
      </c>
      <c r="XN44" s="5">
        <v>206756</v>
      </c>
      <c r="XO44" s="5">
        <v>198758</v>
      </c>
      <c r="XP44" s="84">
        <f t="shared" si="622"/>
        <v>400323</v>
      </c>
      <c r="XQ44" s="40">
        <v>204096</v>
      </c>
      <c r="XR44" s="40">
        <v>196227</v>
      </c>
      <c r="XS44" s="5">
        <f t="shared" si="623"/>
        <v>12405</v>
      </c>
      <c r="XT44" s="40">
        <v>6010</v>
      </c>
      <c r="XU44" s="40">
        <v>6395</v>
      </c>
      <c r="XV44" s="5">
        <f t="shared" si="624"/>
        <v>8357</v>
      </c>
      <c r="XW44" s="40">
        <v>4225</v>
      </c>
      <c r="XX44" s="40">
        <v>4132</v>
      </c>
      <c r="XY44" s="84">
        <f t="shared" si="625"/>
        <v>21059</v>
      </c>
      <c r="XZ44" s="84">
        <f t="shared" si="626"/>
        <v>10853</v>
      </c>
      <c r="YA44" s="84">
        <f t="shared" si="627"/>
        <v>10206</v>
      </c>
      <c r="YB44" s="587">
        <v>502067</v>
      </c>
      <c r="YC44" s="40">
        <v>450123</v>
      </c>
      <c r="YD44" s="40">
        <v>15797</v>
      </c>
      <c r="YE44" s="40">
        <v>12102</v>
      </c>
      <c r="YF44" s="5">
        <v>28826</v>
      </c>
      <c r="YG44" s="10">
        <v>520029</v>
      </c>
      <c r="YH44" s="3">
        <v>472259</v>
      </c>
      <c r="YI44" s="3">
        <v>16413</v>
      </c>
      <c r="YJ44" s="3">
        <v>31357</v>
      </c>
      <c r="YK44" s="3">
        <v>14226</v>
      </c>
      <c r="YL44" s="10">
        <v>526416</v>
      </c>
      <c r="YM44" s="3">
        <v>478100</v>
      </c>
      <c r="YN44" s="3">
        <v>16617</v>
      </c>
      <c r="YO44" s="3">
        <v>31699</v>
      </c>
      <c r="YP44" s="3">
        <v>13657</v>
      </c>
      <c r="YQ44" s="10">
        <v>540498</v>
      </c>
      <c r="YR44" s="3">
        <v>488165</v>
      </c>
      <c r="YS44" s="3">
        <v>17227</v>
      </c>
      <c r="YT44" s="3">
        <v>35106</v>
      </c>
      <c r="YU44" s="3">
        <v>15501</v>
      </c>
      <c r="YV44" s="10">
        <v>548863.25399999996</v>
      </c>
      <c r="YW44" s="3">
        <v>497015.50100000005</v>
      </c>
      <c r="YX44" s="3">
        <v>18262.420000000002</v>
      </c>
      <c r="YY44" s="3">
        <v>15841.84</v>
      </c>
      <c r="YZ44" s="3">
        <v>33585.332999999911</v>
      </c>
      <c r="ZA44" s="3">
        <v>558357</v>
      </c>
      <c r="ZB44" s="3">
        <v>493406</v>
      </c>
      <c r="ZC44" s="3">
        <v>18075</v>
      </c>
      <c r="ZD44" s="3">
        <v>17266</v>
      </c>
      <c r="ZE44" s="1">
        <v>33754</v>
      </c>
      <c r="ZF44" s="1">
        <v>567549</v>
      </c>
      <c r="ZG44" s="1">
        <v>501312</v>
      </c>
      <c r="ZH44" s="1">
        <v>17717</v>
      </c>
      <c r="ZI44" s="1">
        <v>17354</v>
      </c>
      <c r="ZJ44" s="1">
        <v>34575</v>
      </c>
      <c r="ZK44" s="1">
        <v>593084</v>
      </c>
      <c r="ZL44" s="1">
        <v>518269</v>
      </c>
      <c r="ZM44" s="1">
        <v>19944</v>
      </c>
      <c r="ZN44" s="1">
        <v>19511</v>
      </c>
      <c r="ZO44" s="1">
        <v>39519</v>
      </c>
      <c r="ZP44" s="1">
        <v>599063</v>
      </c>
      <c r="ZQ44" s="1">
        <v>525185</v>
      </c>
      <c r="ZR44" s="1">
        <v>19831</v>
      </c>
      <c r="ZS44" s="1">
        <v>20800</v>
      </c>
      <c r="ZT44" s="1">
        <v>29621</v>
      </c>
      <c r="ZU44" s="1">
        <v>621426</v>
      </c>
      <c r="ZV44" s="1">
        <v>539522</v>
      </c>
      <c r="ZW44" s="1">
        <v>20853</v>
      </c>
      <c r="ZX44" s="1">
        <v>22754</v>
      </c>
      <c r="ZY44" s="1">
        <v>32848</v>
      </c>
      <c r="ZZ44" s="394">
        <v>25901</v>
      </c>
      <c r="AAA44" s="1">
        <v>0</v>
      </c>
      <c r="AAB44" s="1">
        <v>2508</v>
      </c>
      <c r="AAC44" s="1">
        <v>0</v>
      </c>
      <c r="AAD44" s="1">
        <v>4439</v>
      </c>
      <c r="AAE44" s="50">
        <v>642742</v>
      </c>
      <c r="AAF44" s="1">
        <v>559434</v>
      </c>
      <c r="AAG44" s="1">
        <v>20245</v>
      </c>
      <c r="AAH44" s="1">
        <v>22800</v>
      </c>
      <c r="AAI44" s="1">
        <v>45515</v>
      </c>
      <c r="AAJ44" s="50">
        <v>646143</v>
      </c>
      <c r="AAK44" s="1"/>
      <c r="AAL44" s="1"/>
      <c r="AAM44" s="1"/>
      <c r="AAN44" s="1"/>
      <c r="AAO44" s="68">
        <v>652489</v>
      </c>
      <c r="AAP44" s="37">
        <v>565262</v>
      </c>
      <c r="AAQ44" s="37">
        <v>21262</v>
      </c>
      <c r="AAR44" s="37">
        <v>25086</v>
      </c>
      <c r="AAS44" s="37">
        <v>46910</v>
      </c>
      <c r="AAT44" s="68">
        <v>687452</v>
      </c>
      <c r="AAU44" s="37">
        <v>575993</v>
      </c>
      <c r="AAV44" s="37">
        <v>24362</v>
      </c>
      <c r="AAW44" s="37">
        <v>32462</v>
      </c>
      <c r="AAX44" s="37">
        <v>79246</v>
      </c>
      <c r="AAY44" s="1">
        <v>30711</v>
      </c>
      <c r="AAZ44" s="1">
        <v>0</v>
      </c>
      <c r="ABA44" s="1">
        <v>2263</v>
      </c>
      <c r="ABB44" s="1">
        <v>37083</v>
      </c>
      <c r="ABC44" s="1">
        <v>9189</v>
      </c>
      <c r="ABD44" s="10">
        <v>148707</v>
      </c>
      <c r="ABE44" s="3">
        <v>135308</v>
      </c>
      <c r="ABF44" s="3"/>
      <c r="ABG44" s="3"/>
      <c r="ABH44" s="3"/>
      <c r="ABI44" s="10">
        <v>171970</v>
      </c>
      <c r="ABJ44" s="3">
        <v>151739</v>
      </c>
      <c r="ABK44" s="3">
        <v>5712</v>
      </c>
      <c r="ABL44" s="3">
        <v>3670</v>
      </c>
      <c r="ABM44" s="3">
        <v>11980</v>
      </c>
      <c r="ABN44" s="10">
        <v>187098</v>
      </c>
      <c r="ABO44" s="3">
        <v>166256</v>
      </c>
      <c r="ABP44" s="3">
        <v>5816</v>
      </c>
      <c r="ABQ44" s="3">
        <v>4416</v>
      </c>
      <c r="ABR44" s="3">
        <v>15026</v>
      </c>
      <c r="ABS44" s="10">
        <v>189707.76900000003</v>
      </c>
      <c r="ABT44" s="3">
        <v>168370.07200000001</v>
      </c>
      <c r="ABU44" s="3">
        <v>6632.1420000000007</v>
      </c>
      <c r="ABV44" s="3">
        <v>4667.6850000000004</v>
      </c>
      <c r="ABW44" s="8">
        <v>14705.555000000015</v>
      </c>
      <c r="ABX44" s="1">
        <v>196082</v>
      </c>
      <c r="ABY44" s="1">
        <v>170118</v>
      </c>
      <c r="ABZ44" s="1">
        <v>6738</v>
      </c>
      <c r="ACA44" s="1">
        <v>4858</v>
      </c>
      <c r="ACB44" s="49">
        <v>15461</v>
      </c>
      <c r="ACC44" s="1">
        <v>200132</v>
      </c>
      <c r="ACD44" s="1">
        <v>173318</v>
      </c>
      <c r="ACE44" s="1">
        <v>6472</v>
      </c>
      <c r="ACF44" s="1">
        <v>5036</v>
      </c>
      <c r="ACG44" s="1">
        <v>16324</v>
      </c>
      <c r="ACH44" s="1">
        <v>211792</v>
      </c>
      <c r="ACI44" s="1">
        <v>179658</v>
      </c>
      <c r="ACJ44" s="1">
        <v>8376</v>
      </c>
      <c r="ACK44" s="1">
        <v>6594</v>
      </c>
      <c r="ACL44" s="1">
        <v>17904</v>
      </c>
      <c r="ACM44" s="1">
        <v>214568</v>
      </c>
      <c r="ACN44" s="1">
        <v>184285</v>
      </c>
      <c r="ACO44" s="1">
        <v>8244</v>
      </c>
      <c r="ACP44" s="1">
        <v>7054</v>
      </c>
      <c r="ACQ44" s="1">
        <v>16546</v>
      </c>
      <c r="ACR44" s="1">
        <v>230565</v>
      </c>
      <c r="ACS44" s="1">
        <v>197770</v>
      </c>
      <c r="ACT44" s="1">
        <v>7285</v>
      </c>
      <c r="ACU44" s="1">
        <v>7774</v>
      </c>
      <c r="ACV44" s="1">
        <v>19368</v>
      </c>
      <c r="ADB44" s="50">
        <v>239200</v>
      </c>
      <c r="ADC44" s="1">
        <v>202203</v>
      </c>
      <c r="ADD44" s="1">
        <v>7731</v>
      </c>
      <c r="ADE44" s="1">
        <v>8884</v>
      </c>
      <c r="ADF44" s="1">
        <v>22563</v>
      </c>
      <c r="ADG44" s="50">
        <v>243775</v>
      </c>
      <c r="ADL44" s="50">
        <v>237638</v>
      </c>
      <c r="ADM44" s="1">
        <v>203607</v>
      </c>
      <c r="ADN44" s="1">
        <v>8160</v>
      </c>
      <c r="ADO44" s="1">
        <v>7885</v>
      </c>
      <c r="ADP44" s="1">
        <v>19467</v>
      </c>
      <c r="ADQ44" s="50">
        <v>259988</v>
      </c>
      <c r="ADR44" s="1">
        <v>214877</v>
      </c>
      <c r="ADS44" s="1">
        <v>8029</v>
      </c>
      <c r="ADT44" s="1">
        <v>11878</v>
      </c>
      <c r="ADU44" s="1">
        <v>34820</v>
      </c>
      <c r="ADV44" s="1">
        <v>16780</v>
      </c>
      <c r="ADW44" s="1">
        <v>0</v>
      </c>
      <c r="ADX44" s="1">
        <v>852</v>
      </c>
      <c r="ADY44" s="1">
        <v>14072</v>
      </c>
      <c r="ADZ44" s="1">
        <v>3116</v>
      </c>
    </row>
    <row r="45" spans="1:806" ht="14.1">
      <c r="A45" s="138" t="s">
        <v>43</v>
      </c>
      <c r="B45" s="174" t="s">
        <v>221</v>
      </c>
      <c r="C45" s="175" t="s">
        <v>221</v>
      </c>
      <c r="D45" s="175" t="s">
        <v>221</v>
      </c>
      <c r="E45" s="175" t="s">
        <v>221</v>
      </c>
      <c r="F45" s="176" t="s">
        <v>221</v>
      </c>
      <c r="G45" s="3">
        <v>452893</v>
      </c>
      <c r="H45" s="3">
        <v>360105</v>
      </c>
      <c r="I45" s="3">
        <v>74549</v>
      </c>
      <c r="J45" s="3">
        <v>17671</v>
      </c>
      <c r="K45" s="8">
        <v>18239</v>
      </c>
      <c r="L45" s="3">
        <v>299014</v>
      </c>
      <c r="M45" s="3">
        <v>219480</v>
      </c>
      <c r="N45" s="3">
        <v>46043</v>
      </c>
      <c r="O45" s="3">
        <v>29987</v>
      </c>
      <c r="P45" s="8">
        <v>33491</v>
      </c>
      <c r="Q45" s="3">
        <v>245586</v>
      </c>
      <c r="R45" s="3">
        <v>157501</v>
      </c>
      <c r="S45" s="3">
        <v>36745</v>
      </c>
      <c r="T45" s="3">
        <v>38968</v>
      </c>
      <c r="U45" s="8">
        <v>35125</v>
      </c>
      <c r="V45" s="5">
        <v>233547</v>
      </c>
      <c r="W45" s="5">
        <v>168804</v>
      </c>
      <c r="X45" s="5">
        <v>32750</v>
      </c>
      <c r="Y45" s="5">
        <v>37832</v>
      </c>
      <c r="Z45" s="408">
        <v>31993</v>
      </c>
      <c r="AA45" s="5">
        <v>222466</v>
      </c>
      <c r="AB45" s="5">
        <v>138471</v>
      </c>
      <c r="AC45" s="5">
        <v>31677</v>
      </c>
      <c r="AD45" s="5">
        <v>36865</v>
      </c>
      <c r="AE45" s="5">
        <v>29610</v>
      </c>
      <c r="AF45" s="399">
        <v>220106</v>
      </c>
      <c r="AG45" s="5">
        <v>137476</v>
      </c>
      <c r="AH45" s="5">
        <v>30581</v>
      </c>
      <c r="AI45" s="5">
        <v>36746</v>
      </c>
      <c r="AJ45" s="490">
        <v>29727</v>
      </c>
      <c r="AK45" s="490">
        <v>214925</v>
      </c>
      <c r="AL45" s="490">
        <v>131902</v>
      </c>
      <c r="AM45" s="685">
        <v>27550</v>
      </c>
      <c r="AN45" s="685">
        <v>39844</v>
      </c>
      <c r="AO45" s="490">
        <v>31255</v>
      </c>
      <c r="AP45" s="394">
        <v>201139</v>
      </c>
      <c r="AQ45" s="394">
        <v>121513</v>
      </c>
      <c r="AR45" s="394">
        <v>28811</v>
      </c>
      <c r="AS45" s="394">
        <v>36669</v>
      </c>
      <c r="AT45" s="394">
        <v>29016</v>
      </c>
      <c r="AU45" s="393">
        <v>203405</v>
      </c>
      <c r="AV45" s="394">
        <v>121613</v>
      </c>
      <c r="AW45" s="394">
        <v>25712</v>
      </c>
      <c r="AX45" s="394">
        <v>39108</v>
      </c>
      <c r="AY45" s="394">
        <v>33908</v>
      </c>
      <c r="AZ45" s="1">
        <v>11682</v>
      </c>
      <c r="BA45" s="1">
        <v>0</v>
      </c>
      <c r="BB45" s="1">
        <v>2490</v>
      </c>
      <c r="BC45" s="1">
        <v>4706</v>
      </c>
      <c r="BD45" s="1">
        <v>15030</v>
      </c>
      <c r="BE45" s="393">
        <v>192884</v>
      </c>
      <c r="BF45" s="394">
        <v>113129</v>
      </c>
      <c r="BG45" s="394">
        <v>26492</v>
      </c>
      <c r="BH45" s="394">
        <v>37056</v>
      </c>
      <c r="BI45" s="394">
        <v>29390</v>
      </c>
      <c r="BJ45" s="393">
        <v>189891</v>
      </c>
      <c r="BK45" s="394"/>
      <c r="BL45" s="394"/>
      <c r="BM45" s="394"/>
      <c r="BN45" s="394"/>
      <c r="BO45" s="393">
        <v>186035</v>
      </c>
      <c r="BP45" s="394">
        <v>110085</v>
      </c>
      <c r="BQ45" s="394">
        <v>23772</v>
      </c>
      <c r="BR45" s="394">
        <v>37814</v>
      </c>
      <c r="BS45" s="394">
        <v>28573</v>
      </c>
      <c r="BT45" s="393">
        <v>174829</v>
      </c>
      <c r="BU45" s="394">
        <v>98557</v>
      </c>
      <c r="BV45" s="394">
        <v>21605</v>
      </c>
      <c r="BW45" s="394">
        <v>32229</v>
      </c>
      <c r="BX45" s="394">
        <v>15456</v>
      </c>
      <c r="BY45" s="1">
        <v>0</v>
      </c>
      <c r="BZ45" s="1">
        <v>1728</v>
      </c>
      <c r="CA45" s="1">
        <v>19249</v>
      </c>
      <c r="CB45" s="1">
        <v>14650</v>
      </c>
      <c r="CC45" s="10">
        <v>903866</v>
      </c>
      <c r="CD45" s="3">
        <v>707807</v>
      </c>
      <c r="CE45" s="3">
        <v>176381</v>
      </c>
      <c r="CF45" s="3">
        <v>32229</v>
      </c>
      <c r="CG45" s="8">
        <v>19678</v>
      </c>
      <c r="CH45" s="3">
        <v>765119</v>
      </c>
      <c r="CI45" s="3">
        <v>561152</v>
      </c>
      <c r="CJ45" s="3">
        <v>163124</v>
      </c>
      <c r="CK45" s="3">
        <v>28887</v>
      </c>
      <c r="CL45" s="8">
        <v>40843</v>
      </c>
      <c r="CM45" s="1">
        <v>615229</v>
      </c>
      <c r="CN45" s="3">
        <v>431486</v>
      </c>
      <c r="CO45" s="3">
        <v>130574</v>
      </c>
      <c r="CP45" s="3">
        <v>32895</v>
      </c>
      <c r="CQ45" s="8">
        <v>37670</v>
      </c>
      <c r="CR45" s="3">
        <v>529078</v>
      </c>
      <c r="CS45" s="3">
        <v>381107</v>
      </c>
      <c r="CT45" s="3">
        <v>118002</v>
      </c>
      <c r="CU45" s="3">
        <v>30902</v>
      </c>
      <c r="CV45" s="8">
        <v>29969</v>
      </c>
      <c r="CW45" s="3">
        <v>506002</v>
      </c>
      <c r="CX45" s="3">
        <v>343312</v>
      </c>
      <c r="CY45" s="3">
        <v>111411</v>
      </c>
      <c r="CZ45" s="3">
        <v>32235</v>
      </c>
      <c r="DA45" s="3">
        <v>29925</v>
      </c>
      <c r="DB45" s="3">
        <v>497214</v>
      </c>
      <c r="DC45" s="3">
        <v>338567</v>
      </c>
      <c r="DD45" s="3">
        <v>108006</v>
      </c>
      <c r="DE45" s="3">
        <v>31807</v>
      </c>
      <c r="DF45" s="39">
        <v>29226</v>
      </c>
      <c r="DG45" s="39">
        <v>462665</v>
      </c>
      <c r="DH45" s="39">
        <v>306117</v>
      </c>
      <c r="DI45" s="39">
        <v>105393</v>
      </c>
      <c r="DJ45" s="39">
        <v>30747</v>
      </c>
      <c r="DK45" s="39">
        <v>31113</v>
      </c>
      <c r="DL45" s="39">
        <v>461761</v>
      </c>
      <c r="DM45" s="39">
        <v>307443</v>
      </c>
      <c r="DN45" s="39">
        <v>101174</v>
      </c>
      <c r="DO45" s="39">
        <v>33507</v>
      </c>
      <c r="DP45" s="39">
        <v>32629</v>
      </c>
      <c r="DQ45" s="39">
        <v>444504</v>
      </c>
      <c r="DR45" s="39">
        <v>291552</v>
      </c>
      <c r="DS45" s="39">
        <v>101478</v>
      </c>
      <c r="DT45" s="39">
        <v>30765</v>
      </c>
      <c r="DU45" s="39">
        <v>32755</v>
      </c>
      <c r="DV45" s="118">
        <v>427082</v>
      </c>
      <c r="DW45" s="39">
        <v>280034</v>
      </c>
      <c r="DX45" s="39">
        <v>94814</v>
      </c>
      <c r="DY45" s="39">
        <v>33581</v>
      </c>
      <c r="DZ45" s="39">
        <v>32828</v>
      </c>
      <c r="EA45" s="118">
        <v>422533</v>
      </c>
      <c r="EB45" s="39"/>
      <c r="EC45" s="39"/>
      <c r="ED45" s="39"/>
      <c r="EE45" s="39"/>
      <c r="EF45" s="118">
        <v>410252</v>
      </c>
      <c r="EG45" s="39">
        <v>277842</v>
      </c>
      <c r="EH45" s="39">
        <v>83525</v>
      </c>
      <c r="EI45" s="39">
        <v>29003</v>
      </c>
      <c r="EJ45" s="39">
        <v>30624</v>
      </c>
      <c r="EK45" s="118">
        <v>410252</v>
      </c>
      <c r="EL45" s="39">
        <v>277842</v>
      </c>
      <c r="EM45" s="39">
        <v>83525</v>
      </c>
      <c r="EN45" s="39">
        <v>29003</v>
      </c>
      <c r="EO45" s="39">
        <v>30624</v>
      </c>
      <c r="EP45" s="118">
        <v>385469</v>
      </c>
      <c r="EQ45" s="39">
        <v>242600</v>
      </c>
      <c r="ER45" s="39">
        <v>85251</v>
      </c>
      <c r="ES45" s="39">
        <v>34144</v>
      </c>
      <c r="ET45" s="1">
        <v>6044</v>
      </c>
      <c r="EU45" s="1">
        <v>0</v>
      </c>
      <c r="EV45" s="1">
        <v>3985</v>
      </c>
      <c r="EW45" s="1">
        <v>27233</v>
      </c>
      <c r="EX45" s="1">
        <v>16231</v>
      </c>
      <c r="EY45" s="10">
        <v>749085</v>
      </c>
      <c r="EZ45" s="3">
        <v>540035</v>
      </c>
      <c r="FA45" s="3">
        <v>148420</v>
      </c>
      <c r="FB45" s="3">
        <v>69493</v>
      </c>
      <c r="FC45" s="201">
        <f t="shared" si="574"/>
        <v>60630</v>
      </c>
      <c r="FD45" s="174" t="s">
        <v>221</v>
      </c>
      <c r="FE45" s="175" t="s">
        <v>221</v>
      </c>
      <c r="FF45" s="175" t="s">
        <v>221</v>
      </c>
      <c r="FG45" s="175" t="s">
        <v>221</v>
      </c>
      <c r="FH45" s="174" t="s">
        <v>221</v>
      </c>
      <c r="FI45" s="175" t="s">
        <v>221</v>
      </c>
      <c r="FJ45" s="175" t="s">
        <v>221</v>
      </c>
      <c r="FK45" s="175" t="s">
        <v>221</v>
      </c>
      <c r="FL45" s="176" t="s">
        <v>221</v>
      </c>
      <c r="FM45" s="3">
        <v>4485883</v>
      </c>
      <c r="FN45" s="3">
        <v>3931669</v>
      </c>
      <c r="FO45" s="3">
        <v>464789</v>
      </c>
      <c r="FP45" s="3">
        <v>54303</v>
      </c>
      <c r="FQ45" s="8">
        <v>89425</v>
      </c>
      <c r="FR45" s="3">
        <v>5351808</v>
      </c>
      <c r="FS45" s="3">
        <v>4528536</v>
      </c>
      <c r="FT45" s="3">
        <v>599216</v>
      </c>
      <c r="FU45" s="3">
        <v>97109</v>
      </c>
      <c r="FV45" s="3">
        <v>224056</v>
      </c>
      <c r="FW45" s="127">
        <v>5773332</v>
      </c>
      <c r="FX45" s="3">
        <v>4747568</v>
      </c>
      <c r="FY45" s="3">
        <v>744498</v>
      </c>
      <c r="FZ45" s="3">
        <v>166411</v>
      </c>
      <c r="GA45" s="3">
        <v>133516</v>
      </c>
      <c r="GB45" s="10">
        <v>5812881</v>
      </c>
      <c r="GC45" s="3">
        <v>4854992</v>
      </c>
      <c r="GD45" s="3">
        <v>681224</v>
      </c>
      <c r="GE45" s="3">
        <v>276665</v>
      </c>
      <c r="GF45" s="3">
        <v>137869</v>
      </c>
      <c r="GG45" s="42">
        <v>5807285</v>
      </c>
      <c r="GH45" s="40">
        <v>4859885</v>
      </c>
      <c r="GI45" s="40">
        <v>678730</v>
      </c>
      <c r="GJ45" s="40">
        <v>268670</v>
      </c>
      <c r="GK45" s="40">
        <v>132943</v>
      </c>
      <c r="GL45" s="10">
        <v>5797946</v>
      </c>
      <c r="GM45" s="3">
        <v>4843870</v>
      </c>
      <c r="GN45" s="3">
        <v>683865</v>
      </c>
      <c r="GO45" s="3">
        <v>139413</v>
      </c>
      <c r="GP45" s="3">
        <v>200166</v>
      </c>
      <c r="GQ45" s="10">
        <v>5828403.3789999997</v>
      </c>
      <c r="GR45" s="3">
        <v>4860312.3</v>
      </c>
      <c r="GS45" s="3">
        <v>690111.01299999992</v>
      </c>
      <c r="GT45" s="3">
        <v>144545.024</v>
      </c>
      <c r="GU45" s="373">
        <f t="shared" si="575"/>
        <v>277980.06599999999</v>
      </c>
      <c r="GV45" s="3">
        <v>5865021</v>
      </c>
      <c r="GW45" s="3">
        <v>4785099</v>
      </c>
      <c r="GX45" s="3">
        <v>698372</v>
      </c>
      <c r="GY45" s="3">
        <v>149518</v>
      </c>
      <c r="GZ45" s="3">
        <v>277901</v>
      </c>
      <c r="HA45" s="3">
        <v>5899558</v>
      </c>
      <c r="HB45" s="3">
        <v>4801533</v>
      </c>
      <c r="HC45" s="3">
        <v>702970</v>
      </c>
      <c r="HD45" s="3">
        <v>155168</v>
      </c>
      <c r="HE45" s="3">
        <v>284449</v>
      </c>
      <c r="HF45" s="3">
        <v>6002935</v>
      </c>
      <c r="HG45" s="3">
        <v>4862102</v>
      </c>
      <c r="HH45" s="3">
        <v>712891</v>
      </c>
      <c r="HI45" s="3">
        <v>165018</v>
      </c>
      <c r="HJ45" s="3">
        <v>310526</v>
      </c>
      <c r="HK45" s="3">
        <v>6065447</v>
      </c>
      <c r="HL45" s="3">
        <v>4888431</v>
      </c>
      <c r="HM45" s="3">
        <v>727733</v>
      </c>
      <c r="HN45" s="3">
        <v>172737</v>
      </c>
      <c r="HO45" s="3">
        <v>330116</v>
      </c>
      <c r="HP45" s="10">
        <v>6112493</v>
      </c>
      <c r="HQ45" s="3">
        <v>4915882</v>
      </c>
      <c r="HR45" s="3">
        <v>733954</v>
      </c>
      <c r="HS45" s="3">
        <v>177853</v>
      </c>
      <c r="HT45" s="3">
        <v>340967</v>
      </c>
      <c r="HU45" s="394">
        <v>167566</v>
      </c>
      <c r="HV45" s="1">
        <v>0</v>
      </c>
      <c r="HW45" s="1">
        <v>28623</v>
      </c>
      <c r="HX45" s="1">
        <v>102985</v>
      </c>
      <c r="HY45" s="1">
        <v>41793</v>
      </c>
      <c r="HZ45" s="10">
        <v>6199344</v>
      </c>
      <c r="IA45" s="3">
        <v>4955599</v>
      </c>
      <c r="IB45" s="3">
        <v>754126</v>
      </c>
      <c r="IC45" s="3">
        <v>188551</v>
      </c>
      <c r="ID45" s="3">
        <v>353903</v>
      </c>
      <c r="IE45" s="399">
        <v>6257422</v>
      </c>
      <c r="IF45" s="5"/>
      <c r="IG45" s="5"/>
      <c r="IH45" s="5"/>
      <c r="II45" s="5"/>
      <c r="IJ45" s="399">
        <v>6298340</v>
      </c>
      <c r="IK45" s="5">
        <v>4989640</v>
      </c>
      <c r="IL45" s="5">
        <v>781709</v>
      </c>
      <c r="IM45" s="5">
        <v>206632</v>
      </c>
      <c r="IN45" s="5">
        <v>380307</v>
      </c>
      <c r="IO45" s="399">
        <v>6411597</v>
      </c>
      <c r="IP45" s="5">
        <v>4976771</v>
      </c>
      <c r="IQ45" s="5">
        <v>769487</v>
      </c>
      <c r="IR45" s="5">
        <v>232091</v>
      </c>
      <c r="IS45" s="5">
        <v>614523</v>
      </c>
      <c r="IT45" s="1">
        <v>199423</v>
      </c>
      <c r="IU45" s="1">
        <v>0</v>
      </c>
      <c r="IV45" s="1">
        <v>28380</v>
      </c>
      <c r="IW45" s="1">
        <v>302369</v>
      </c>
      <c r="IX45" s="1">
        <v>84351</v>
      </c>
      <c r="IY45" s="380" t="s">
        <v>221</v>
      </c>
      <c r="IZ45" s="188" t="s">
        <v>221</v>
      </c>
      <c r="JA45" s="188" t="s">
        <v>221</v>
      </c>
      <c r="JB45" s="188" t="s">
        <v>221</v>
      </c>
      <c r="JC45" s="635" t="s">
        <v>221</v>
      </c>
      <c r="JD45" s="5">
        <v>1584387</v>
      </c>
      <c r="JE45" s="5">
        <v>1356336</v>
      </c>
      <c r="JF45" s="5">
        <v>201864</v>
      </c>
      <c r="JG45" s="5">
        <v>20561</v>
      </c>
      <c r="JH45" s="408">
        <v>26187</v>
      </c>
      <c r="JI45" s="5">
        <v>1944688</v>
      </c>
      <c r="JJ45" s="5">
        <v>1620235</v>
      </c>
      <c r="JK45" s="5">
        <v>256313</v>
      </c>
      <c r="JL45" s="5">
        <v>36170</v>
      </c>
      <c r="JM45" s="408">
        <v>68140</v>
      </c>
      <c r="JN45" s="5">
        <v>2011757</v>
      </c>
      <c r="JO45" s="5">
        <v>1647300</v>
      </c>
      <c r="JP45" s="5">
        <v>269072</v>
      </c>
      <c r="JQ45" s="5">
        <v>45069</v>
      </c>
      <c r="JR45" s="5">
        <v>71240</v>
      </c>
      <c r="JS45" s="5">
        <v>2125698</v>
      </c>
      <c r="JT45" s="5">
        <v>1748116</v>
      </c>
      <c r="JU45" s="5">
        <v>296295</v>
      </c>
      <c r="JV45" s="5">
        <v>53567</v>
      </c>
      <c r="JW45" s="408">
        <v>81287</v>
      </c>
      <c r="JX45" s="5">
        <v>2135548.0249999999</v>
      </c>
      <c r="JY45" s="5">
        <v>1755112.7750000001</v>
      </c>
      <c r="JZ45" s="5">
        <v>296839.97399999999</v>
      </c>
      <c r="KA45" s="5">
        <v>56021.887999999999</v>
      </c>
      <c r="KB45" s="408">
        <v>83595.27599999978</v>
      </c>
      <c r="KC45" s="5">
        <v>2148211</v>
      </c>
      <c r="KD45" s="5">
        <v>1721596</v>
      </c>
      <c r="KE45" s="5">
        <v>302957</v>
      </c>
      <c r="KF45" s="5">
        <v>57126</v>
      </c>
      <c r="KG45" s="439">
        <v>85461</v>
      </c>
      <c r="KH45" s="439">
        <v>2161418</v>
      </c>
      <c r="KI45" s="439">
        <v>1728029</v>
      </c>
      <c r="KJ45" s="439">
        <v>306378</v>
      </c>
      <c r="KK45" s="439">
        <v>60245</v>
      </c>
      <c r="KL45" s="439">
        <v>85356</v>
      </c>
      <c r="KM45" s="439">
        <v>2194749</v>
      </c>
      <c r="KN45" s="439">
        <v>1756359</v>
      </c>
      <c r="KO45" s="439">
        <v>305398</v>
      </c>
      <c r="KP45" s="439">
        <v>62991</v>
      </c>
      <c r="KQ45" s="439">
        <v>87337</v>
      </c>
      <c r="KR45" s="439">
        <v>2215502</v>
      </c>
      <c r="KS45" s="439">
        <v>1757105</v>
      </c>
      <c r="KT45" s="439">
        <v>316277</v>
      </c>
      <c r="KU45" s="439">
        <v>65537</v>
      </c>
      <c r="KV45" s="439">
        <v>95845</v>
      </c>
      <c r="KW45" s="630">
        <v>2224320</v>
      </c>
      <c r="KX45" s="439">
        <v>1760417</v>
      </c>
      <c r="KY45" s="439">
        <v>317315</v>
      </c>
      <c r="KZ45" s="439">
        <v>68574</v>
      </c>
      <c r="LA45" s="439">
        <v>99728</v>
      </c>
      <c r="LB45" s="652">
        <v>2243941</v>
      </c>
      <c r="LC45" s="653">
        <v>1765384</v>
      </c>
      <c r="LD45" s="653">
        <v>331007</v>
      </c>
      <c r="LE45" s="653">
        <v>70196</v>
      </c>
      <c r="LF45" s="653">
        <v>96089</v>
      </c>
      <c r="LG45" s="652">
        <v>2252674</v>
      </c>
      <c r="LH45" s="653"/>
      <c r="LI45" s="439"/>
      <c r="LJ45" s="439"/>
      <c r="LK45" s="439"/>
      <c r="LL45" s="652">
        <v>2221564</v>
      </c>
      <c r="LM45" s="653">
        <v>1746279</v>
      </c>
      <c r="LN45" s="653">
        <v>324928</v>
      </c>
      <c r="LO45" s="653">
        <v>69482</v>
      </c>
      <c r="LP45" s="653">
        <v>100871</v>
      </c>
      <c r="LQ45" s="652">
        <v>2200162</v>
      </c>
      <c r="LR45" s="653">
        <v>1692101</v>
      </c>
      <c r="LS45" s="653">
        <v>307434</v>
      </c>
      <c r="LT45" s="653">
        <v>75935</v>
      </c>
      <c r="LU45" s="653">
        <v>182489</v>
      </c>
      <c r="LV45" s="1">
        <v>31141</v>
      </c>
      <c r="LW45" s="1">
        <v>0</v>
      </c>
      <c r="LX45" s="1">
        <v>11253</v>
      </c>
      <c r="LY45" s="1">
        <v>112186</v>
      </c>
      <c r="LZ45" s="1">
        <v>27909</v>
      </c>
      <c r="MA45" s="10">
        <v>392869</v>
      </c>
      <c r="MB45" s="3">
        <v>342866</v>
      </c>
      <c r="MC45" s="3">
        <v>42679</v>
      </c>
      <c r="MD45" s="3">
        <v>4749</v>
      </c>
      <c r="ME45" s="8">
        <v>7324</v>
      </c>
      <c r="MF45" s="3">
        <v>448112</v>
      </c>
      <c r="MG45" s="3">
        <v>383034</v>
      </c>
      <c r="MH45" s="3">
        <v>48175</v>
      </c>
      <c r="MI45" s="3">
        <v>7955</v>
      </c>
      <c r="MJ45" s="8">
        <v>16903</v>
      </c>
      <c r="MK45" s="3">
        <v>520555</v>
      </c>
      <c r="ML45" s="3">
        <v>437595</v>
      </c>
      <c r="MM45" s="3">
        <v>59557</v>
      </c>
      <c r="MN45" s="3">
        <v>9483</v>
      </c>
      <c r="MO45" s="3">
        <v>18263</v>
      </c>
      <c r="MP45" s="10">
        <v>539690</v>
      </c>
      <c r="MQ45" s="3">
        <v>462111</v>
      </c>
      <c r="MR45" s="3">
        <v>57488</v>
      </c>
      <c r="MS45" s="3">
        <v>11386</v>
      </c>
      <c r="MT45" s="3">
        <v>20091</v>
      </c>
      <c r="MU45" s="10"/>
      <c r="MV45" s="3"/>
      <c r="MW45" s="3"/>
      <c r="MX45" s="3"/>
      <c r="MY45" s="8"/>
      <c r="MZ45" s="3">
        <v>561201</v>
      </c>
      <c r="NA45" s="3">
        <v>470301</v>
      </c>
      <c r="NB45" s="3">
        <v>59381</v>
      </c>
      <c r="NC45" s="3">
        <v>13055</v>
      </c>
      <c r="ND45" s="3">
        <v>22395</v>
      </c>
      <c r="NE45" s="3">
        <v>576464</v>
      </c>
      <c r="NF45" s="3">
        <v>482941</v>
      </c>
      <c r="NG45" s="3">
        <v>60821</v>
      </c>
      <c r="NH45" s="3">
        <v>13815</v>
      </c>
      <c r="NI45" s="3">
        <v>22843</v>
      </c>
      <c r="NJ45" s="3">
        <v>618746</v>
      </c>
      <c r="NK45" s="3">
        <v>508919</v>
      </c>
      <c r="NL45" s="3">
        <v>72792</v>
      </c>
      <c r="NM45" s="3">
        <v>16259</v>
      </c>
      <c r="NN45" s="3">
        <v>174658</v>
      </c>
      <c r="NO45" s="3">
        <v>622089</v>
      </c>
      <c r="NP45" s="3">
        <v>514092</v>
      </c>
      <c r="NQ45" s="3">
        <v>68682</v>
      </c>
      <c r="NR45" s="3">
        <v>16522</v>
      </c>
      <c r="NS45" s="3">
        <v>26434</v>
      </c>
      <c r="NT45" s="3">
        <v>626128</v>
      </c>
      <c r="NU45" s="3">
        <v>518111</v>
      </c>
      <c r="NV45" s="3">
        <v>67700</v>
      </c>
      <c r="NW45" s="3">
        <v>16286</v>
      </c>
      <c r="NX45" s="3">
        <v>28780</v>
      </c>
      <c r="NY45" s="10">
        <v>649916</v>
      </c>
      <c r="NZ45" s="3">
        <v>529219</v>
      </c>
      <c r="OA45" s="3">
        <v>77710</v>
      </c>
      <c r="OB45" s="3">
        <v>20393</v>
      </c>
      <c r="OC45" s="3">
        <v>26979</v>
      </c>
      <c r="OD45" s="10">
        <v>657727</v>
      </c>
      <c r="OE45" s="3"/>
      <c r="OF45" s="3"/>
      <c r="OG45" s="3"/>
      <c r="OH45" s="3"/>
      <c r="OI45" s="10">
        <v>648794</v>
      </c>
      <c r="OJ45" s="3">
        <v>537003</v>
      </c>
      <c r="OK45" s="3">
        <v>71127</v>
      </c>
      <c r="OL45" s="3">
        <v>17024</v>
      </c>
      <c r="OM45" s="3">
        <v>28678</v>
      </c>
      <c r="ON45" s="10">
        <v>680323</v>
      </c>
      <c r="OO45" s="3">
        <v>546513</v>
      </c>
      <c r="OP45" s="3">
        <v>73244</v>
      </c>
      <c r="OQ45" s="3">
        <v>21449</v>
      </c>
      <c r="OR45" s="3">
        <v>8619</v>
      </c>
      <c r="OS45" s="1">
        <v>11160</v>
      </c>
      <c r="OT45" s="1">
        <v>0</v>
      </c>
      <c r="OU45" s="1">
        <v>3056</v>
      </c>
      <c r="OV45" s="1">
        <v>33495</v>
      </c>
      <c r="OW45" s="1">
        <v>8619</v>
      </c>
      <c r="OX45" s="402">
        <f t="shared" si="576"/>
        <v>1175855</v>
      </c>
      <c r="OY45" s="382">
        <f t="shared" si="577"/>
        <v>918927</v>
      </c>
      <c r="OZ45" s="382">
        <f t="shared" si="578"/>
        <v>92471</v>
      </c>
      <c r="PA45" s="382">
        <f t="shared" si="579"/>
        <v>110474</v>
      </c>
      <c r="PB45" s="382">
        <f t="shared" si="580"/>
        <v>47438</v>
      </c>
      <c r="PC45" s="402">
        <f t="shared" si="581"/>
        <v>1844371</v>
      </c>
      <c r="PD45" s="382">
        <f t="shared" si="582"/>
        <v>1584541</v>
      </c>
      <c r="PE45" s="382">
        <f t="shared" si="583"/>
        <v>151308</v>
      </c>
      <c r="PF45" s="382">
        <f t="shared" si="584"/>
        <v>28055</v>
      </c>
      <c r="PG45" s="382">
        <f t="shared" si="585"/>
        <v>108522</v>
      </c>
      <c r="PH45" s="10">
        <v>1871990</v>
      </c>
      <c r="PI45" s="3">
        <v>1601983</v>
      </c>
      <c r="PJ45" s="3">
        <v>153981</v>
      </c>
      <c r="PK45" s="3">
        <v>36435</v>
      </c>
      <c r="PL45" s="3">
        <v>116026</v>
      </c>
      <c r="PM45" s="3">
        <v>2143694</v>
      </c>
      <c r="PN45" s="3">
        <v>1797723</v>
      </c>
      <c r="PO45" s="3">
        <v>179262</v>
      </c>
      <c r="PP45" s="3">
        <v>38210</v>
      </c>
      <c r="PQ45" s="3">
        <v>142747</v>
      </c>
      <c r="PR45" s="399"/>
      <c r="PS45" s="5"/>
      <c r="PT45" s="5"/>
      <c r="PU45" s="5"/>
      <c r="PV45" s="5"/>
      <c r="PW45" s="5">
        <v>2254208</v>
      </c>
      <c r="PX45" s="5">
        <v>1877781</v>
      </c>
      <c r="PY45" s="5">
        <v>193045</v>
      </c>
      <c r="PZ45" s="5">
        <v>46422</v>
      </c>
      <c r="QA45" s="408">
        <v>149290</v>
      </c>
      <c r="QB45" s="5">
        <v>2309833</v>
      </c>
      <c r="QC45" s="5">
        <v>1921375</v>
      </c>
      <c r="QD45" s="5">
        <v>196080</v>
      </c>
      <c r="QE45" s="5">
        <v>49035</v>
      </c>
      <c r="QF45" s="5">
        <v>155230</v>
      </c>
      <c r="QG45" s="5">
        <v>2446085</v>
      </c>
      <c r="QH45" s="5">
        <v>2014302</v>
      </c>
      <c r="QI45" s="5">
        <v>215895</v>
      </c>
      <c r="QJ45" s="5">
        <v>55167</v>
      </c>
      <c r="QK45" s="5">
        <v>174658</v>
      </c>
      <c r="QL45" s="399">
        <v>2492562</v>
      </c>
      <c r="QM45" s="5">
        <v>2051711</v>
      </c>
      <c r="QN45" s="5">
        <v>214862</v>
      </c>
      <c r="QO45" s="5">
        <v>57086</v>
      </c>
      <c r="QP45" s="5">
        <v>182375</v>
      </c>
      <c r="QQ45" s="399">
        <v>2535958</v>
      </c>
      <c r="QR45" s="5">
        <v>2086880</v>
      </c>
      <c r="QS45" s="5">
        <v>214195</v>
      </c>
      <c r="QT45" s="5">
        <v>59705</v>
      </c>
      <c r="QU45" s="5">
        <v>192162</v>
      </c>
      <c r="QV45" s="399">
        <v>2635480</v>
      </c>
      <c r="QW45" s="5">
        <v>2152833</v>
      </c>
      <c r="QX45" s="5">
        <v>230236</v>
      </c>
      <c r="QY45" s="5">
        <v>64703</v>
      </c>
      <c r="QZ45" s="5">
        <v>202433</v>
      </c>
      <c r="RA45" s="399">
        <v>2689620</v>
      </c>
      <c r="RB45" s="5"/>
      <c r="RC45" s="5"/>
      <c r="RD45" s="5"/>
      <c r="RE45" s="5"/>
      <c r="RF45" s="5">
        <v>2719589</v>
      </c>
      <c r="RG45" s="5">
        <v>2211555</v>
      </c>
      <c r="RH45" s="5">
        <v>231454</v>
      </c>
      <c r="RI45" s="5">
        <v>76033</v>
      </c>
      <c r="RJ45" s="5">
        <v>220620</v>
      </c>
      <c r="RK45" s="5">
        <v>2888493</v>
      </c>
      <c r="RL45" s="5">
        <v>2296896</v>
      </c>
      <c r="RM45" s="5">
        <v>243892</v>
      </c>
      <c r="RN45" s="5">
        <v>88779</v>
      </c>
      <c r="RO45" s="5">
        <v>328413</v>
      </c>
      <c r="RP45" s="1">
        <v>155879</v>
      </c>
      <c r="RQ45" s="1">
        <v>0</v>
      </c>
      <c r="RR45" s="1">
        <v>8412</v>
      </c>
      <c r="RS45" s="1">
        <v>133159</v>
      </c>
      <c r="RT45" s="1">
        <v>30963</v>
      </c>
      <c r="RU45" s="10">
        <v>638267</v>
      </c>
      <c r="RV45" s="3">
        <v>576061</v>
      </c>
      <c r="RW45" s="3">
        <v>44436</v>
      </c>
      <c r="RX45" s="3">
        <v>6061</v>
      </c>
      <c r="RY45" s="3">
        <v>17770</v>
      </c>
      <c r="RZ45" s="10">
        <v>878680</v>
      </c>
      <c r="SA45" s="3">
        <v>765913</v>
      </c>
      <c r="SB45" s="3">
        <v>65182</v>
      </c>
      <c r="SC45" s="3">
        <v>12474</v>
      </c>
      <c r="SD45" s="3">
        <v>47585</v>
      </c>
      <c r="SE45" s="10">
        <v>1004674</v>
      </c>
      <c r="SF45" s="3">
        <v>855047</v>
      </c>
      <c r="SG45" s="3">
        <v>75393</v>
      </c>
      <c r="SH45" s="3">
        <v>18341</v>
      </c>
      <c r="SI45" s="3">
        <v>62845</v>
      </c>
      <c r="SJ45" s="10">
        <v>1014001</v>
      </c>
      <c r="SK45" s="3">
        <v>872549</v>
      </c>
      <c r="SL45" s="3">
        <v>79961</v>
      </c>
      <c r="SM45" s="3">
        <v>19336</v>
      </c>
      <c r="SN45" s="3">
        <v>61491</v>
      </c>
      <c r="SO45" s="10">
        <v>1025063.052</v>
      </c>
      <c r="SP45" s="3">
        <v>880256.56099999999</v>
      </c>
      <c r="SQ45" s="3">
        <v>81337.506999999998</v>
      </c>
      <c r="SR45" s="3">
        <v>20313.28</v>
      </c>
      <c r="SS45" s="3">
        <v>63468.98400000004</v>
      </c>
      <c r="ST45" s="10">
        <v>1043196</v>
      </c>
      <c r="SU45" s="3">
        <v>880965</v>
      </c>
      <c r="SV45" s="3">
        <v>81770</v>
      </c>
      <c r="SW45" s="3">
        <v>21399</v>
      </c>
      <c r="SX45" s="3">
        <v>64479</v>
      </c>
      <c r="SY45" s="3">
        <v>1063906</v>
      </c>
      <c r="SZ45" s="3">
        <v>898292</v>
      </c>
      <c r="TA45" s="3">
        <v>82037</v>
      </c>
      <c r="TB45" s="3">
        <v>22734</v>
      </c>
      <c r="TC45" s="3">
        <v>66385</v>
      </c>
      <c r="TD45" s="3">
        <v>1105362</v>
      </c>
      <c r="TE45" s="3">
        <v>928303</v>
      </c>
      <c r="TF45" s="3">
        <v>85772</v>
      </c>
      <c r="TG45" s="3">
        <v>25182</v>
      </c>
      <c r="TH45" s="3">
        <v>72701</v>
      </c>
      <c r="TI45" s="3">
        <v>1145546</v>
      </c>
      <c r="TJ45" s="3">
        <v>961260</v>
      </c>
      <c r="TK45" s="3">
        <v>89468</v>
      </c>
      <c r="TL45" s="3">
        <v>25638</v>
      </c>
      <c r="TM45" s="3">
        <v>75433</v>
      </c>
      <c r="TN45" s="3">
        <v>1162737</v>
      </c>
      <c r="TO45" s="3">
        <v>979553</v>
      </c>
      <c r="TP45" s="3">
        <v>83161</v>
      </c>
      <c r="TQ45" s="3">
        <v>29042</v>
      </c>
      <c r="TR45" s="3">
        <v>79747</v>
      </c>
      <c r="TS45" s="10">
        <v>1201375</v>
      </c>
      <c r="TT45" s="3">
        <v>1005997</v>
      </c>
      <c r="TU45" s="3">
        <v>86253</v>
      </c>
      <c r="TV45" s="3">
        <v>26618</v>
      </c>
      <c r="TW45" s="3">
        <v>89000</v>
      </c>
      <c r="TX45" s="10">
        <v>1239251</v>
      </c>
      <c r="TY45" s="3"/>
      <c r="TZ45" s="3"/>
      <c r="UA45" s="3"/>
      <c r="UB45" s="3"/>
      <c r="UC45" s="10">
        <v>1252685</v>
      </c>
      <c r="UD45" s="3">
        <v>1045761</v>
      </c>
      <c r="UE45" s="3">
        <v>91834</v>
      </c>
      <c r="UF45" s="3">
        <v>37088</v>
      </c>
      <c r="UG45" s="3">
        <v>87893</v>
      </c>
      <c r="UH45" s="10">
        <v>1338162</v>
      </c>
      <c r="UI45" s="3">
        <v>1087623</v>
      </c>
      <c r="UJ45" s="3">
        <v>97726</v>
      </c>
      <c r="UK45" s="3">
        <v>42023</v>
      </c>
      <c r="UL45" s="3">
        <v>143773</v>
      </c>
      <c r="UM45" s="1">
        <v>66063</v>
      </c>
      <c r="UN45" s="1">
        <v>0</v>
      </c>
      <c r="UO45" s="1">
        <v>3258</v>
      </c>
      <c r="UP45" s="1">
        <v>60336</v>
      </c>
      <c r="UQ45" s="1">
        <v>22344</v>
      </c>
      <c r="UR45" s="588">
        <f t="shared" si="586"/>
        <v>274988</v>
      </c>
      <c r="US45" s="40">
        <v>169335</v>
      </c>
      <c r="UT45" s="40">
        <v>105653</v>
      </c>
      <c r="UU45" s="588">
        <f t="shared" si="587"/>
        <v>10676</v>
      </c>
      <c r="UV45" s="40">
        <v>5460</v>
      </c>
      <c r="UW45" s="40">
        <v>5216</v>
      </c>
      <c r="UX45" s="42">
        <v>431525</v>
      </c>
      <c r="UY45" s="588">
        <f t="shared" si="588"/>
        <v>258369</v>
      </c>
      <c r="UZ45" s="588">
        <f t="shared" si="589"/>
        <v>173156</v>
      </c>
      <c r="VA45" s="588">
        <f t="shared" si="590"/>
        <v>410346</v>
      </c>
      <c r="VB45" s="40">
        <v>248052</v>
      </c>
      <c r="VC45" s="40">
        <v>162294</v>
      </c>
      <c r="VD45" s="588">
        <f t="shared" si="591"/>
        <v>17325</v>
      </c>
      <c r="VE45" s="40">
        <v>7921</v>
      </c>
      <c r="VF45" s="40">
        <v>9404</v>
      </c>
      <c r="VG45" s="588">
        <f t="shared" si="592"/>
        <v>3854</v>
      </c>
      <c r="VH45" s="40">
        <v>2396</v>
      </c>
      <c r="VI45" s="40">
        <v>1458</v>
      </c>
      <c r="VJ45" s="42">
        <v>749187</v>
      </c>
      <c r="VK45" s="588">
        <f t="shared" si="593"/>
        <v>438465</v>
      </c>
      <c r="VL45" s="588">
        <f t="shared" si="594"/>
        <v>310722</v>
      </c>
      <c r="VM45" s="240">
        <f t="shared" si="595"/>
        <v>679648</v>
      </c>
      <c r="VN45" s="40">
        <v>402900</v>
      </c>
      <c r="VO45" s="40">
        <v>276748</v>
      </c>
      <c r="VP45" s="40">
        <v>35565</v>
      </c>
      <c r="VQ45" s="40">
        <v>33974</v>
      </c>
      <c r="VR45" s="240">
        <f t="shared" si="596"/>
        <v>44849</v>
      </c>
      <c r="VS45" s="40">
        <v>21046</v>
      </c>
      <c r="VT45" s="40">
        <v>23803</v>
      </c>
      <c r="VU45" s="240">
        <f t="shared" si="597"/>
        <v>6470</v>
      </c>
      <c r="VV45" s="40">
        <v>3890</v>
      </c>
      <c r="VW45" s="40">
        <v>2580</v>
      </c>
      <c r="VX45" s="233">
        <f t="shared" si="598"/>
        <v>18220</v>
      </c>
      <c r="VY45" s="233">
        <f t="shared" si="599"/>
        <v>10629</v>
      </c>
      <c r="VZ45" s="233">
        <f t="shared" si="600"/>
        <v>7591</v>
      </c>
      <c r="WA45" s="234">
        <f t="shared" si="601"/>
        <v>573</v>
      </c>
      <c r="WB45" s="234">
        <f t="shared" si="602"/>
        <v>368</v>
      </c>
      <c r="WC45" s="234">
        <f t="shared" si="603"/>
        <v>205</v>
      </c>
      <c r="WD45" s="40">
        <v>17647</v>
      </c>
      <c r="WE45" s="40">
        <v>10261</v>
      </c>
      <c r="WF45" s="40">
        <v>7386</v>
      </c>
      <c r="WG45" s="12">
        <f t="shared" si="604"/>
        <v>782986</v>
      </c>
      <c r="WH45" s="588">
        <f t="shared" si="605"/>
        <v>551549</v>
      </c>
      <c r="WI45" s="588">
        <f t="shared" si="606"/>
        <v>462498</v>
      </c>
      <c r="WJ45" s="11">
        <f t="shared" si="607"/>
        <v>576061</v>
      </c>
      <c r="WK45" s="90">
        <f t="shared" si="608"/>
        <v>899746</v>
      </c>
      <c r="WL45" s="40">
        <v>497611</v>
      </c>
      <c r="WM45" s="40">
        <v>402135</v>
      </c>
      <c r="WN45" s="40">
        <v>53938</v>
      </c>
      <c r="WO45" s="40">
        <v>60363</v>
      </c>
      <c r="WP45" s="11">
        <f t="shared" si="609"/>
        <v>49792</v>
      </c>
      <c r="WQ45" s="90">
        <f t="shared" si="610"/>
        <v>71639</v>
      </c>
      <c r="WR45" s="40">
        <v>30231</v>
      </c>
      <c r="WS45" s="40">
        <v>41408</v>
      </c>
      <c r="WT45" s="11">
        <f t="shared" si="611"/>
        <v>10359</v>
      </c>
      <c r="WU45" s="40">
        <v>5720</v>
      </c>
      <c r="WV45" s="40">
        <v>4639</v>
      </c>
      <c r="WW45" s="9">
        <f t="shared" si="612"/>
        <v>40114</v>
      </c>
      <c r="WX45" s="235">
        <f t="shared" si="613"/>
        <v>17987</v>
      </c>
      <c r="WY45" s="235">
        <f t="shared" si="614"/>
        <v>14316</v>
      </c>
      <c r="WZ45" s="236">
        <f t="shared" si="615"/>
        <v>256</v>
      </c>
      <c r="XA45" s="236">
        <f t="shared" si="616"/>
        <v>165</v>
      </c>
      <c r="XB45" s="236">
        <f t="shared" si="617"/>
        <v>91</v>
      </c>
      <c r="XC45" s="589">
        <f t="shared" si="618"/>
        <v>32047</v>
      </c>
      <c r="XD45" s="589">
        <f t="shared" si="619"/>
        <v>17822</v>
      </c>
      <c r="XE45" s="589">
        <f t="shared" si="620"/>
        <v>14225</v>
      </c>
      <c r="XF45" s="40">
        <v>1100</v>
      </c>
      <c r="XG45" s="40">
        <v>1206</v>
      </c>
      <c r="XH45" s="40">
        <v>16722</v>
      </c>
      <c r="XI45" s="40">
        <v>13019</v>
      </c>
      <c r="XJ45" s="590">
        <v>1396259</v>
      </c>
      <c r="XK45" s="40">
        <v>719643</v>
      </c>
      <c r="XL45" s="40">
        <v>676616</v>
      </c>
      <c r="XM45" s="5">
        <f t="shared" si="621"/>
        <v>1201507</v>
      </c>
      <c r="XN45" s="5">
        <v>629388</v>
      </c>
      <c r="XO45" s="5">
        <v>572119</v>
      </c>
      <c r="XP45" s="84">
        <f t="shared" si="622"/>
        <v>1188707</v>
      </c>
      <c r="XQ45" s="40">
        <v>622797</v>
      </c>
      <c r="XR45" s="40">
        <v>565910</v>
      </c>
      <c r="XS45" s="5">
        <f t="shared" si="623"/>
        <v>103133</v>
      </c>
      <c r="XT45" s="40">
        <v>40883</v>
      </c>
      <c r="XU45" s="40">
        <v>62250</v>
      </c>
      <c r="XV45" s="5">
        <f t="shared" si="624"/>
        <v>20100</v>
      </c>
      <c r="XW45" s="40">
        <v>10144</v>
      </c>
      <c r="XX45" s="40">
        <v>9956</v>
      </c>
      <c r="XY45" s="84">
        <f t="shared" si="625"/>
        <v>91619</v>
      </c>
      <c r="XZ45" s="84">
        <f t="shared" si="626"/>
        <v>49372</v>
      </c>
      <c r="YA45" s="84">
        <f t="shared" si="627"/>
        <v>42247</v>
      </c>
      <c r="YB45" s="587">
        <v>1623139</v>
      </c>
      <c r="YC45" s="40">
        <v>1360128</v>
      </c>
      <c r="YD45" s="40">
        <v>119705</v>
      </c>
      <c r="YE45" s="40">
        <v>28727</v>
      </c>
      <c r="YF45" s="5">
        <v>124484</v>
      </c>
      <c r="YG45" s="10">
        <v>1637155</v>
      </c>
      <c r="YH45" s="3">
        <v>1393068</v>
      </c>
      <c r="YI45" s="3">
        <v>120010</v>
      </c>
      <c r="YJ45" s="3">
        <v>124077</v>
      </c>
      <c r="YK45" s="3">
        <v>29496</v>
      </c>
      <c r="YL45" s="10">
        <v>1625482</v>
      </c>
      <c r="YM45" s="3">
        <v>1385420</v>
      </c>
      <c r="YN45" s="3">
        <v>120341</v>
      </c>
      <c r="YO45" s="3">
        <v>119721</v>
      </c>
      <c r="YP45" s="3">
        <v>27327</v>
      </c>
      <c r="YQ45" s="10">
        <v>1641165</v>
      </c>
      <c r="YR45" s="3">
        <v>1392437</v>
      </c>
      <c r="YS45" s="3">
        <v>127783</v>
      </c>
      <c r="YT45" s="3">
        <v>120945</v>
      </c>
      <c r="YU45" s="3">
        <v>30400</v>
      </c>
      <c r="YV45" s="10">
        <v>1662442.0009999999</v>
      </c>
      <c r="YW45" s="3">
        <v>1404090.22</v>
      </c>
      <c r="YX45" s="3">
        <v>132487.89799999999</v>
      </c>
      <c r="YY45" s="3">
        <v>31218.303999999996</v>
      </c>
      <c r="YZ45" s="3">
        <v>125863.88299999997</v>
      </c>
      <c r="ZA45" s="3">
        <v>1693007</v>
      </c>
      <c r="ZB45" s="3">
        <v>1407480</v>
      </c>
      <c r="ZC45" s="3">
        <v>133664</v>
      </c>
      <c r="ZD45" s="3">
        <v>33367</v>
      </c>
      <c r="ZE45" s="1">
        <v>126895</v>
      </c>
      <c r="ZF45" s="1">
        <v>1733369</v>
      </c>
      <c r="ZG45" s="1">
        <v>1438434</v>
      </c>
      <c r="ZH45" s="1">
        <v>135259</v>
      </c>
      <c r="ZI45" s="1">
        <v>35220</v>
      </c>
      <c r="ZJ45" s="1">
        <v>132387</v>
      </c>
      <c r="ZK45" s="1">
        <v>1827339</v>
      </c>
      <c r="ZL45" s="1">
        <v>1505383</v>
      </c>
      <c r="ZM45" s="1">
        <v>143103</v>
      </c>
      <c r="ZN45" s="1">
        <v>38908</v>
      </c>
      <c r="ZO45" s="1">
        <v>148945</v>
      </c>
      <c r="ZP45" s="1">
        <v>1870473</v>
      </c>
      <c r="ZQ45" s="1">
        <v>1537619</v>
      </c>
      <c r="ZR45" s="1">
        <v>146180</v>
      </c>
      <c r="ZS45" s="1">
        <v>40564</v>
      </c>
      <c r="ZT45" s="1">
        <v>155941</v>
      </c>
      <c r="ZU45" s="1">
        <v>1909830</v>
      </c>
      <c r="ZV45" s="1">
        <v>1568769</v>
      </c>
      <c r="ZW45" s="1">
        <v>146495</v>
      </c>
      <c r="ZX45" s="1">
        <v>43419</v>
      </c>
      <c r="ZY45" s="1">
        <v>163382</v>
      </c>
      <c r="ZZ45" s="394">
        <v>119409</v>
      </c>
      <c r="AAA45" s="1">
        <v>0</v>
      </c>
      <c r="AAB45" s="1">
        <v>3857</v>
      </c>
      <c r="AAC45" s="1">
        <v>30481</v>
      </c>
      <c r="AAD45" s="1">
        <v>9635</v>
      </c>
      <c r="AAE45" s="50">
        <v>1985564</v>
      </c>
      <c r="AAF45" s="1">
        <v>1623614</v>
      </c>
      <c r="AAG45" s="1">
        <v>152526</v>
      </c>
      <c r="AAH45" s="1">
        <v>44310</v>
      </c>
      <c r="AAI45" s="1">
        <v>175454</v>
      </c>
      <c r="AAJ45" s="50">
        <v>2031893</v>
      </c>
      <c r="AAK45" s="1"/>
      <c r="AAL45" s="1"/>
      <c r="AAM45" s="1"/>
      <c r="AAN45" s="1"/>
      <c r="AAO45" s="68">
        <v>2070795</v>
      </c>
      <c r="AAP45" s="37">
        <v>1674552</v>
      </c>
      <c r="AAQ45" s="37">
        <v>160327</v>
      </c>
      <c r="AAR45" s="37">
        <v>59009</v>
      </c>
      <c r="AAS45" s="37">
        <v>191942</v>
      </c>
      <c r="AAT45" s="68">
        <v>2208170</v>
      </c>
      <c r="AAU45" s="37">
        <v>1750383</v>
      </c>
      <c r="AAV45" s="37">
        <v>170648</v>
      </c>
      <c r="AAW45" s="37">
        <v>67330</v>
      </c>
      <c r="AAX45" s="37">
        <v>272083</v>
      </c>
      <c r="AAY45" s="1">
        <v>144719</v>
      </c>
      <c r="AAZ45" s="1">
        <v>0</v>
      </c>
      <c r="ABA45" s="1">
        <v>5356</v>
      </c>
      <c r="ABB45" s="1">
        <v>99664</v>
      </c>
      <c r="ABC45" s="1">
        <v>22344</v>
      </c>
      <c r="ABD45" s="10">
        <v>517579</v>
      </c>
      <c r="ABE45" s="3">
        <v>435594</v>
      </c>
      <c r="ABF45" s="3">
        <v>37951</v>
      </c>
      <c r="ABG45" s="3">
        <v>7626</v>
      </c>
      <c r="ABH45" s="3">
        <v>44034</v>
      </c>
      <c r="ABI45" s="10">
        <v>618465</v>
      </c>
      <c r="ABJ45" s="3">
        <v>505081</v>
      </c>
      <c r="ABK45" s="3">
        <v>44312</v>
      </c>
      <c r="ABL45" s="3">
        <v>10386</v>
      </c>
      <c r="ABM45" s="3">
        <v>61639</v>
      </c>
      <c r="ABN45" s="10">
        <v>627164</v>
      </c>
      <c r="ABO45" s="3">
        <v>519888</v>
      </c>
      <c r="ABP45" s="3">
        <v>47822</v>
      </c>
      <c r="ABQ45" s="3">
        <v>11064</v>
      </c>
      <c r="ABR45" s="3">
        <v>59454</v>
      </c>
      <c r="ABS45" s="10">
        <v>637378.94899999991</v>
      </c>
      <c r="ABT45" s="3">
        <v>523833.65899999993</v>
      </c>
      <c r="ABU45" s="3">
        <v>51150.390999999996</v>
      </c>
      <c r="ABV45" s="3">
        <v>10905.023999999999</v>
      </c>
      <c r="ABW45" s="8">
        <v>62394.898999999983</v>
      </c>
      <c r="ABX45" s="1">
        <v>649811</v>
      </c>
      <c r="ABY45" s="1">
        <v>526515</v>
      </c>
      <c r="ABZ45" s="1">
        <v>51894</v>
      </c>
      <c r="ACA45" s="1">
        <v>11968</v>
      </c>
      <c r="ACB45" s="49">
        <v>62416</v>
      </c>
      <c r="ACC45" s="1">
        <v>669463</v>
      </c>
      <c r="ACD45" s="1">
        <v>540142</v>
      </c>
      <c r="ACE45" s="1">
        <v>53222</v>
      </c>
      <c r="ACF45" s="1">
        <v>12486</v>
      </c>
      <c r="ACG45" s="1">
        <v>66002</v>
      </c>
      <c r="ACH45" s="1">
        <v>721977</v>
      </c>
      <c r="ACI45" s="1">
        <v>577080</v>
      </c>
      <c r="ACJ45" s="1">
        <v>57331</v>
      </c>
      <c r="ACK45" s="1">
        <v>13726</v>
      </c>
      <c r="ACL45" s="1">
        <v>76244</v>
      </c>
      <c r="ACM45" s="1">
        <v>724927</v>
      </c>
      <c r="ACN45" s="1">
        <v>576359</v>
      </c>
      <c r="ACO45" s="1">
        <v>56712</v>
      </c>
      <c r="ACP45" s="1">
        <v>14926</v>
      </c>
      <c r="ACQ45" s="1">
        <v>80508</v>
      </c>
      <c r="ACR45" s="1">
        <v>747093</v>
      </c>
      <c r="ACS45" s="1">
        <v>589216</v>
      </c>
      <c r="ACT45" s="1">
        <v>63334</v>
      </c>
      <c r="ACU45" s="1">
        <v>14377</v>
      </c>
      <c r="ACV45" s="1">
        <v>83635</v>
      </c>
      <c r="ADB45" s="50">
        <v>784189</v>
      </c>
      <c r="ADC45" s="1">
        <v>617617</v>
      </c>
      <c r="ADD45" s="1">
        <v>66273</v>
      </c>
      <c r="ADE45" s="1">
        <v>17692</v>
      </c>
      <c r="ADF45" s="1">
        <v>86454</v>
      </c>
      <c r="ADG45" s="50">
        <v>792642</v>
      </c>
      <c r="ADL45" s="50">
        <v>818110</v>
      </c>
      <c r="ADM45" s="1">
        <v>628791</v>
      </c>
      <c r="ADN45" s="1">
        <v>68493</v>
      </c>
      <c r="ADO45" s="1">
        <v>21921</v>
      </c>
      <c r="ADP45" s="1">
        <v>104049</v>
      </c>
      <c r="ADQ45" s="50">
        <v>870008</v>
      </c>
      <c r="ADR45" s="1">
        <v>662760</v>
      </c>
      <c r="ADS45" s="1">
        <v>72922</v>
      </c>
      <c r="ADT45" s="1">
        <v>25307</v>
      </c>
      <c r="ADU45" s="1">
        <v>128310</v>
      </c>
      <c r="ADV45" s="1">
        <v>78656</v>
      </c>
      <c r="ADW45" s="1">
        <v>0</v>
      </c>
      <c r="ADX45" s="1">
        <v>2098</v>
      </c>
      <c r="ADY45" s="1">
        <v>39328</v>
      </c>
      <c r="ADZ45" s="1">
        <v>8228</v>
      </c>
    </row>
    <row r="46" spans="1:806" ht="14.1">
      <c r="A46" s="138" t="s">
        <v>44</v>
      </c>
      <c r="B46" s="174" t="s">
        <v>221</v>
      </c>
      <c r="C46" s="175" t="s">
        <v>221</v>
      </c>
      <c r="D46" s="175" t="s">
        <v>221</v>
      </c>
      <c r="E46" s="175" t="s">
        <v>221</v>
      </c>
      <c r="F46" s="176" t="s">
        <v>221</v>
      </c>
      <c r="G46" s="3">
        <v>239322</v>
      </c>
      <c r="H46" s="3">
        <v>225361</v>
      </c>
      <c r="I46" s="3">
        <v>2895</v>
      </c>
      <c r="J46" s="3">
        <v>3156</v>
      </c>
      <c r="K46" s="8">
        <v>11066</v>
      </c>
      <c r="L46" s="3">
        <v>158858</v>
      </c>
      <c r="M46" s="3">
        <v>127743</v>
      </c>
      <c r="N46" s="3">
        <v>4252</v>
      </c>
      <c r="O46" s="3">
        <v>15051</v>
      </c>
      <c r="P46" s="8">
        <v>26863</v>
      </c>
      <c r="Q46" s="3">
        <v>128202</v>
      </c>
      <c r="R46" s="3">
        <v>79989</v>
      </c>
      <c r="S46" s="3">
        <v>8631</v>
      </c>
      <c r="T46" s="3">
        <v>22486</v>
      </c>
      <c r="U46" s="8">
        <v>27121</v>
      </c>
      <c r="V46" s="5">
        <v>122853</v>
      </c>
      <c r="W46" s="5">
        <v>84516</v>
      </c>
      <c r="X46" s="5">
        <v>10929</v>
      </c>
      <c r="Y46" s="5">
        <v>27037</v>
      </c>
      <c r="Z46" s="408">
        <v>27408</v>
      </c>
      <c r="AA46" s="5">
        <v>113516</v>
      </c>
      <c r="AB46" s="5">
        <v>57769</v>
      </c>
      <c r="AC46" s="5">
        <v>11758</v>
      </c>
      <c r="AD46" s="5">
        <v>24322</v>
      </c>
      <c r="AE46" s="5">
        <v>28868</v>
      </c>
      <c r="AF46" s="399">
        <v>113501</v>
      </c>
      <c r="AG46" s="5">
        <v>55007</v>
      </c>
      <c r="AH46" s="5">
        <v>12761</v>
      </c>
      <c r="AI46" s="5">
        <v>25125</v>
      </c>
      <c r="AJ46" s="490">
        <v>32659</v>
      </c>
      <c r="AK46" s="490">
        <v>108766</v>
      </c>
      <c r="AL46" s="490">
        <v>46481</v>
      </c>
      <c r="AM46" s="685">
        <v>15175</v>
      </c>
      <c r="AN46" s="685">
        <v>25379</v>
      </c>
      <c r="AO46" s="490">
        <v>32584</v>
      </c>
      <c r="AP46" s="394">
        <v>112193</v>
      </c>
      <c r="AQ46" s="394">
        <v>42151</v>
      </c>
      <c r="AR46" s="394">
        <v>17030</v>
      </c>
      <c r="AS46" s="394">
        <v>28210</v>
      </c>
      <c r="AT46" s="394">
        <v>38546</v>
      </c>
      <c r="AU46" s="393">
        <v>111658</v>
      </c>
      <c r="AV46" s="394">
        <v>39730</v>
      </c>
      <c r="AW46" s="394">
        <v>14144</v>
      </c>
      <c r="AX46" s="394">
        <v>32958</v>
      </c>
      <c r="AY46" s="394">
        <v>44015</v>
      </c>
      <c r="AZ46" s="1">
        <v>23121</v>
      </c>
      <c r="BA46" s="1">
        <v>0</v>
      </c>
      <c r="BB46" s="1">
        <v>1020</v>
      </c>
      <c r="BC46" s="1">
        <v>1659</v>
      </c>
      <c r="BD46" s="1">
        <v>18215</v>
      </c>
      <c r="BE46" s="393">
        <v>114437</v>
      </c>
      <c r="BF46" s="394">
        <v>39420</v>
      </c>
      <c r="BG46" s="394">
        <v>20499</v>
      </c>
      <c r="BH46" s="394">
        <v>29303</v>
      </c>
      <c r="BI46" s="394">
        <v>42329</v>
      </c>
      <c r="BJ46" s="393">
        <v>101742</v>
      </c>
      <c r="BK46" s="394"/>
      <c r="BL46" s="394"/>
      <c r="BM46" s="394"/>
      <c r="BN46" s="394"/>
      <c r="BO46" s="393">
        <v>103730</v>
      </c>
      <c r="BP46" s="394">
        <v>35593</v>
      </c>
      <c r="BQ46" s="394">
        <v>19325</v>
      </c>
      <c r="BR46" s="394">
        <v>21097</v>
      </c>
      <c r="BS46" s="394">
        <v>38064</v>
      </c>
      <c r="BT46" s="393">
        <v>103264</v>
      </c>
      <c r="BU46" s="394">
        <v>32077</v>
      </c>
      <c r="BV46" s="394">
        <v>19941</v>
      </c>
      <c r="BW46" s="394">
        <v>27160</v>
      </c>
      <c r="BX46" s="394">
        <v>21209</v>
      </c>
      <c r="BY46" s="1">
        <v>0</v>
      </c>
      <c r="BZ46" s="1">
        <v>1593</v>
      </c>
      <c r="CA46" s="1">
        <v>10438</v>
      </c>
      <c r="CB46" s="1">
        <v>15963</v>
      </c>
      <c r="CC46" s="10">
        <v>249443</v>
      </c>
      <c r="CD46" s="3">
        <v>232083</v>
      </c>
      <c r="CE46" s="3">
        <v>8101</v>
      </c>
      <c r="CF46" s="3">
        <v>27160</v>
      </c>
      <c r="CG46" s="8">
        <v>9259</v>
      </c>
      <c r="CH46" s="3">
        <v>222487</v>
      </c>
      <c r="CI46" s="3">
        <v>187638</v>
      </c>
      <c r="CJ46" s="3">
        <v>13505</v>
      </c>
      <c r="CK46" s="3">
        <v>11929</v>
      </c>
      <c r="CL46" s="8">
        <v>21344</v>
      </c>
      <c r="CM46" s="1">
        <v>185816</v>
      </c>
      <c r="CN46" s="3">
        <v>142316</v>
      </c>
      <c r="CO46" s="3">
        <v>13313</v>
      </c>
      <c r="CP46" s="3">
        <v>16510</v>
      </c>
      <c r="CQ46" s="8">
        <v>21631</v>
      </c>
      <c r="CR46" s="3">
        <v>173238</v>
      </c>
      <c r="CS46" s="3">
        <v>135626</v>
      </c>
      <c r="CT46" s="3">
        <v>16904</v>
      </c>
      <c r="CU46" s="3">
        <v>19145</v>
      </c>
      <c r="CV46" s="8">
        <v>20708</v>
      </c>
      <c r="CW46" s="3">
        <v>166590</v>
      </c>
      <c r="CX46" s="3">
        <v>114535</v>
      </c>
      <c r="CY46" s="3">
        <v>17302</v>
      </c>
      <c r="CZ46" s="3">
        <v>19773</v>
      </c>
      <c r="DA46" s="3">
        <v>21591</v>
      </c>
      <c r="DB46" s="3">
        <v>163203</v>
      </c>
      <c r="DC46" s="3">
        <v>111855</v>
      </c>
      <c r="DD46" s="3">
        <v>17103</v>
      </c>
      <c r="DE46" s="3">
        <v>19740</v>
      </c>
      <c r="DF46" s="39">
        <v>21629</v>
      </c>
      <c r="DG46" s="39">
        <v>163742</v>
      </c>
      <c r="DH46" s="39">
        <v>108836</v>
      </c>
      <c r="DI46" s="39">
        <v>17086</v>
      </c>
      <c r="DJ46" s="39">
        <v>20435</v>
      </c>
      <c r="DK46" s="39">
        <v>25679</v>
      </c>
      <c r="DL46" s="39">
        <v>155113</v>
      </c>
      <c r="DM46" s="39">
        <v>103047</v>
      </c>
      <c r="DN46" s="39">
        <v>16004</v>
      </c>
      <c r="DO46" s="39">
        <v>20099</v>
      </c>
      <c r="DP46" s="39">
        <v>24383</v>
      </c>
      <c r="DQ46" s="39">
        <v>152230</v>
      </c>
      <c r="DR46" s="39">
        <v>97542</v>
      </c>
      <c r="DS46" s="39">
        <v>18696</v>
      </c>
      <c r="DT46" s="39">
        <v>20001</v>
      </c>
      <c r="DU46" s="39">
        <v>26038</v>
      </c>
      <c r="DV46" s="118">
        <v>147197</v>
      </c>
      <c r="DW46" s="39">
        <v>93284</v>
      </c>
      <c r="DX46" s="39">
        <v>16305</v>
      </c>
      <c r="DY46" s="39">
        <v>20608</v>
      </c>
      <c r="DZ46" s="39">
        <v>28838</v>
      </c>
      <c r="EA46" s="118">
        <v>151063</v>
      </c>
      <c r="EB46" s="39"/>
      <c r="EC46" s="39"/>
      <c r="ED46" s="39"/>
      <c r="EE46" s="39"/>
      <c r="EF46" s="118">
        <v>141960</v>
      </c>
      <c r="EG46" s="39">
        <v>91425</v>
      </c>
      <c r="EH46" s="39">
        <v>17754</v>
      </c>
      <c r="EI46" s="39">
        <v>18451</v>
      </c>
      <c r="EJ46" s="39">
        <v>24260</v>
      </c>
      <c r="EK46" s="118">
        <v>141960</v>
      </c>
      <c r="EL46" s="39">
        <v>91425</v>
      </c>
      <c r="EM46" s="39">
        <v>17754</v>
      </c>
      <c r="EN46" s="39">
        <v>18451</v>
      </c>
      <c r="EO46" s="39">
        <v>24260</v>
      </c>
      <c r="EP46" s="118">
        <v>125583</v>
      </c>
      <c r="EQ46" s="39">
        <v>75965</v>
      </c>
      <c r="ER46" s="39">
        <v>16110</v>
      </c>
      <c r="ES46" s="39">
        <v>20261</v>
      </c>
      <c r="ET46" s="1">
        <v>6640</v>
      </c>
      <c r="EU46" s="1">
        <v>0</v>
      </c>
      <c r="EV46" s="1">
        <v>2811</v>
      </c>
      <c r="EW46" s="1">
        <v>12126</v>
      </c>
      <c r="EX46" s="1">
        <v>10209</v>
      </c>
      <c r="EY46" s="10">
        <v>292793</v>
      </c>
      <c r="EZ46" s="3">
        <v>211490</v>
      </c>
      <c r="FA46" s="3">
        <v>29544</v>
      </c>
      <c r="FB46" s="3">
        <v>46781</v>
      </c>
      <c r="FC46" s="201">
        <f t="shared" si="574"/>
        <v>51759</v>
      </c>
      <c r="FD46" s="174" t="s">
        <v>221</v>
      </c>
      <c r="FE46" s="175" t="s">
        <v>221</v>
      </c>
      <c r="FF46" s="175" t="s">
        <v>221</v>
      </c>
      <c r="FG46" s="175" t="s">
        <v>221</v>
      </c>
      <c r="FH46" s="174" t="s">
        <v>221</v>
      </c>
      <c r="FI46" s="175" t="s">
        <v>221</v>
      </c>
      <c r="FJ46" s="175" t="s">
        <v>221</v>
      </c>
      <c r="FK46" s="175" t="s">
        <v>221</v>
      </c>
      <c r="FL46" s="176" t="s">
        <v>221</v>
      </c>
      <c r="FM46" s="3">
        <v>2281797</v>
      </c>
      <c r="FN46" s="3">
        <v>2202579</v>
      </c>
      <c r="FO46" s="3">
        <v>35119</v>
      </c>
      <c r="FP46" s="3">
        <v>15251</v>
      </c>
      <c r="FQ46" s="8">
        <v>44099</v>
      </c>
      <c r="FR46" s="3">
        <v>2783000</v>
      </c>
      <c r="FS46" s="3">
        <v>2603670</v>
      </c>
      <c r="FT46" s="3">
        <v>66820</v>
      </c>
      <c r="FU46" s="3">
        <v>37406</v>
      </c>
      <c r="FV46" s="3">
        <v>112510</v>
      </c>
      <c r="FW46" s="127">
        <v>3070988</v>
      </c>
      <c r="FX46" s="3">
        <v>2790142</v>
      </c>
      <c r="FY46" s="3">
        <v>100313</v>
      </c>
      <c r="FZ46" s="3">
        <v>76323</v>
      </c>
      <c r="GA46" s="3">
        <v>59813</v>
      </c>
      <c r="GB46" s="10">
        <v>3116085</v>
      </c>
      <c r="GC46" s="3">
        <v>2862676</v>
      </c>
      <c r="GD46" s="3">
        <v>97533</v>
      </c>
      <c r="GE46" s="3">
        <v>155876</v>
      </c>
      <c r="GF46" s="3">
        <v>61987</v>
      </c>
      <c r="GG46" s="42">
        <v>3150406</v>
      </c>
      <c r="GH46" s="40">
        <v>2892732</v>
      </c>
      <c r="GI46" s="40">
        <v>97397</v>
      </c>
      <c r="GJ46" s="40">
        <v>160277</v>
      </c>
      <c r="GK46" s="40">
        <v>61664</v>
      </c>
      <c r="GL46" s="10">
        <v>3196254</v>
      </c>
      <c r="GM46" s="3">
        <v>2915255</v>
      </c>
      <c r="GN46" s="3">
        <v>110941</v>
      </c>
      <c r="GO46" s="3">
        <v>69221</v>
      </c>
      <c r="GP46" s="3">
        <v>137005</v>
      </c>
      <c r="GQ46" s="10">
        <v>3234835.7930000001</v>
      </c>
      <c r="GR46" s="3">
        <v>2941920.4440000001</v>
      </c>
      <c r="GS46" s="3">
        <v>114016.515</v>
      </c>
      <c r="GT46" s="3">
        <v>72438.773000000001</v>
      </c>
      <c r="GU46" s="373">
        <f t="shared" si="575"/>
        <v>178898.83399999992</v>
      </c>
      <c r="GV46" s="3">
        <v>3282868</v>
      </c>
      <c r="GW46" s="3">
        <v>2926344</v>
      </c>
      <c r="GX46" s="3">
        <v>119894</v>
      </c>
      <c r="GY46" s="3">
        <v>78532</v>
      </c>
      <c r="GZ46" s="3">
        <v>184117</v>
      </c>
      <c r="HA46" s="3">
        <v>3320015</v>
      </c>
      <c r="HB46" s="3">
        <v>2950134</v>
      </c>
      <c r="HC46" s="3">
        <v>123760</v>
      </c>
      <c r="HD46" s="3">
        <v>81226</v>
      </c>
      <c r="HE46" s="3">
        <v>192655</v>
      </c>
      <c r="HF46" s="3">
        <v>3400075</v>
      </c>
      <c r="HG46" s="3">
        <v>2991548</v>
      </c>
      <c r="HH46" s="3">
        <v>136782</v>
      </c>
      <c r="HI46" s="3">
        <v>86117</v>
      </c>
      <c r="HJ46" s="3">
        <v>215427</v>
      </c>
      <c r="HK46" s="3">
        <v>3433629</v>
      </c>
      <c r="HL46" s="3">
        <v>3011992</v>
      </c>
      <c r="HM46" s="3">
        <v>138285</v>
      </c>
      <c r="HN46" s="3">
        <v>88243</v>
      </c>
      <c r="HO46" s="3">
        <v>224671</v>
      </c>
      <c r="HP46" s="10">
        <v>3461395</v>
      </c>
      <c r="HQ46" s="3">
        <v>3028957</v>
      </c>
      <c r="HR46" s="3">
        <v>147200</v>
      </c>
      <c r="HS46" s="3">
        <v>88579</v>
      </c>
      <c r="HT46" s="3">
        <v>231742</v>
      </c>
      <c r="HU46" s="394">
        <v>121596</v>
      </c>
      <c r="HV46" s="1">
        <v>0</v>
      </c>
      <c r="HW46" s="1">
        <v>29808</v>
      </c>
      <c r="HX46" s="1">
        <v>47939</v>
      </c>
      <c r="HY46" s="1">
        <v>32399</v>
      </c>
      <c r="HZ46" s="10">
        <v>3516782</v>
      </c>
      <c r="IA46" s="3">
        <v>3052957</v>
      </c>
      <c r="IB46" s="3">
        <v>159611</v>
      </c>
      <c r="IC46" s="3">
        <v>96995</v>
      </c>
      <c r="ID46" s="3">
        <v>245313</v>
      </c>
      <c r="IE46" s="399">
        <v>3556424</v>
      </c>
      <c r="IF46" s="5"/>
      <c r="IG46" s="5"/>
      <c r="IH46" s="5"/>
      <c r="II46" s="5"/>
      <c r="IJ46" s="399">
        <v>3601522</v>
      </c>
      <c r="IK46" s="5">
        <v>3081399</v>
      </c>
      <c r="IL46" s="5">
        <v>170209</v>
      </c>
      <c r="IM46" s="5">
        <v>118706</v>
      </c>
      <c r="IN46" s="5">
        <v>277446</v>
      </c>
      <c r="IO46" s="399">
        <v>3669895</v>
      </c>
      <c r="IP46" s="5">
        <v>3069025</v>
      </c>
      <c r="IQ46" s="5">
        <v>178037</v>
      </c>
      <c r="IR46" s="5">
        <v>123311</v>
      </c>
      <c r="IS46" s="5">
        <v>400071</v>
      </c>
      <c r="IT46" s="1">
        <v>155407</v>
      </c>
      <c r="IU46" s="1">
        <v>0</v>
      </c>
      <c r="IV46" s="1">
        <v>24093</v>
      </c>
      <c r="IW46" s="1">
        <v>160173</v>
      </c>
      <c r="IX46" s="1">
        <v>60398</v>
      </c>
      <c r="IY46" s="380" t="s">
        <v>221</v>
      </c>
      <c r="IZ46" s="188" t="s">
        <v>221</v>
      </c>
      <c r="JA46" s="188" t="s">
        <v>221</v>
      </c>
      <c r="JB46" s="188" t="s">
        <v>221</v>
      </c>
      <c r="JC46" s="635" t="s">
        <v>221</v>
      </c>
      <c r="JD46" s="5">
        <v>763948</v>
      </c>
      <c r="JE46" s="5">
        <v>735177</v>
      </c>
      <c r="JF46" s="5">
        <v>13879</v>
      </c>
      <c r="JG46" s="5">
        <v>5849</v>
      </c>
      <c r="JH46" s="408">
        <v>14892</v>
      </c>
      <c r="JI46" s="5">
        <v>1002246</v>
      </c>
      <c r="JJ46" s="5">
        <v>935016</v>
      </c>
      <c r="JK46" s="5">
        <v>28253</v>
      </c>
      <c r="JL46" s="5">
        <v>13493</v>
      </c>
      <c r="JM46" s="408">
        <v>38977</v>
      </c>
      <c r="JN46" s="5">
        <v>1071906</v>
      </c>
      <c r="JO46" s="5">
        <v>979009</v>
      </c>
      <c r="JP46" s="5">
        <v>35789</v>
      </c>
      <c r="JQ46" s="5">
        <v>18254</v>
      </c>
      <c r="JR46" s="5">
        <v>47081</v>
      </c>
      <c r="JS46" s="5">
        <v>1130137</v>
      </c>
      <c r="JT46" s="5">
        <v>1027633</v>
      </c>
      <c r="JU46" s="5">
        <v>47756</v>
      </c>
      <c r="JV46" s="5">
        <v>22102</v>
      </c>
      <c r="JW46" s="408">
        <v>54748</v>
      </c>
      <c r="JX46" s="5">
        <v>1146479.425</v>
      </c>
      <c r="JY46" s="5">
        <v>1041667.1100000001</v>
      </c>
      <c r="JZ46" s="5">
        <v>49622.282000000007</v>
      </c>
      <c r="KA46" s="5">
        <v>23271.105</v>
      </c>
      <c r="KB46" s="408">
        <v>55190.032999999938</v>
      </c>
      <c r="KC46" s="5">
        <v>1165821</v>
      </c>
      <c r="KD46" s="5">
        <v>1038753</v>
      </c>
      <c r="KE46" s="5">
        <v>52681</v>
      </c>
      <c r="KF46" s="5">
        <v>25323</v>
      </c>
      <c r="KG46" s="439">
        <v>57877</v>
      </c>
      <c r="KH46" s="439">
        <v>1177116</v>
      </c>
      <c r="KI46" s="439">
        <v>1044087</v>
      </c>
      <c r="KJ46" s="439">
        <v>54862</v>
      </c>
      <c r="KK46" s="439">
        <v>26211</v>
      </c>
      <c r="KL46" s="439">
        <v>61178</v>
      </c>
      <c r="KM46" s="439">
        <v>1198164</v>
      </c>
      <c r="KN46" s="439">
        <v>1052301</v>
      </c>
      <c r="KO46" s="439">
        <v>58141</v>
      </c>
      <c r="KP46" s="439">
        <v>27279</v>
      </c>
      <c r="KQ46" s="439">
        <v>70496</v>
      </c>
      <c r="KR46" s="439">
        <v>1208452</v>
      </c>
      <c r="KS46" s="439">
        <v>1054063</v>
      </c>
      <c r="KT46" s="439">
        <v>61138</v>
      </c>
      <c r="KU46" s="439">
        <v>30026</v>
      </c>
      <c r="KV46" s="439">
        <v>71714</v>
      </c>
      <c r="KW46" s="630">
        <v>1226474</v>
      </c>
      <c r="KX46" s="439">
        <v>1065049</v>
      </c>
      <c r="KY46" s="439">
        <v>65237</v>
      </c>
      <c r="KZ46" s="439">
        <v>30639</v>
      </c>
      <c r="LA46" s="439">
        <v>76101</v>
      </c>
      <c r="LB46" s="652">
        <v>1215748</v>
      </c>
      <c r="LC46" s="653">
        <v>1050663</v>
      </c>
      <c r="LD46" s="653">
        <v>67667</v>
      </c>
      <c r="LE46" s="653">
        <v>34866</v>
      </c>
      <c r="LF46" s="653">
        <v>77656</v>
      </c>
      <c r="LG46" s="652">
        <v>1237009</v>
      </c>
      <c r="LH46" s="653"/>
      <c r="LI46" s="439"/>
      <c r="LJ46" s="439"/>
      <c r="LK46" s="439"/>
      <c r="LL46" s="652">
        <v>1228299</v>
      </c>
      <c r="LM46" s="653">
        <v>1048912</v>
      </c>
      <c r="LN46" s="653">
        <v>66928</v>
      </c>
      <c r="LO46" s="653">
        <v>40678</v>
      </c>
      <c r="LP46" s="653">
        <v>87841</v>
      </c>
      <c r="LQ46" s="652">
        <v>1243951</v>
      </c>
      <c r="LR46" s="653">
        <v>1037760</v>
      </c>
      <c r="LS46" s="653">
        <v>67516</v>
      </c>
      <c r="LT46" s="653">
        <v>42948</v>
      </c>
      <c r="LU46" s="653">
        <v>129963</v>
      </c>
      <c r="LV46" s="1">
        <v>41798</v>
      </c>
      <c r="LW46" s="1">
        <v>0</v>
      </c>
      <c r="LX46" s="1">
        <v>9851</v>
      </c>
      <c r="LY46" s="1">
        <v>60032</v>
      </c>
      <c r="LZ46" s="1">
        <v>18282</v>
      </c>
      <c r="MA46" s="10">
        <v>237156</v>
      </c>
      <c r="MB46" s="3">
        <v>229723</v>
      </c>
      <c r="MC46" s="3">
        <v>2892</v>
      </c>
      <c r="MD46" s="3">
        <v>1671</v>
      </c>
      <c r="ME46" s="8">
        <v>4541</v>
      </c>
      <c r="MF46" s="3">
        <v>243093</v>
      </c>
      <c r="MG46" s="3">
        <v>228145</v>
      </c>
      <c r="MH46" s="3">
        <v>5688</v>
      </c>
      <c r="MI46" s="3">
        <v>2825</v>
      </c>
      <c r="MJ46" s="8">
        <v>9260</v>
      </c>
      <c r="MK46" s="3">
        <v>322076</v>
      </c>
      <c r="ML46" s="3">
        <v>296980</v>
      </c>
      <c r="MM46" s="3">
        <v>9214</v>
      </c>
      <c r="MN46" s="3">
        <v>4350</v>
      </c>
      <c r="MO46" s="3">
        <v>13281</v>
      </c>
      <c r="MP46" s="10">
        <v>339807</v>
      </c>
      <c r="MQ46" s="3">
        <v>312298</v>
      </c>
      <c r="MR46" s="3">
        <v>12718</v>
      </c>
      <c r="MS46" s="3">
        <v>5535</v>
      </c>
      <c r="MT46" s="3">
        <v>14791</v>
      </c>
      <c r="MU46" s="10"/>
      <c r="MV46" s="3"/>
      <c r="MW46" s="3"/>
      <c r="MX46" s="3"/>
      <c r="MY46" s="8"/>
      <c r="MZ46" s="3">
        <v>366569</v>
      </c>
      <c r="NA46" s="3">
        <v>331734</v>
      </c>
      <c r="NB46" s="3">
        <v>13897</v>
      </c>
      <c r="NC46" s="3">
        <v>7004</v>
      </c>
      <c r="ND46" s="3">
        <v>16231</v>
      </c>
      <c r="NE46" s="3">
        <v>377276</v>
      </c>
      <c r="NF46" s="3">
        <v>341093</v>
      </c>
      <c r="NG46" s="3">
        <v>13353</v>
      </c>
      <c r="NH46" s="3">
        <v>7042</v>
      </c>
      <c r="NI46" s="3">
        <v>18212</v>
      </c>
      <c r="NJ46" s="3">
        <v>404201</v>
      </c>
      <c r="NK46" s="3">
        <v>362560</v>
      </c>
      <c r="NL46" s="3">
        <v>14537</v>
      </c>
      <c r="NM46" s="3">
        <v>8575</v>
      </c>
      <c r="NN46" s="3">
        <v>109497</v>
      </c>
      <c r="NO46" s="3">
        <v>413953</v>
      </c>
      <c r="NP46" s="3">
        <v>373470</v>
      </c>
      <c r="NQ46" s="3">
        <v>14203</v>
      </c>
      <c r="NR46" s="3">
        <v>5704</v>
      </c>
      <c r="NS46" s="3">
        <v>22730</v>
      </c>
      <c r="NT46" s="3">
        <v>429762</v>
      </c>
      <c r="NU46" s="3">
        <v>382328</v>
      </c>
      <c r="NV46" s="3">
        <v>17198</v>
      </c>
      <c r="NW46" s="3">
        <v>7782</v>
      </c>
      <c r="NX46" s="3">
        <v>25021</v>
      </c>
      <c r="NY46" s="10">
        <v>426760</v>
      </c>
      <c r="NZ46" s="3">
        <v>375874</v>
      </c>
      <c r="OA46" s="3">
        <v>16386</v>
      </c>
      <c r="OB46" s="3">
        <v>11110</v>
      </c>
      <c r="OC46" s="3">
        <v>28368</v>
      </c>
      <c r="OD46" s="10">
        <v>445513</v>
      </c>
      <c r="OE46" s="3"/>
      <c r="OF46" s="3"/>
      <c r="OG46" s="3"/>
      <c r="OH46" s="3"/>
      <c r="OI46" s="10">
        <v>442578</v>
      </c>
      <c r="OJ46" s="3">
        <v>385601</v>
      </c>
      <c r="OK46" s="3">
        <v>20205</v>
      </c>
      <c r="OL46" s="3">
        <v>12826</v>
      </c>
      <c r="OM46" s="3">
        <v>28935</v>
      </c>
      <c r="ON46" s="10">
        <v>459742</v>
      </c>
      <c r="OO46" s="3">
        <v>392110</v>
      </c>
      <c r="OP46" s="3">
        <v>21303</v>
      </c>
      <c r="OQ46" s="3">
        <v>13119</v>
      </c>
      <c r="OR46" s="3">
        <v>5301</v>
      </c>
      <c r="OS46" s="1">
        <v>14684</v>
      </c>
      <c r="OT46" s="1">
        <v>0</v>
      </c>
      <c r="OU46" s="1">
        <v>2978</v>
      </c>
      <c r="OV46" s="1">
        <v>20275</v>
      </c>
      <c r="OW46" s="1">
        <v>5301</v>
      </c>
      <c r="OX46" s="402">
        <f t="shared" si="576"/>
        <v>750391</v>
      </c>
      <c r="OY46" s="382">
        <f t="shared" si="577"/>
        <v>647921</v>
      </c>
      <c r="OZ46" s="382">
        <f t="shared" si="578"/>
        <v>12533</v>
      </c>
      <c r="PA46" s="382">
        <f t="shared" si="579"/>
        <v>61968</v>
      </c>
      <c r="PB46" s="382">
        <f t="shared" si="580"/>
        <v>31415</v>
      </c>
      <c r="PC46" s="402">
        <f t="shared" si="581"/>
        <v>1111175</v>
      </c>
      <c r="PD46" s="382">
        <f t="shared" si="582"/>
        <v>1042972</v>
      </c>
      <c r="PE46" s="382">
        <f t="shared" si="583"/>
        <v>21501</v>
      </c>
      <c r="PF46" s="382">
        <f t="shared" si="584"/>
        <v>11853</v>
      </c>
      <c r="PG46" s="382">
        <f t="shared" si="585"/>
        <v>46702</v>
      </c>
      <c r="PH46" s="10">
        <v>1270630</v>
      </c>
      <c r="PI46" s="3">
        <v>1166430</v>
      </c>
      <c r="PJ46" s="3">
        <v>35425</v>
      </c>
      <c r="PK46" s="3">
        <v>19431</v>
      </c>
      <c r="PL46" s="3">
        <v>68775</v>
      </c>
      <c r="PM46" s="3">
        <v>1356595</v>
      </c>
      <c r="PN46" s="3">
        <v>1242021</v>
      </c>
      <c r="PO46" s="3">
        <v>32210</v>
      </c>
      <c r="PP46" s="3">
        <v>19352</v>
      </c>
      <c r="PQ46" s="3">
        <v>70363</v>
      </c>
      <c r="PR46" s="399"/>
      <c r="PS46" s="5"/>
      <c r="PT46" s="5"/>
      <c r="PU46" s="5"/>
      <c r="PV46" s="5"/>
      <c r="PW46" s="5">
        <v>1526846</v>
      </c>
      <c r="PX46" s="5">
        <v>1375636</v>
      </c>
      <c r="PY46" s="5">
        <v>41922</v>
      </c>
      <c r="PZ46" s="5">
        <v>26190</v>
      </c>
      <c r="QA46" s="408">
        <v>90597</v>
      </c>
      <c r="QB46" s="5">
        <v>1566609</v>
      </c>
      <c r="QC46" s="5">
        <v>1408107</v>
      </c>
      <c r="QD46" s="5">
        <v>43037</v>
      </c>
      <c r="QE46" s="5">
        <v>27381</v>
      </c>
      <c r="QF46" s="5">
        <v>96650</v>
      </c>
      <c r="QG46" s="5">
        <v>1662735</v>
      </c>
      <c r="QH46" s="5">
        <v>1486454</v>
      </c>
      <c r="QI46" s="5">
        <v>46017</v>
      </c>
      <c r="QJ46" s="5">
        <v>29655</v>
      </c>
      <c r="QK46" s="5">
        <v>109497</v>
      </c>
      <c r="QL46" s="399">
        <v>1697960</v>
      </c>
      <c r="QM46" s="5">
        <v>1513458</v>
      </c>
      <c r="QN46" s="5">
        <v>46802</v>
      </c>
      <c r="QO46" s="5">
        <v>29548</v>
      </c>
      <c r="QP46" s="5">
        <v>117677</v>
      </c>
      <c r="QQ46" s="399">
        <v>1726746</v>
      </c>
      <c r="QR46" s="5">
        <v>1533859</v>
      </c>
      <c r="QS46" s="5">
        <v>54538</v>
      </c>
      <c r="QT46" s="5">
        <v>29260</v>
      </c>
      <c r="QU46" s="5">
        <v>118267</v>
      </c>
      <c r="QV46" s="399">
        <v>1788886</v>
      </c>
      <c r="QW46" s="5">
        <v>1575334</v>
      </c>
      <c r="QX46" s="5">
        <v>59537</v>
      </c>
      <c r="QY46" s="5">
        <v>35785</v>
      </c>
      <c r="QZ46" s="5">
        <v>131270</v>
      </c>
      <c r="RA46" s="399">
        <v>1843641</v>
      </c>
      <c r="RB46" s="5"/>
      <c r="RC46" s="5"/>
      <c r="RD46" s="5"/>
      <c r="RE46" s="5"/>
      <c r="RF46" s="5">
        <v>1875804</v>
      </c>
      <c r="RG46" s="5">
        <v>1630387</v>
      </c>
      <c r="RH46" s="5">
        <v>65272</v>
      </c>
      <c r="RI46" s="5">
        <v>48883</v>
      </c>
      <c r="RJ46" s="5">
        <v>147922</v>
      </c>
      <c r="RK46" s="5">
        <v>1976168</v>
      </c>
      <c r="RL46" s="5">
        <v>1684783</v>
      </c>
      <c r="RM46" s="5">
        <v>73334</v>
      </c>
      <c r="RN46" s="5">
        <v>51109</v>
      </c>
      <c r="RO46" s="5">
        <v>206480</v>
      </c>
      <c r="RP46" s="1">
        <v>96538</v>
      </c>
      <c r="RQ46" s="1">
        <v>0</v>
      </c>
      <c r="RR46" s="1">
        <v>6964</v>
      </c>
      <c r="RS46" s="1">
        <v>78331</v>
      </c>
      <c r="RT46" s="1">
        <v>24647</v>
      </c>
      <c r="RU46" s="10">
        <v>431381</v>
      </c>
      <c r="RV46" s="3">
        <v>418198</v>
      </c>
      <c r="RW46" s="3">
        <v>5655</v>
      </c>
      <c r="RX46" s="3">
        <v>2241</v>
      </c>
      <c r="RY46" s="3">
        <v>7528</v>
      </c>
      <c r="RZ46" s="10">
        <v>605210</v>
      </c>
      <c r="SA46" s="3">
        <v>573129</v>
      </c>
      <c r="SB46" s="3">
        <v>10688</v>
      </c>
      <c r="SC46" s="3">
        <v>5445</v>
      </c>
      <c r="SD46" s="3">
        <v>21393</v>
      </c>
      <c r="SE46" s="10">
        <v>705780</v>
      </c>
      <c r="SF46" s="3">
        <v>650147</v>
      </c>
      <c r="SG46" s="3">
        <v>15539</v>
      </c>
      <c r="SH46" s="3">
        <v>10391</v>
      </c>
      <c r="SI46" s="3">
        <v>33888</v>
      </c>
      <c r="SJ46" s="10">
        <v>747417</v>
      </c>
      <c r="SK46" s="3">
        <v>691898</v>
      </c>
      <c r="SL46" s="3">
        <v>17240</v>
      </c>
      <c r="SM46" s="3">
        <v>10755</v>
      </c>
      <c r="SN46" s="3">
        <v>38279</v>
      </c>
      <c r="SO46" s="10">
        <v>758440.23499999999</v>
      </c>
      <c r="SP46" s="3">
        <v>700757.87399999995</v>
      </c>
      <c r="SQ46" s="3">
        <v>17066.623</v>
      </c>
      <c r="SR46" s="3">
        <v>10740.51</v>
      </c>
      <c r="SS46" s="3">
        <v>40615.738000000034</v>
      </c>
      <c r="ST46" s="10">
        <v>784544</v>
      </c>
      <c r="SU46" s="3">
        <v>715964</v>
      </c>
      <c r="SV46" s="3">
        <v>18050</v>
      </c>
      <c r="SW46" s="3">
        <v>12089</v>
      </c>
      <c r="SX46" s="3">
        <v>41551</v>
      </c>
      <c r="SY46" s="3">
        <v>800158</v>
      </c>
      <c r="SZ46" s="3">
        <v>726393</v>
      </c>
      <c r="TA46" s="3">
        <v>19323</v>
      </c>
      <c r="TB46" s="3">
        <v>12940</v>
      </c>
      <c r="TC46" s="3">
        <v>45571</v>
      </c>
      <c r="TD46" s="3">
        <v>834094</v>
      </c>
      <c r="TE46" s="3">
        <v>755416</v>
      </c>
      <c r="TF46" s="3">
        <v>18462</v>
      </c>
      <c r="TG46" s="3">
        <v>14651</v>
      </c>
      <c r="TH46" s="3">
        <v>49866</v>
      </c>
      <c r="TI46" s="3">
        <v>847584</v>
      </c>
      <c r="TJ46" s="3">
        <v>762718</v>
      </c>
      <c r="TK46" s="3">
        <v>20314</v>
      </c>
      <c r="TL46" s="3">
        <v>16186</v>
      </c>
      <c r="TM46" s="3">
        <v>53911</v>
      </c>
      <c r="TN46" s="3">
        <v>860125</v>
      </c>
      <c r="TO46" s="3">
        <v>773477</v>
      </c>
      <c r="TP46" s="3">
        <v>24011</v>
      </c>
      <c r="TQ46" s="3">
        <v>13953</v>
      </c>
      <c r="TR46" s="3">
        <v>53393</v>
      </c>
      <c r="TS46" s="10">
        <v>888880</v>
      </c>
      <c r="TT46" s="3">
        <v>791427</v>
      </c>
      <c r="TU46" s="3">
        <v>27685</v>
      </c>
      <c r="TV46" s="3">
        <v>17483</v>
      </c>
      <c r="TW46" s="3">
        <v>58310</v>
      </c>
      <c r="TX46" s="10">
        <v>920850</v>
      </c>
      <c r="TY46" s="3"/>
      <c r="TZ46" s="3"/>
      <c r="UA46" s="3"/>
      <c r="UB46" s="3"/>
      <c r="UC46" s="10">
        <v>942830</v>
      </c>
      <c r="UD46" s="3">
        <v>828076</v>
      </c>
      <c r="UE46" s="3">
        <v>29718</v>
      </c>
      <c r="UF46" s="3">
        <v>22790</v>
      </c>
      <c r="UG46" s="3">
        <v>70534</v>
      </c>
      <c r="UH46" s="10">
        <v>993883</v>
      </c>
      <c r="UI46" s="3">
        <v>859032</v>
      </c>
      <c r="UJ46" s="3">
        <v>34252</v>
      </c>
      <c r="UK46" s="3">
        <v>24968</v>
      </c>
      <c r="UL46" s="3">
        <v>95445</v>
      </c>
      <c r="UM46" s="1">
        <v>41800</v>
      </c>
      <c r="UN46" s="1">
        <v>0</v>
      </c>
      <c r="UO46" s="1">
        <v>2005</v>
      </c>
      <c r="UP46" s="1">
        <v>38772</v>
      </c>
      <c r="UQ46" s="1">
        <v>19346</v>
      </c>
      <c r="UR46" s="588">
        <f t="shared" si="586"/>
        <v>137448</v>
      </c>
      <c r="US46" s="40">
        <v>84246</v>
      </c>
      <c r="UT46" s="40">
        <v>53202</v>
      </c>
      <c r="UU46" s="588">
        <f t="shared" si="587"/>
        <v>1621</v>
      </c>
      <c r="UV46" s="40">
        <v>1076</v>
      </c>
      <c r="UW46" s="40">
        <v>545</v>
      </c>
      <c r="UX46" s="42">
        <v>220475</v>
      </c>
      <c r="UY46" s="588">
        <f t="shared" si="588"/>
        <v>131900</v>
      </c>
      <c r="UZ46" s="588">
        <f t="shared" si="589"/>
        <v>88575</v>
      </c>
      <c r="VA46" s="588">
        <f t="shared" si="590"/>
        <v>217750</v>
      </c>
      <c r="VB46" s="40">
        <v>130118</v>
      </c>
      <c r="VC46" s="40">
        <v>87632</v>
      </c>
      <c r="VD46" s="588">
        <f t="shared" si="591"/>
        <v>1379</v>
      </c>
      <c r="VE46" s="40">
        <v>863</v>
      </c>
      <c r="VF46" s="40">
        <v>516</v>
      </c>
      <c r="VG46" s="588">
        <f t="shared" si="592"/>
        <v>1346</v>
      </c>
      <c r="VH46" s="40">
        <v>919</v>
      </c>
      <c r="VI46" s="40">
        <v>427</v>
      </c>
      <c r="VJ46" s="42">
        <v>407281</v>
      </c>
      <c r="VK46" s="588">
        <f t="shared" si="593"/>
        <v>235447</v>
      </c>
      <c r="VL46" s="588">
        <f t="shared" si="594"/>
        <v>171834</v>
      </c>
      <c r="VM46" s="240">
        <f t="shared" si="595"/>
        <v>395454</v>
      </c>
      <c r="VN46" s="40">
        <v>228366</v>
      </c>
      <c r="VO46" s="40">
        <v>167088</v>
      </c>
      <c r="VP46" s="40">
        <v>7081</v>
      </c>
      <c r="VQ46" s="40">
        <v>4746</v>
      </c>
      <c r="VR46" s="240">
        <f t="shared" si="596"/>
        <v>3993</v>
      </c>
      <c r="VS46" s="40">
        <v>2428</v>
      </c>
      <c r="VT46" s="40">
        <v>1565</v>
      </c>
      <c r="VU46" s="240">
        <f t="shared" si="597"/>
        <v>1779</v>
      </c>
      <c r="VV46" s="40">
        <v>1115</v>
      </c>
      <c r="VW46" s="40">
        <v>664</v>
      </c>
      <c r="VX46" s="233">
        <f t="shared" si="598"/>
        <v>6055</v>
      </c>
      <c r="VY46" s="233">
        <f t="shared" si="599"/>
        <v>3538</v>
      </c>
      <c r="VZ46" s="233">
        <f t="shared" si="600"/>
        <v>2517</v>
      </c>
      <c r="WA46" s="234">
        <f t="shared" si="601"/>
        <v>247</v>
      </c>
      <c r="WB46" s="234">
        <f t="shared" si="602"/>
        <v>150</v>
      </c>
      <c r="WC46" s="234">
        <f t="shared" si="603"/>
        <v>97</v>
      </c>
      <c r="WD46" s="40">
        <v>5808</v>
      </c>
      <c r="WE46" s="40">
        <v>3388</v>
      </c>
      <c r="WF46" s="40">
        <v>2420</v>
      </c>
      <c r="WG46" s="12">
        <f t="shared" si="604"/>
        <v>513235</v>
      </c>
      <c r="WH46" s="588">
        <f t="shared" si="605"/>
        <v>324772</v>
      </c>
      <c r="WI46" s="588">
        <f t="shared" si="606"/>
        <v>279812</v>
      </c>
      <c r="WJ46" s="11">
        <f t="shared" si="607"/>
        <v>418198</v>
      </c>
      <c r="WK46" s="90">
        <f t="shared" si="608"/>
        <v>580520</v>
      </c>
      <c r="WL46" s="40">
        <v>311073</v>
      </c>
      <c r="WM46" s="40">
        <v>269447</v>
      </c>
      <c r="WN46" s="40">
        <v>13699</v>
      </c>
      <c r="WO46" s="40">
        <v>10365</v>
      </c>
      <c r="WP46" s="11">
        <f t="shared" si="609"/>
        <v>9641</v>
      </c>
      <c r="WQ46" s="90">
        <f t="shared" si="610"/>
        <v>7936</v>
      </c>
      <c r="WR46" s="40">
        <v>4796</v>
      </c>
      <c r="WS46" s="40">
        <v>3140</v>
      </c>
      <c r="WT46" s="11">
        <f t="shared" si="611"/>
        <v>3682</v>
      </c>
      <c r="WU46" s="40">
        <v>1994</v>
      </c>
      <c r="WV46" s="40">
        <v>1688</v>
      </c>
      <c r="WW46" s="9">
        <f t="shared" si="612"/>
        <v>26874</v>
      </c>
      <c r="WX46" s="235">
        <f t="shared" si="613"/>
        <v>6909</v>
      </c>
      <c r="WY46" s="235">
        <f t="shared" si="614"/>
        <v>5537</v>
      </c>
      <c r="WZ46" s="236">
        <f t="shared" si="615"/>
        <v>85</v>
      </c>
      <c r="XA46" s="236">
        <f t="shared" si="616"/>
        <v>36</v>
      </c>
      <c r="XB46" s="236">
        <f t="shared" si="617"/>
        <v>49</v>
      </c>
      <c r="XC46" s="589">
        <f t="shared" si="618"/>
        <v>12361</v>
      </c>
      <c r="XD46" s="589">
        <f t="shared" si="619"/>
        <v>6873</v>
      </c>
      <c r="XE46" s="589">
        <f t="shared" si="620"/>
        <v>5488</v>
      </c>
      <c r="XF46" s="40">
        <v>816</v>
      </c>
      <c r="XG46" s="40">
        <v>931</v>
      </c>
      <c r="XH46" s="40">
        <v>6057</v>
      </c>
      <c r="XI46" s="40">
        <v>4557</v>
      </c>
      <c r="XJ46" s="590">
        <v>868082</v>
      </c>
      <c r="XK46" s="40">
        <v>440833</v>
      </c>
      <c r="XL46" s="40">
        <v>427249</v>
      </c>
      <c r="XM46" s="5">
        <f t="shared" si="621"/>
        <v>814827</v>
      </c>
      <c r="XN46" s="5">
        <v>411707</v>
      </c>
      <c r="XO46" s="5">
        <v>403120</v>
      </c>
      <c r="XP46" s="84">
        <f t="shared" si="622"/>
        <v>809251</v>
      </c>
      <c r="XQ46" s="40">
        <v>408867</v>
      </c>
      <c r="XR46" s="40">
        <v>400384</v>
      </c>
      <c r="XS46" s="5">
        <f t="shared" si="623"/>
        <v>15813</v>
      </c>
      <c r="XT46" s="40">
        <v>8797</v>
      </c>
      <c r="XU46" s="40">
        <v>7016</v>
      </c>
      <c r="XV46" s="5">
        <f t="shared" si="624"/>
        <v>9028</v>
      </c>
      <c r="XW46" s="40">
        <v>4734</v>
      </c>
      <c r="XX46" s="40">
        <v>4294</v>
      </c>
      <c r="XY46" s="84">
        <f t="shared" si="625"/>
        <v>37442</v>
      </c>
      <c r="XZ46" s="84">
        <f t="shared" si="626"/>
        <v>20329</v>
      </c>
      <c r="YA46" s="84">
        <f t="shared" si="627"/>
        <v>17113</v>
      </c>
      <c r="YB46" s="587">
        <v>1034519</v>
      </c>
      <c r="YC46" s="40">
        <v>945041</v>
      </c>
      <c r="YD46" s="40">
        <v>22996</v>
      </c>
      <c r="YE46" s="40">
        <v>15002</v>
      </c>
      <c r="YF46" s="5">
        <v>57082</v>
      </c>
      <c r="YG46" s="10">
        <v>1062119</v>
      </c>
      <c r="YH46" s="3">
        <v>979575</v>
      </c>
      <c r="YI46" s="3">
        <v>23764</v>
      </c>
      <c r="YJ46" s="3">
        <v>58780</v>
      </c>
      <c r="YK46" s="3">
        <v>15994</v>
      </c>
      <c r="YL46" s="10">
        <v>1085453</v>
      </c>
      <c r="YM46" s="3">
        <v>998282</v>
      </c>
      <c r="YN46" s="3">
        <v>23734</v>
      </c>
      <c r="YO46" s="3">
        <v>63437</v>
      </c>
      <c r="YP46" s="3">
        <v>15536</v>
      </c>
      <c r="YQ46" s="10">
        <v>1103196</v>
      </c>
      <c r="YR46" s="3">
        <v>1009521</v>
      </c>
      <c r="YS46" s="3">
        <v>26471</v>
      </c>
      <c r="YT46" s="3">
        <v>67204</v>
      </c>
      <c r="YU46" s="3">
        <v>16474</v>
      </c>
      <c r="YV46" s="10">
        <v>1125313.6510000001</v>
      </c>
      <c r="YW46" s="3">
        <v>1025884.2749999999</v>
      </c>
      <c r="YX46" s="3">
        <v>26388.727999999999</v>
      </c>
      <c r="YY46" s="3">
        <v>16230.103999999999</v>
      </c>
      <c r="YZ46" s="3">
        <v>73040.648000000161</v>
      </c>
      <c r="ZA46" s="3">
        <v>1160277</v>
      </c>
      <c r="ZB46" s="3">
        <v>1043902</v>
      </c>
      <c r="ZC46" s="3">
        <v>28025</v>
      </c>
      <c r="ZD46" s="3">
        <v>19186</v>
      </c>
      <c r="ZE46" s="1">
        <v>74366</v>
      </c>
      <c r="ZF46" s="1">
        <v>1189333</v>
      </c>
      <c r="ZG46" s="1">
        <v>1067014</v>
      </c>
      <c r="ZH46" s="1">
        <v>29684</v>
      </c>
      <c r="ZI46" s="1">
        <v>20339</v>
      </c>
      <c r="ZJ46" s="1">
        <v>78438</v>
      </c>
      <c r="ZK46" s="1">
        <v>1258534</v>
      </c>
      <c r="ZL46" s="1">
        <v>1123894</v>
      </c>
      <c r="ZM46" s="1">
        <v>31480</v>
      </c>
      <c r="ZN46" s="1">
        <v>21080</v>
      </c>
      <c r="ZO46" s="1">
        <v>88071</v>
      </c>
      <c r="ZP46" s="1">
        <v>1284007</v>
      </c>
      <c r="ZQ46" s="1">
        <v>1139988</v>
      </c>
      <c r="ZR46" s="1">
        <v>32599</v>
      </c>
      <c r="ZS46" s="1">
        <v>23844</v>
      </c>
      <c r="ZT46" s="1">
        <v>94947</v>
      </c>
      <c r="ZU46" s="1">
        <v>1296984</v>
      </c>
      <c r="ZV46" s="1">
        <v>1151531</v>
      </c>
      <c r="ZW46" s="1">
        <v>37340</v>
      </c>
      <c r="ZX46" s="1">
        <v>21478</v>
      </c>
      <c r="ZY46" s="1">
        <v>93246</v>
      </c>
      <c r="ZZ46" s="394">
        <v>64444</v>
      </c>
      <c r="AAA46" s="1">
        <v>0</v>
      </c>
      <c r="AAB46" s="1">
        <v>4925</v>
      </c>
      <c r="AAC46" s="1">
        <v>17071</v>
      </c>
      <c r="AAD46" s="1">
        <v>6806</v>
      </c>
      <c r="AAE46" s="50">
        <v>1362126</v>
      </c>
      <c r="AAF46" s="1">
        <v>1199460</v>
      </c>
      <c r="AAG46" s="1">
        <v>43151</v>
      </c>
      <c r="AAH46" s="1">
        <v>24675</v>
      </c>
      <c r="AAI46" s="1">
        <v>102902</v>
      </c>
      <c r="AAJ46" s="50">
        <v>1398128</v>
      </c>
      <c r="AAK46" s="1"/>
      <c r="AAL46" s="1"/>
      <c r="AAM46" s="1"/>
      <c r="AAN46" s="1"/>
      <c r="AAO46" s="68">
        <v>1433226</v>
      </c>
      <c r="AAP46" s="37">
        <v>1244786</v>
      </c>
      <c r="AAQ46" s="37">
        <v>45067</v>
      </c>
      <c r="AAR46" s="37">
        <v>36057</v>
      </c>
      <c r="AAS46" s="37">
        <v>118987</v>
      </c>
      <c r="AAT46" s="68">
        <v>1516426</v>
      </c>
      <c r="AAU46" s="37">
        <v>1292673</v>
      </c>
      <c r="AAV46" s="37">
        <v>52031</v>
      </c>
      <c r="AAW46" s="37">
        <v>37990</v>
      </c>
      <c r="AAX46" s="37">
        <v>163242</v>
      </c>
      <c r="AAY46" s="1">
        <v>81854</v>
      </c>
      <c r="AAZ46" s="1">
        <v>0</v>
      </c>
      <c r="ABA46" s="1">
        <v>3986</v>
      </c>
      <c r="ABB46" s="1">
        <v>58056</v>
      </c>
      <c r="ABC46" s="1">
        <v>19346</v>
      </c>
      <c r="ABD46" s="10">
        <v>262872</v>
      </c>
      <c r="ABE46" s="3">
        <v>241698</v>
      </c>
      <c r="ABF46" s="3">
        <v>5125</v>
      </c>
      <c r="ABG46" s="3">
        <v>3583</v>
      </c>
      <c r="ABH46" s="3">
        <v>16049</v>
      </c>
      <c r="ABI46" s="10">
        <v>328739</v>
      </c>
      <c r="ABJ46" s="3">
        <v>294894</v>
      </c>
      <c r="ABK46" s="3">
        <v>7457</v>
      </c>
      <c r="ABL46" s="3">
        <v>4611</v>
      </c>
      <c r="ABM46" s="3">
        <v>23194</v>
      </c>
      <c r="ABN46" s="10">
        <v>355779</v>
      </c>
      <c r="ABO46" s="3">
        <v>317623</v>
      </c>
      <c r="ABP46" s="3">
        <v>9231</v>
      </c>
      <c r="ABQ46" s="3">
        <v>5719</v>
      </c>
      <c r="ABR46" s="3">
        <v>28925</v>
      </c>
      <c r="ABS46" s="10">
        <v>366873.41600000003</v>
      </c>
      <c r="ABT46" s="3">
        <v>325126.40100000001</v>
      </c>
      <c r="ABU46" s="3">
        <v>9322.1049999999996</v>
      </c>
      <c r="ABV46" s="3">
        <v>5489.5940000000001</v>
      </c>
      <c r="ABW46" s="8">
        <v>32424.910000000014</v>
      </c>
      <c r="ABX46" s="1">
        <v>375733</v>
      </c>
      <c r="ABY46" s="1">
        <v>327938</v>
      </c>
      <c r="ABZ46" s="1">
        <v>9975</v>
      </c>
      <c r="ACA46" s="1">
        <v>7097</v>
      </c>
      <c r="ACB46" s="49">
        <v>32815</v>
      </c>
      <c r="ACC46" s="1">
        <v>389175</v>
      </c>
      <c r="ACD46" s="1">
        <v>340621</v>
      </c>
      <c r="ACE46" s="1">
        <v>10361</v>
      </c>
      <c r="ACF46" s="1">
        <v>7399</v>
      </c>
      <c r="ACG46" s="1">
        <v>32867</v>
      </c>
      <c r="ACH46" s="1">
        <v>424440</v>
      </c>
      <c r="ACI46" s="1">
        <v>368478</v>
      </c>
      <c r="ACJ46" s="1">
        <v>13018</v>
      </c>
      <c r="ACK46" s="1">
        <v>6429</v>
      </c>
      <c r="ACL46" s="1">
        <v>38205</v>
      </c>
      <c r="ACM46" s="1">
        <v>436423</v>
      </c>
      <c r="ACN46" s="1">
        <v>377270</v>
      </c>
      <c r="ACO46" s="1">
        <v>12285</v>
      </c>
      <c r="ACP46" s="1">
        <v>7658</v>
      </c>
      <c r="ACQ46" s="1">
        <v>41036</v>
      </c>
      <c r="ACR46" s="1">
        <v>436859</v>
      </c>
      <c r="ACS46" s="1">
        <v>378054</v>
      </c>
      <c r="ACT46" s="1">
        <v>13329</v>
      </c>
      <c r="ACU46" s="1">
        <v>7525</v>
      </c>
      <c r="ACV46" s="1">
        <v>39853</v>
      </c>
      <c r="ADB46" s="50">
        <v>473246</v>
      </c>
      <c r="ADC46" s="1">
        <v>408033</v>
      </c>
      <c r="ADD46" s="1">
        <v>15466</v>
      </c>
      <c r="ADE46" s="1">
        <v>7192</v>
      </c>
      <c r="ADF46" s="1">
        <v>44592</v>
      </c>
      <c r="ADG46" s="50">
        <v>477278</v>
      </c>
      <c r="ADL46" s="50">
        <v>490396</v>
      </c>
      <c r="ADM46" s="1">
        <v>416710</v>
      </c>
      <c r="ADN46" s="1">
        <v>15349</v>
      </c>
      <c r="ADO46" s="1">
        <v>13267</v>
      </c>
      <c r="ADP46" s="1">
        <v>48453</v>
      </c>
      <c r="ADQ46" s="50">
        <v>522543</v>
      </c>
      <c r="ADR46" s="1">
        <v>433641</v>
      </c>
      <c r="ADS46" s="1">
        <v>17779</v>
      </c>
      <c r="ADT46" s="1">
        <v>13022</v>
      </c>
      <c r="ADU46" s="1">
        <v>67797</v>
      </c>
      <c r="ADV46" s="1">
        <v>40054</v>
      </c>
      <c r="ADW46" s="1">
        <v>0</v>
      </c>
      <c r="ADX46" s="1">
        <v>1981</v>
      </c>
      <c r="ADY46" s="1">
        <v>19284</v>
      </c>
      <c r="ADZ46" s="1">
        <v>6478</v>
      </c>
    </row>
    <row r="47" spans="1:806" ht="14.1">
      <c r="A47" s="38" t="s">
        <v>45</v>
      </c>
      <c r="B47" s="174" t="s">
        <v>221</v>
      </c>
      <c r="C47" s="175" t="s">
        <v>221</v>
      </c>
      <c r="D47" s="175" t="s">
        <v>221</v>
      </c>
      <c r="E47" s="175" t="s">
        <v>221</v>
      </c>
      <c r="F47" s="176" t="s">
        <v>221</v>
      </c>
      <c r="G47" s="3">
        <v>380613</v>
      </c>
      <c r="H47" s="3">
        <v>337790</v>
      </c>
      <c r="I47" s="3">
        <v>36749</v>
      </c>
      <c r="J47" s="3">
        <v>4523</v>
      </c>
      <c r="K47" s="8">
        <v>6074</v>
      </c>
      <c r="L47" s="3">
        <v>237618</v>
      </c>
      <c r="M47" s="3">
        <v>200974</v>
      </c>
      <c r="N47" s="3">
        <v>23195</v>
      </c>
      <c r="O47" s="3">
        <v>9870</v>
      </c>
      <c r="P47" s="8">
        <v>13449</v>
      </c>
      <c r="Q47" s="3">
        <v>195665</v>
      </c>
      <c r="R47" s="3">
        <v>152152</v>
      </c>
      <c r="S47" s="3">
        <v>19678</v>
      </c>
      <c r="T47" s="3">
        <v>16503</v>
      </c>
      <c r="U47" s="8">
        <v>15225</v>
      </c>
      <c r="V47" s="5">
        <v>177358</v>
      </c>
      <c r="W47" s="5">
        <v>144529</v>
      </c>
      <c r="X47" s="5">
        <v>17210</v>
      </c>
      <c r="Y47" s="5">
        <v>20331</v>
      </c>
      <c r="Z47" s="408">
        <v>15619</v>
      </c>
      <c r="AA47" s="5">
        <v>162333</v>
      </c>
      <c r="AB47" s="5">
        <v>118129</v>
      </c>
      <c r="AC47" s="5">
        <v>16260</v>
      </c>
      <c r="AD47" s="5">
        <v>19055</v>
      </c>
      <c r="AE47" s="5">
        <v>16649</v>
      </c>
      <c r="AF47" s="399">
        <v>155009</v>
      </c>
      <c r="AG47" s="5">
        <v>110717</v>
      </c>
      <c r="AH47" s="5">
        <v>16563</v>
      </c>
      <c r="AI47" s="5">
        <v>18891</v>
      </c>
      <c r="AJ47" s="490">
        <v>16251</v>
      </c>
      <c r="AK47" s="490">
        <v>145466</v>
      </c>
      <c r="AL47" s="490">
        <v>104925</v>
      </c>
      <c r="AM47" s="685">
        <v>14860</v>
      </c>
      <c r="AN47" s="685">
        <v>18321</v>
      </c>
      <c r="AO47" s="490">
        <v>15307</v>
      </c>
      <c r="AP47" s="394">
        <v>145571</v>
      </c>
      <c r="AQ47" s="394">
        <v>101423</v>
      </c>
      <c r="AR47" s="394">
        <v>14934</v>
      </c>
      <c r="AS47" s="394">
        <v>21008</v>
      </c>
      <c r="AT47" s="394">
        <v>16572</v>
      </c>
      <c r="AU47" s="393">
        <v>137315</v>
      </c>
      <c r="AV47" s="394">
        <v>96191</v>
      </c>
      <c r="AW47" s="394">
        <v>11818</v>
      </c>
      <c r="AX47" s="394">
        <v>18934</v>
      </c>
      <c r="AY47" s="394">
        <v>16985</v>
      </c>
      <c r="AZ47" s="1">
        <v>6415</v>
      </c>
      <c r="BA47" s="1">
        <v>0</v>
      </c>
      <c r="BB47" s="1">
        <v>1177</v>
      </c>
      <c r="BC47" s="1">
        <v>2035</v>
      </c>
      <c r="BD47" s="1">
        <v>7358</v>
      </c>
      <c r="BE47" s="393">
        <v>129072</v>
      </c>
      <c r="BF47" s="394">
        <v>93221</v>
      </c>
      <c r="BG47" s="394">
        <v>12276</v>
      </c>
      <c r="BH47" s="394">
        <v>17040</v>
      </c>
      <c r="BI47" s="394">
        <v>13280</v>
      </c>
      <c r="BJ47" s="393">
        <v>119915</v>
      </c>
      <c r="BK47" s="394"/>
      <c r="BL47" s="394"/>
      <c r="BM47" s="394"/>
      <c r="BN47" s="394"/>
      <c r="BO47" s="393">
        <v>122379</v>
      </c>
      <c r="BP47" s="394">
        <v>87996</v>
      </c>
      <c r="BQ47" s="394">
        <v>11577</v>
      </c>
      <c r="BR47" s="394">
        <v>16294</v>
      </c>
      <c r="BS47" s="394">
        <v>13348</v>
      </c>
      <c r="BT47" s="393">
        <v>107977</v>
      </c>
      <c r="BU47" s="394">
        <v>72047</v>
      </c>
      <c r="BV47" s="394">
        <v>11442</v>
      </c>
      <c r="BW47" s="394">
        <v>14643</v>
      </c>
      <c r="BX47" s="394">
        <v>5445</v>
      </c>
      <c r="BY47" s="1">
        <v>0</v>
      </c>
      <c r="BZ47" s="1">
        <v>834</v>
      </c>
      <c r="CA47" s="1">
        <v>10419</v>
      </c>
      <c r="CB47" s="1">
        <v>6005</v>
      </c>
      <c r="CC47" s="10">
        <v>477755</v>
      </c>
      <c r="CD47" s="3">
        <v>401590</v>
      </c>
      <c r="CE47" s="3">
        <v>69783</v>
      </c>
      <c r="CF47" s="3">
        <v>14643</v>
      </c>
      <c r="CG47" s="8">
        <v>6382</v>
      </c>
      <c r="CH47" s="3">
        <v>441477</v>
      </c>
      <c r="CI47" s="3">
        <v>355924</v>
      </c>
      <c r="CJ47" s="3">
        <v>69019</v>
      </c>
      <c r="CK47" s="3">
        <v>9763</v>
      </c>
      <c r="CL47" s="8">
        <v>16534</v>
      </c>
      <c r="CM47" s="1">
        <v>385567</v>
      </c>
      <c r="CN47" s="3">
        <v>301453</v>
      </c>
      <c r="CO47" s="3">
        <v>60902</v>
      </c>
      <c r="CP47" s="3">
        <v>11844</v>
      </c>
      <c r="CQ47" s="8">
        <v>17268</v>
      </c>
      <c r="CR47" s="3">
        <v>347983</v>
      </c>
      <c r="CS47" s="3">
        <v>273016</v>
      </c>
      <c r="CT47" s="3">
        <v>58372</v>
      </c>
      <c r="CU47" s="3">
        <v>14280</v>
      </c>
      <c r="CV47" s="8">
        <v>16595</v>
      </c>
      <c r="CW47" s="3">
        <v>338934</v>
      </c>
      <c r="CX47" s="3">
        <v>254855</v>
      </c>
      <c r="CY47" s="3">
        <v>57933</v>
      </c>
      <c r="CZ47" s="3">
        <v>16222</v>
      </c>
      <c r="DA47" s="3">
        <v>18079</v>
      </c>
      <c r="DB47" s="3">
        <v>325742</v>
      </c>
      <c r="DC47" s="3">
        <v>244978</v>
      </c>
      <c r="DD47" s="3">
        <v>54239</v>
      </c>
      <c r="DE47" s="3">
        <v>16231</v>
      </c>
      <c r="DF47" s="39">
        <v>18283</v>
      </c>
      <c r="DG47" s="39">
        <v>308360</v>
      </c>
      <c r="DH47" s="39">
        <v>232937</v>
      </c>
      <c r="DI47" s="39">
        <v>48017</v>
      </c>
      <c r="DJ47" s="39">
        <v>14571</v>
      </c>
      <c r="DK47" s="39">
        <v>19332</v>
      </c>
      <c r="DL47" s="39">
        <v>308053</v>
      </c>
      <c r="DM47" s="39">
        <v>230820</v>
      </c>
      <c r="DN47" s="39">
        <v>48983</v>
      </c>
      <c r="DO47" s="39">
        <v>16229</v>
      </c>
      <c r="DP47" s="39">
        <v>19398</v>
      </c>
      <c r="DQ47" s="39">
        <v>292624</v>
      </c>
      <c r="DR47" s="39">
        <v>220648</v>
      </c>
      <c r="DS47" s="39">
        <v>47133</v>
      </c>
      <c r="DT47" s="39">
        <v>14501</v>
      </c>
      <c r="DU47" s="39">
        <v>14718</v>
      </c>
      <c r="DV47" s="118">
        <v>298467</v>
      </c>
      <c r="DW47" s="39">
        <v>220593</v>
      </c>
      <c r="DX47" s="39">
        <v>52804</v>
      </c>
      <c r="DY47" s="39">
        <v>17337</v>
      </c>
      <c r="DZ47" s="39">
        <v>16587</v>
      </c>
      <c r="EA47" s="118">
        <v>278462</v>
      </c>
      <c r="EB47" s="39"/>
      <c r="EC47" s="39"/>
      <c r="ED47" s="39"/>
      <c r="EE47" s="39"/>
      <c r="EF47" s="118">
        <v>269436</v>
      </c>
      <c r="EG47" s="39">
        <v>200872</v>
      </c>
      <c r="EH47" s="39">
        <v>43480</v>
      </c>
      <c r="EI47" s="39">
        <v>14415</v>
      </c>
      <c r="EJ47" s="39">
        <v>16185</v>
      </c>
      <c r="EK47" s="118">
        <v>269436</v>
      </c>
      <c r="EL47" s="39">
        <v>200872</v>
      </c>
      <c r="EM47" s="39">
        <v>43480</v>
      </c>
      <c r="EN47" s="39">
        <v>14415</v>
      </c>
      <c r="EO47" s="39">
        <v>16185</v>
      </c>
      <c r="EP47" s="118">
        <v>247408</v>
      </c>
      <c r="EQ47" s="39">
        <v>172194</v>
      </c>
      <c r="ER47" s="39">
        <v>39320</v>
      </c>
      <c r="ES47" s="39">
        <v>16808</v>
      </c>
      <c r="ET47" s="1">
        <v>3151</v>
      </c>
      <c r="EU47" s="1">
        <v>0</v>
      </c>
      <c r="EV47" s="1">
        <v>1678</v>
      </c>
      <c r="EW47" s="1">
        <v>20982</v>
      </c>
      <c r="EX47" s="1">
        <v>7724</v>
      </c>
      <c r="EY47" s="10">
        <v>513506</v>
      </c>
      <c r="EZ47" s="3">
        <v>405143</v>
      </c>
      <c r="FA47" s="3">
        <v>74602</v>
      </c>
      <c r="FB47" s="3">
        <v>35363</v>
      </c>
      <c r="FC47" s="201">
        <f t="shared" si="574"/>
        <v>33761</v>
      </c>
      <c r="FD47" s="174" t="s">
        <v>221</v>
      </c>
      <c r="FE47" s="175" t="s">
        <v>221</v>
      </c>
      <c r="FF47" s="175" t="s">
        <v>221</v>
      </c>
      <c r="FG47" s="175" t="s">
        <v>221</v>
      </c>
      <c r="FH47" s="174" t="s">
        <v>221</v>
      </c>
      <c r="FI47" s="175" t="s">
        <v>221</v>
      </c>
      <c r="FJ47" s="175" t="s">
        <v>221</v>
      </c>
      <c r="FK47" s="175" t="s">
        <v>221</v>
      </c>
      <c r="FL47" s="176" t="s">
        <v>221</v>
      </c>
      <c r="FM47" s="3">
        <v>2433211</v>
      </c>
      <c r="FN47" s="3">
        <v>2200573</v>
      </c>
      <c r="FO47" s="3">
        <v>198288</v>
      </c>
      <c r="FP47" s="3">
        <v>21991</v>
      </c>
      <c r="FQ47" s="8">
        <v>34350</v>
      </c>
      <c r="FR47" s="3">
        <v>2955811</v>
      </c>
      <c r="FS47" s="3">
        <v>2603634</v>
      </c>
      <c r="FT47" s="3">
        <v>260963</v>
      </c>
      <c r="FU47" s="3">
        <v>37607</v>
      </c>
      <c r="FV47" s="3">
        <v>91214</v>
      </c>
      <c r="FW47" s="127">
        <v>3266107</v>
      </c>
      <c r="FX47" s="3">
        <v>2813275</v>
      </c>
      <c r="FY47" s="3">
        <v>333587</v>
      </c>
      <c r="FZ47" s="3">
        <v>69845</v>
      </c>
      <c r="GA47" s="3">
        <v>58001</v>
      </c>
      <c r="GB47" s="10">
        <v>3327600</v>
      </c>
      <c r="GC47" s="3">
        <v>2897612</v>
      </c>
      <c r="GD47" s="3">
        <v>308337</v>
      </c>
      <c r="GE47" s="3">
        <v>121651</v>
      </c>
      <c r="GF47" s="3">
        <v>59735</v>
      </c>
      <c r="GG47" s="42">
        <v>3384116</v>
      </c>
      <c r="GH47" s="40">
        <v>2947328</v>
      </c>
      <c r="GI47" s="40">
        <v>313358</v>
      </c>
      <c r="GJ47" s="40">
        <v>123430</v>
      </c>
      <c r="GK47" s="40">
        <v>62881</v>
      </c>
      <c r="GL47" s="10">
        <v>3418384</v>
      </c>
      <c r="GM47" s="3">
        <v>2964212</v>
      </c>
      <c r="GN47" s="3">
        <v>326643</v>
      </c>
      <c r="GO47" s="3">
        <v>66675</v>
      </c>
      <c r="GP47" s="3">
        <v>84966</v>
      </c>
      <c r="GQ47" s="10">
        <v>3471143.3680000002</v>
      </c>
      <c r="GR47" s="3">
        <v>2999423.5269999998</v>
      </c>
      <c r="GS47" s="3">
        <v>337562.31599999999</v>
      </c>
      <c r="GT47" s="3">
        <v>69989.920000000013</v>
      </c>
      <c r="GU47" s="373">
        <f t="shared" si="575"/>
        <v>134157.52500000049</v>
      </c>
      <c r="GV47" s="3">
        <v>3503974</v>
      </c>
      <c r="GW47" s="3">
        <v>2979961</v>
      </c>
      <c r="GX47" s="3">
        <v>340189</v>
      </c>
      <c r="GY47" s="3">
        <v>72955</v>
      </c>
      <c r="GZ47" s="3">
        <v>136177</v>
      </c>
      <c r="HA47" s="3">
        <v>3546504</v>
      </c>
      <c r="HB47" s="3">
        <v>3011882</v>
      </c>
      <c r="HC47" s="3">
        <v>344975</v>
      </c>
      <c r="HD47" s="3">
        <v>75853</v>
      </c>
      <c r="HE47" s="3">
        <v>139894</v>
      </c>
      <c r="HF47" s="3">
        <v>3622941</v>
      </c>
      <c r="HG47" s="3">
        <v>3047112</v>
      </c>
      <c r="HH47" s="3">
        <v>367034</v>
      </c>
      <c r="HI47" s="3">
        <v>82593</v>
      </c>
      <c r="HJ47" s="3">
        <v>151211</v>
      </c>
      <c r="HK47" s="3">
        <v>3643588</v>
      </c>
      <c r="HL47" s="3">
        <v>3066492</v>
      </c>
      <c r="HM47" s="3">
        <v>371497</v>
      </c>
      <c r="HN47" s="3">
        <v>82724</v>
      </c>
      <c r="HO47" s="3">
        <v>150515</v>
      </c>
      <c r="HP47" s="10">
        <v>3691075</v>
      </c>
      <c r="HQ47" s="3">
        <v>3093726</v>
      </c>
      <c r="HR47" s="3">
        <v>378960</v>
      </c>
      <c r="HS47" s="3">
        <v>89047</v>
      </c>
      <c r="HT47" s="3">
        <v>153560</v>
      </c>
      <c r="HU47" s="394">
        <v>67630</v>
      </c>
      <c r="HV47" s="1">
        <v>0</v>
      </c>
      <c r="HW47" s="1">
        <v>14748</v>
      </c>
      <c r="HX47" s="1">
        <v>48655</v>
      </c>
      <c r="HY47" s="1">
        <v>22527</v>
      </c>
      <c r="HZ47" s="10">
        <v>3722736</v>
      </c>
      <c r="IA47" s="3">
        <v>3117180</v>
      </c>
      <c r="IB47" s="3">
        <v>367165</v>
      </c>
      <c r="IC47" s="3">
        <v>94194</v>
      </c>
      <c r="ID47" s="3">
        <v>171800</v>
      </c>
      <c r="IE47" s="399">
        <v>3784410</v>
      </c>
      <c r="IF47" s="5"/>
      <c r="IG47" s="5"/>
      <c r="IH47" s="5"/>
      <c r="II47" s="5"/>
      <c r="IJ47" s="399">
        <v>3814347</v>
      </c>
      <c r="IK47" s="5">
        <v>3160430</v>
      </c>
      <c r="IL47" s="5">
        <v>395226</v>
      </c>
      <c r="IM47" s="5">
        <v>107469</v>
      </c>
      <c r="IN47" s="5">
        <v>184277</v>
      </c>
      <c r="IO47" s="399">
        <v>3871249</v>
      </c>
      <c r="IP47" s="5">
        <v>3124639</v>
      </c>
      <c r="IQ47" s="5">
        <v>372989</v>
      </c>
      <c r="IR47" s="5">
        <v>114707</v>
      </c>
      <c r="IS47" s="5">
        <v>345199</v>
      </c>
      <c r="IT47" s="1">
        <v>78309</v>
      </c>
      <c r="IU47" s="1">
        <v>0</v>
      </c>
      <c r="IV47" s="1">
        <v>10904</v>
      </c>
      <c r="IW47" s="1">
        <v>211744</v>
      </c>
      <c r="IX47" s="1">
        <v>44242</v>
      </c>
      <c r="IY47" s="380" t="s">
        <v>221</v>
      </c>
      <c r="IZ47" s="188" t="s">
        <v>221</v>
      </c>
      <c r="JA47" s="188" t="s">
        <v>221</v>
      </c>
      <c r="JB47" s="188" t="s">
        <v>221</v>
      </c>
      <c r="JC47" s="635" t="s">
        <v>221</v>
      </c>
      <c r="JD47" s="5">
        <v>756510</v>
      </c>
      <c r="JE47" s="5">
        <v>669580</v>
      </c>
      <c r="JF47" s="5">
        <v>76806</v>
      </c>
      <c r="JG47" s="5">
        <v>7871</v>
      </c>
      <c r="JH47" s="408">
        <v>10124</v>
      </c>
      <c r="JI47" s="5">
        <v>981665</v>
      </c>
      <c r="JJ47" s="5">
        <v>845300</v>
      </c>
      <c r="JK47" s="5">
        <v>106436</v>
      </c>
      <c r="JL47" s="5">
        <v>13503</v>
      </c>
      <c r="JM47" s="408">
        <v>29929</v>
      </c>
      <c r="JN47" s="5">
        <v>1047365</v>
      </c>
      <c r="JO47" s="5">
        <v>890574</v>
      </c>
      <c r="JP47" s="5">
        <v>115066</v>
      </c>
      <c r="JQ47" s="5">
        <v>16991</v>
      </c>
      <c r="JR47" s="5">
        <v>31788</v>
      </c>
      <c r="JS47" s="5">
        <v>1162423</v>
      </c>
      <c r="JT47" s="5">
        <v>987322</v>
      </c>
      <c r="JU47" s="5">
        <v>135497</v>
      </c>
      <c r="JV47" s="5">
        <v>22587</v>
      </c>
      <c r="JW47" s="408">
        <v>39604</v>
      </c>
      <c r="JX47" s="5">
        <v>1182258.693</v>
      </c>
      <c r="JY47" s="5">
        <v>1000942.698</v>
      </c>
      <c r="JZ47" s="5">
        <v>139723.59599999999</v>
      </c>
      <c r="KA47" s="5">
        <v>25364.768000000004</v>
      </c>
      <c r="KB47" s="408">
        <v>41592.399000000005</v>
      </c>
      <c r="KC47" s="5">
        <v>1193343</v>
      </c>
      <c r="KD47" s="5">
        <v>989377</v>
      </c>
      <c r="KE47" s="5">
        <v>142671</v>
      </c>
      <c r="KF47" s="5">
        <v>26113</v>
      </c>
      <c r="KG47" s="439">
        <v>44013</v>
      </c>
      <c r="KH47" s="439">
        <v>1211042</v>
      </c>
      <c r="KI47" s="439">
        <v>999410</v>
      </c>
      <c r="KJ47" s="439">
        <v>148811</v>
      </c>
      <c r="KK47" s="439">
        <v>28083</v>
      </c>
      <c r="KL47" s="439">
        <v>44029</v>
      </c>
      <c r="KM47" s="439">
        <v>1222475</v>
      </c>
      <c r="KN47" s="439">
        <v>1002805</v>
      </c>
      <c r="KO47" s="439">
        <v>153710</v>
      </c>
      <c r="KP47" s="439">
        <v>28841</v>
      </c>
      <c r="KQ47" s="439">
        <v>45834</v>
      </c>
      <c r="KR47" s="439">
        <v>1232775</v>
      </c>
      <c r="KS47" s="439">
        <v>1013163</v>
      </c>
      <c r="KT47" s="439">
        <v>154547</v>
      </c>
      <c r="KU47" s="439">
        <v>29865</v>
      </c>
      <c r="KV47" s="439">
        <v>43981</v>
      </c>
      <c r="KW47" s="630">
        <v>1253039</v>
      </c>
      <c r="KX47" s="439">
        <v>1025105</v>
      </c>
      <c r="KY47" s="439">
        <v>159610</v>
      </c>
      <c r="KZ47" s="439">
        <v>28887</v>
      </c>
      <c r="LA47" s="439">
        <v>46357</v>
      </c>
      <c r="LB47" s="652">
        <v>1239392</v>
      </c>
      <c r="LC47" s="653">
        <v>1014028</v>
      </c>
      <c r="LD47" s="653">
        <v>152463</v>
      </c>
      <c r="LE47" s="653">
        <v>33158</v>
      </c>
      <c r="LF47" s="653">
        <v>49097</v>
      </c>
      <c r="LG47" s="652">
        <v>1278269</v>
      </c>
      <c r="LH47" s="653"/>
      <c r="LI47" s="439"/>
      <c r="LJ47" s="439"/>
      <c r="LK47" s="439"/>
      <c r="LL47" s="652">
        <v>1234207</v>
      </c>
      <c r="LM47" s="653">
        <v>1011812</v>
      </c>
      <c r="LN47" s="653">
        <v>145379</v>
      </c>
      <c r="LO47" s="653">
        <v>39864</v>
      </c>
      <c r="LP47" s="653">
        <v>51181</v>
      </c>
      <c r="LQ47" s="652">
        <v>1226712</v>
      </c>
      <c r="LR47" s="653">
        <v>972596</v>
      </c>
      <c r="LS47" s="653">
        <v>137885</v>
      </c>
      <c r="LT47" s="653">
        <v>37891</v>
      </c>
      <c r="LU47" s="653">
        <v>105460</v>
      </c>
      <c r="LV47" s="1">
        <v>12723</v>
      </c>
      <c r="LW47" s="1">
        <v>0</v>
      </c>
      <c r="LX47" s="1">
        <v>4078</v>
      </c>
      <c r="LY47" s="1">
        <v>74806</v>
      </c>
      <c r="LZ47" s="1">
        <v>13853</v>
      </c>
      <c r="MA47" s="10">
        <v>149347</v>
      </c>
      <c r="MB47" s="3">
        <v>132358</v>
      </c>
      <c r="MC47" s="3">
        <v>14433</v>
      </c>
      <c r="MD47" s="3">
        <v>1787</v>
      </c>
      <c r="ME47" s="8">
        <v>2556</v>
      </c>
      <c r="MF47" s="3">
        <v>184666</v>
      </c>
      <c r="MG47" s="3">
        <v>159677</v>
      </c>
      <c r="MH47" s="3">
        <v>18884</v>
      </c>
      <c r="MI47" s="3">
        <v>2691</v>
      </c>
      <c r="MJ47" s="8">
        <v>6105</v>
      </c>
      <c r="MK47" s="3">
        <v>237268</v>
      </c>
      <c r="ML47" s="3">
        <v>201684</v>
      </c>
      <c r="MM47" s="3">
        <v>24804</v>
      </c>
      <c r="MN47" s="3">
        <v>4276</v>
      </c>
      <c r="MO47" s="3">
        <v>8221</v>
      </c>
      <c r="MP47" s="10">
        <v>263719</v>
      </c>
      <c r="MQ47" s="3">
        <v>225877</v>
      </c>
      <c r="MR47" s="3">
        <v>27650</v>
      </c>
      <c r="MS47" s="3">
        <v>5473</v>
      </c>
      <c r="MT47" s="3">
        <v>10192</v>
      </c>
      <c r="MU47" s="10"/>
      <c r="MV47" s="3"/>
      <c r="MW47" s="3"/>
      <c r="MX47" s="3"/>
      <c r="MY47" s="8"/>
      <c r="MZ47" s="3">
        <v>281346</v>
      </c>
      <c r="NA47" s="3">
        <v>234455</v>
      </c>
      <c r="NB47" s="3">
        <v>31859</v>
      </c>
      <c r="NC47" s="3">
        <v>5773</v>
      </c>
      <c r="ND47" s="3">
        <v>11265</v>
      </c>
      <c r="NE47" s="3">
        <v>293922</v>
      </c>
      <c r="NF47" s="3">
        <v>244000</v>
      </c>
      <c r="NG47" s="3">
        <v>34566</v>
      </c>
      <c r="NH47" s="3">
        <v>6588</v>
      </c>
      <c r="NI47" s="3">
        <v>11021</v>
      </c>
      <c r="NJ47" s="3">
        <v>304044</v>
      </c>
      <c r="NK47" s="3">
        <v>253765</v>
      </c>
      <c r="NL47" s="3">
        <v>33851</v>
      </c>
      <c r="NM47" s="3">
        <v>5988</v>
      </c>
      <c r="NN47" s="3">
        <v>77758</v>
      </c>
      <c r="NO47" s="3">
        <v>316815</v>
      </c>
      <c r="NP47" s="3">
        <v>264557</v>
      </c>
      <c r="NQ47" s="3">
        <v>34695</v>
      </c>
      <c r="NR47" s="3">
        <v>7060</v>
      </c>
      <c r="NS47" s="3">
        <v>12674</v>
      </c>
      <c r="NT47" s="3">
        <v>325244</v>
      </c>
      <c r="NU47" s="3">
        <v>271976</v>
      </c>
      <c r="NV47" s="3">
        <v>35674</v>
      </c>
      <c r="NW47" s="3">
        <v>7484</v>
      </c>
      <c r="NX47" s="3">
        <v>10766</v>
      </c>
      <c r="NY47" s="10">
        <v>326430</v>
      </c>
      <c r="NZ47" s="3">
        <v>272852</v>
      </c>
      <c r="OA47" s="3">
        <v>34139</v>
      </c>
      <c r="OB47" s="3">
        <v>8491</v>
      </c>
      <c r="OC47" s="3">
        <v>13518</v>
      </c>
      <c r="OD47" s="10">
        <v>341000</v>
      </c>
      <c r="OE47" s="3"/>
      <c r="OF47" s="3"/>
      <c r="OG47" s="3"/>
      <c r="OH47" s="3"/>
      <c r="OI47" s="10">
        <v>333721</v>
      </c>
      <c r="OJ47" s="3">
        <v>276049</v>
      </c>
      <c r="OK47" s="3">
        <v>35292</v>
      </c>
      <c r="OL47" s="3">
        <v>10836</v>
      </c>
      <c r="OM47" s="3">
        <v>15005</v>
      </c>
      <c r="ON47" s="10">
        <v>350837</v>
      </c>
      <c r="OO47" s="3">
        <v>279477</v>
      </c>
      <c r="OP47" s="3">
        <v>36126</v>
      </c>
      <c r="OQ47" s="3">
        <v>10691</v>
      </c>
      <c r="OR47" s="3">
        <v>2764</v>
      </c>
      <c r="OS47" s="1">
        <v>3620</v>
      </c>
      <c r="OT47" s="1">
        <v>0</v>
      </c>
      <c r="OU47" s="1">
        <v>853</v>
      </c>
      <c r="OV47" s="1">
        <v>24128</v>
      </c>
      <c r="OW47" s="1">
        <v>2764</v>
      </c>
      <c r="OX47" s="402">
        <f t="shared" si="576"/>
        <v>585174</v>
      </c>
      <c r="OY47" s="382">
        <f t="shared" si="577"/>
        <v>486404</v>
      </c>
      <c r="OZ47" s="382">
        <f t="shared" si="578"/>
        <v>40729</v>
      </c>
      <c r="PA47" s="382">
        <f t="shared" si="579"/>
        <v>68272</v>
      </c>
      <c r="PB47" s="382">
        <f t="shared" si="580"/>
        <v>23970</v>
      </c>
      <c r="PC47" s="402">
        <f t="shared" si="581"/>
        <v>969142</v>
      </c>
      <c r="PD47" s="382">
        <f t="shared" si="582"/>
        <v>864840</v>
      </c>
      <c r="PE47" s="382">
        <f t="shared" si="583"/>
        <v>65453</v>
      </c>
      <c r="PF47" s="382">
        <f t="shared" si="584"/>
        <v>11884</v>
      </c>
      <c r="PG47" s="382">
        <f t="shared" si="585"/>
        <v>38849</v>
      </c>
      <c r="PH47" s="10">
        <v>1071396</v>
      </c>
      <c r="PI47" s="3">
        <v>945563</v>
      </c>
      <c r="PJ47" s="3">
        <v>75299</v>
      </c>
      <c r="PK47" s="3">
        <v>20004</v>
      </c>
      <c r="PL47" s="3">
        <v>50534</v>
      </c>
      <c r="PM47" s="3">
        <v>1160691</v>
      </c>
      <c r="PN47" s="3">
        <v>1015179</v>
      </c>
      <c r="PO47" s="3">
        <v>81730</v>
      </c>
      <c r="PP47" s="3">
        <v>18732</v>
      </c>
      <c r="PQ47" s="3">
        <v>51905</v>
      </c>
      <c r="PR47" s="399"/>
      <c r="PS47" s="5"/>
      <c r="PT47" s="5"/>
      <c r="PU47" s="5"/>
      <c r="PV47" s="5"/>
      <c r="PW47" s="5">
        <v>1326147</v>
      </c>
      <c r="PX47" s="5">
        <v>1142822</v>
      </c>
      <c r="PY47" s="5">
        <v>99807</v>
      </c>
      <c r="PZ47" s="5">
        <v>25075</v>
      </c>
      <c r="QA47" s="408">
        <v>65473</v>
      </c>
      <c r="QB47" s="5">
        <v>1359725</v>
      </c>
      <c r="QC47" s="5">
        <v>1171271</v>
      </c>
      <c r="QD47" s="5">
        <v>102689</v>
      </c>
      <c r="QE47" s="5">
        <v>26091</v>
      </c>
      <c r="QF47" s="5">
        <v>67151</v>
      </c>
      <c r="QG47" s="5">
        <v>1424755</v>
      </c>
      <c r="QH47" s="5">
        <v>1216078</v>
      </c>
      <c r="QI47" s="5">
        <v>108018</v>
      </c>
      <c r="QJ47" s="5">
        <v>30039</v>
      </c>
      <c r="QK47" s="5">
        <v>77758</v>
      </c>
      <c r="QL47" s="399">
        <v>1457675</v>
      </c>
      <c r="QM47" s="5">
        <v>1247019</v>
      </c>
      <c r="QN47" s="5">
        <v>109166</v>
      </c>
      <c r="QO47" s="5">
        <v>29396</v>
      </c>
      <c r="QP47" s="5">
        <v>81162</v>
      </c>
      <c r="QQ47" s="399">
        <v>1497894</v>
      </c>
      <c r="QR47" s="5">
        <v>1277769</v>
      </c>
      <c r="QS47" s="5">
        <v>115625</v>
      </c>
      <c r="QT47" s="5">
        <v>31289</v>
      </c>
      <c r="QU47" s="5">
        <v>79034</v>
      </c>
      <c r="QV47" s="399">
        <v>1532269</v>
      </c>
      <c r="QW47" s="5">
        <v>1307290</v>
      </c>
      <c r="QX47" s="5">
        <v>108753</v>
      </c>
      <c r="QY47" s="5">
        <v>34162</v>
      </c>
      <c r="QZ47" s="5">
        <v>90273</v>
      </c>
      <c r="RA47" s="399">
        <v>1576894</v>
      </c>
      <c r="RB47" s="5"/>
      <c r="RC47" s="5"/>
      <c r="RD47" s="5"/>
      <c r="RE47" s="5"/>
      <c r="RF47" s="5">
        <v>1605002</v>
      </c>
      <c r="RG47" s="5">
        <v>1350527</v>
      </c>
      <c r="RH47" s="5">
        <v>123106</v>
      </c>
      <c r="RI47" s="5">
        <v>42431</v>
      </c>
      <c r="RJ47" s="5">
        <v>99367</v>
      </c>
      <c r="RK47" s="5">
        <v>1691480</v>
      </c>
      <c r="RL47" s="5">
        <v>1388612</v>
      </c>
      <c r="RM47" s="5">
        <v>125675</v>
      </c>
      <c r="RN47" s="5">
        <v>44275</v>
      </c>
      <c r="RO47" s="5">
        <v>164784</v>
      </c>
      <c r="RP47" s="1">
        <v>55769</v>
      </c>
      <c r="RQ47" s="1">
        <v>0</v>
      </c>
      <c r="RR47" s="1">
        <v>4366</v>
      </c>
      <c r="RS47" s="1">
        <v>87320</v>
      </c>
      <c r="RT47" s="1">
        <v>17329</v>
      </c>
      <c r="RU47" s="10">
        <v>383678</v>
      </c>
      <c r="RV47" s="3">
        <v>354046</v>
      </c>
      <c r="RW47" s="3">
        <v>22783</v>
      </c>
      <c r="RX47" s="3">
        <v>3293</v>
      </c>
      <c r="RY47" s="3">
        <v>6849</v>
      </c>
      <c r="RZ47" s="10">
        <v>507892</v>
      </c>
      <c r="SA47" s="3">
        <v>460640</v>
      </c>
      <c r="SB47" s="3">
        <v>30379</v>
      </c>
      <c r="SC47" s="3">
        <v>5716</v>
      </c>
      <c r="SD47" s="3">
        <v>16873</v>
      </c>
      <c r="SE47" s="10">
        <v>591563</v>
      </c>
      <c r="SF47" s="3">
        <v>525114</v>
      </c>
      <c r="SG47" s="3">
        <v>36618</v>
      </c>
      <c r="SH47" s="3">
        <v>9588</v>
      </c>
      <c r="SI47" s="3">
        <v>23928</v>
      </c>
      <c r="SJ47" s="10">
        <v>626641</v>
      </c>
      <c r="SK47" s="3">
        <v>562469</v>
      </c>
      <c r="SL47" s="3">
        <v>38805</v>
      </c>
      <c r="SM47" s="3">
        <v>11343</v>
      </c>
      <c r="SN47" s="3">
        <v>25367</v>
      </c>
      <c r="SO47" s="10">
        <v>640887.70900000003</v>
      </c>
      <c r="SP47" s="3">
        <v>571967.25600000005</v>
      </c>
      <c r="SQ47" s="3">
        <v>40392.072</v>
      </c>
      <c r="SR47" s="3">
        <v>11051.039999999999</v>
      </c>
      <c r="SS47" s="3">
        <v>28528.380999999979</v>
      </c>
      <c r="ST47" s="10">
        <v>655739</v>
      </c>
      <c r="SU47" s="3">
        <v>578393</v>
      </c>
      <c r="SV47" s="3">
        <v>41413</v>
      </c>
      <c r="SW47" s="3">
        <v>12021</v>
      </c>
      <c r="SX47" s="3">
        <v>27444</v>
      </c>
      <c r="SY47" s="3">
        <v>670037</v>
      </c>
      <c r="SZ47" s="3">
        <v>591349</v>
      </c>
      <c r="TA47" s="3">
        <v>41257</v>
      </c>
      <c r="TB47" s="3">
        <v>12328</v>
      </c>
      <c r="TC47" s="3">
        <v>28846</v>
      </c>
      <c r="TD47" s="3">
        <v>696669</v>
      </c>
      <c r="TE47" s="3">
        <v>607991</v>
      </c>
      <c r="TF47" s="3">
        <v>44016</v>
      </c>
      <c r="TG47" s="3">
        <v>14717</v>
      </c>
      <c r="TH47" s="3">
        <v>33094</v>
      </c>
      <c r="TI47" s="3">
        <v>706922</v>
      </c>
      <c r="TJ47" s="3">
        <v>614706</v>
      </c>
      <c r="TK47" s="3">
        <v>45021</v>
      </c>
      <c r="TL47" s="3">
        <v>15649</v>
      </c>
      <c r="TM47" s="3">
        <v>36734</v>
      </c>
      <c r="TN47" s="3">
        <v>729511</v>
      </c>
      <c r="TO47" s="3">
        <v>632108</v>
      </c>
      <c r="TP47" s="3">
        <v>51078</v>
      </c>
      <c r="TQ47" s="3">
        <v>16204</v>
      </c>
      <c r="TR47" s="3">
        <v>34050</v>
      </c>
      <c r="TS47" s="10">
        <v>743797</v>
      </c>
      <c r="TT47" s="3">
        <v>648808</v>
      </c>
      <c r="TU47" s="3">
        <v>44669</v>
      </c>
      <c r="TV47" s="3">
        <v>14572</v>
      </c>
      <c r="TW47" s="3">
        <v>38051</v>
      </c>
      <c r="TX47" s="10">
        <v>754906</v>
      </c>
      <c r="TY47" s="3"/>
      <c r="TZ47" s="3"/>
      <c r="UA47" s="3"/>
      <c r="UB47" s="3"/>
      <c r="UC47" s="10">
        <v>775808</v>
      </c>
      <c r="UD47" s="3">
        <v>663366</v>
      </c>
      <c r="UE47" s="3">
        <v>55564</v>
      </c>
      <c r="UF47" s="3">
        <v>19522</v>
      </c>
      <c r="UG47" s="3">
        <v>42286</v>
      </c>
      <c r="UH47" s="10">
        <v>823215</v>
      </c>
      <c r="UI47" s="3">
        <v>688632</v>
      </c>
      <c r="UJ47" s="3">
        <v>56673</v>
      </c>
      <c r="UK47" s="3">
        <v>20438</v>
      </c>
      <c r="UL47" s="3">
        <v>72912</v>
      </c>
      <c r="UM47" s="1">
        <v>22395</v>
      </c>
      <c r="UN47" s="1">
        <v>0</v>
      </c>
      <c r="UO47" s="1">
        <v>1991</v>
      </c>
      <c r="UP47" s="1">
        <v>38866</v>
      </c>
      <c r="UQ47" s="1">
        <v>14565</v>
      </c>
      <c r="UR47" s="588">
        <f t="shared" si="586"/>
        <v>148482</v>
      </c>
      <c r="US47" s="40">
        <v>90252</v>
      </c>
      <c r="UT47" s="40">
        <v>58230</v>
      </c>
      <c r="UU47" s="588">
        <f t="shared" si="587"/>
        <v>6916</v>
      </c>
      <c r="UV47" s="40">
        <v>3153</v>
      </c>
      <c r="UW47" s="40">
        <v>3763</v>
      </c>
      <c r="UX47" s="42">
        <v>233558</v>
      </c>
      <c r="UY47" s="588">
        <f t="shared" si="588"/>
        <v>137570</v>
      </c>
      <c r="UZ47" s="588">
        <f t="shared" si="589"/>
        <v>95988</v>
      </c>
      <c r="VA47" s="588">
        <f t="shared" si="590"/>
        <v>221609</v>
      </c>
      <c r="VB47" s="40">
        <v>132071</v>
      </c>
      <c r="VC47" s="40">
        <v>89538</v>
      </c>
      <c r="VD47" s="588">
        <f t="shared" si="591"/>
        <v>9448</v>
      </c>
      <c r="VE47" s="40">
        <v>3865</v>
      </c>
      <c r="VF47" s="40">
        <v>5583</v>
      </c>
      <c r="VG47" s="588">
        <f t="shared" si="592"/>
        <v>2501</v>
      </c>
      <c r="VH47" s="40">
        <v>1634</v>
      </c>
      <c r="VI47" s="40">
        <v>867</v>
      </c>
      <c r="VJ47" s="42">
        <v>405515</v>
      </c>
      <c r="VK47" s="588">
        <f t="shared" si="593"/>
        <v>233828</v>
      </c>
      <c r="VL47" s="588">
        <f t="shared" si="594"/>
        <v>171687</v>
      </c>
      <c r="VM47" s="240">
        <f t="shared" si="595"/>
        <v>375832</v>
      </c>
      <c r="VN47" s="40">
        <v>219254</v>
      </c>
      <c r="VO47" s="40">
        <v>156578</v>
      </c>
      <c r="VP47" s="40">
        <v>14574</v>
      </c>
      <c r="VQ47" s="40">
        <v>15109</v>
      </c>
      <c r="VR47" s="240">
        <f t="shared" si="596"/>
        <v>20156</v>
      </c>
      <c r="VS47" s="40">
        <v>8823</v>
      </c>
      <c r="VT47" s="40">
        <v>11333</v>
      </c>
      <c r="VU47" s="240">
        <f t="shared" si="597"/>
        <v>3236</v>
      </c>
      <c r="VV47" s="40">
        <v>1869</v>
      </c>
      <c r="VW47" s="40">
        <v>1367</v>
      </c>
      <c r="VX47" s="233">
        <f t="shared" si="598"/>
        <v>6291</v>
      </c>
      <c r="VY47" s="233">
        <f t="shared" si="599"/>
        <v>3882</v>
      </c>
      <c r="VZ47" s="233">
        <f t="shared" si="600"/>
        <v>2409</v>
      </c>
      <c r="WA47" s="234">
        <f t="shared" si="601"/>
        <v>388</v>
      </c>
      <c r="WB47" s="234">
        <f t="shared" si="602"/>
        <v>251</v>
      </c>
      <c r="WC47" s="234">
        <f t="shared" si="603"/>
        <v>137</v>
      </c>
      <c r="WD47" s="40">
        <v>5903</v>
      </c>
      <c r="WE47" s="40">
        <v>3631</v>
      </c>
      <c r="WF47" s="40">
        <v>2272</v>
      </c>
      <c r="WG47" s="12">
        <f t="shared" si="604"/>
        <v>435827</v>
      </c>
      <c r="WH47" s="588">
        <f t="shared" si="605"/>
        <v>316402</v>
      </c>
      <c r="WI47" s="588">
        <f t="shared" si="606"/>
        <v>269359</v>
      </c>
      <c r="WJ47" s="11">
        <f t="shared" si="607"/>
        <v>354046</v>
      </c>
      <c r="WK47" s="90">
        <f t="shared" si="608"/>
        <v>534358</v>
      </c>
      <c r="WL47" s="40">
        <v>292124</v>
      </c>
      <c r="WM47" s="40">
        <v>242234</v>
      </c>
      <c r="WN47" s="40">
        <v>24278</v>
      </c>
      <c r="WO47" s="40">
        <v>27125</v>
      </c>
      <c r="WP47" s="11">
        <f t="shared" si="609"/>
        <v>26296</v>
      </c>
      <c r="WQ47" s="90">
        <f t="shared" si="610"/>
        <v>33978</v>
      </c>
      <c r="WR47" s="40">
        <v>14384</v>
      </c>
      <c r="WS47" s="40">
        <v>19594</v>
      </c>
      <c r="WT47" s="11">
        <f t="shared" si="611"/>
        <v>5586</v>
      </c>
      <c r="WU47" s="40">
        <v>3046</v>
      </c>
      <c r="WV47" s="40">
        <v>2540</v>
      </c>
      <c r="WW47" s="9">
        <f t="shared" si="612"/>
        <v>21414</v>
      </c>
      <c r="WX47" s="235">
        <f t="shared" si="613"/>
        <v>6848</v>
      </c>
      <c r="WY47" s="235">
        <f t="shared" si="614"/>
        <v>4991</v>
      </c>
      <c r="WZ47" s="236">
        <f t="shared" si="615"/>
        <v>106</v>
      </c>
      <c r="XA47" s="236">
        <f t="shared" si="616"/>
        <v>55</v>
      </c>
      <c r="XB47" s="236">
        <f t="shared" si="617"/>
        <v>51</v>
      </c>
      <c r="XC47" s="589">
        <f t="shared" si="618"/>
        <v>11733</v>
      </c>
      <c r="XD47" s="589">
        <f t="shared" si="619"/>
        <v>6793</v>
      </c>
      <c r="XE47" s="589">
        <f t="shared" si="620"/>
        <v>4940</v>
      </c>
      <c r="XF47" s="40">
        <v>918</v>
      </c>
      <c r="XG47" s="40">
        <v>596</v>
      </c>
      <c r="XH47" s="40">
        <v>5875</v>
      </c>
      <c r="XI47" s="40">
        <v>4344</v>
      </c>
      <c r="XJ47" s="590">
        <v>784476</v>
      </c>
      <c r="XK47" s="40">
        <v>396399</v>
      </c>
      <c r="XL47" s="40">
        <v>388077</v>
      </c>
      <c r="XM47" s="5">
        <f t="shared" si="621"/>
        <v>705163</v>
      </c>
      <c r="XN47" s="5">
        <v>360991</v>
      </c>
      <c r="XO47" s="5">
        <v>344172</v>
      </c>
      <c r="XP47" s="84">
        <f t="shared" si="622"/>
        <v>699275</v>
      </c>
      <c r="XQ47" s="40">
        <v>357928</v>
      </c>
      <c r="XR47" s="40">
        <v>341347</v>
      </c>
      <c r="XS47" s="5">
        <f t="shared" si="623"/>
        <v>46569</v>
      </c>
      <c r="XT47" s="40">
        <v>18564</v>
      </c>
      <c r="XU47" s="40">
        <v>28005</v>
      </c>
      <c r="XV47" s="5">
        <f t="shared" si="624"/>
        <v>9193</v>
      </c>
      <c r="XW47" s="40">
        <v>4553</v>
      </c>
      <c r="XX47" s="40">
        <v>4640</v>
      </c>
      <c r="XY47" s="84">
        <f t="shared" si="625"/>
        <v>32744</v>
      </c>
      <c r="XZ47" s="84">
        <f t="shared" si="626"/>
        <v>16844</v>
      </c>
      <c r="YA47" s="84">
        <f t="shared" si="627"/>
        <v>15900</v>
      </c>
      <c r="YB47" s="587">
        <v>923423</v>
      </c>
      <c r="YC47" s="40">
        <v>813495</v>
      </c>
      <c r="YD47" s="40">
        <v>56926</v>
      </c>
      <c r="YE47" s="40">
        <v>14456</v>
      </c>
      <c r="YF47" s="5">
        <v>43684</v>
      </c>
      <c r="YG47" s="10">
        <v>952961</v>
      </c>
      <c r="YH47" s="3">
        <v>850372</v>
      </c>
      <c r="YI47" s="3">
        <v>57131</v>
      </c>
      <c r="YJ47" s="3">
        <v>45458</v>
      </c>
      <c r="YK47" s="3">
        <v>14999</v>
      </c>
      <c r="YL47" s="10">
        <v>980669</v>
      </c>
      <c r="YM47" s="3">
        <v>875702</v>
      </c>
      <c r="YN47" s="3">
        <v>58157</v>
      </c>
      <c r="YO47" s="3">
        <v>46810</v>
      </c>
      <c r="YP47" s="3">
        <v>14919</v>
      </c>
      <c r="YQ47" s="10">
        <v>998246</v>
      </c>
      <c r="YR47" s="3">
        <v>883987</v>
      </c>
      <c r="YS47" s="3">
        <v>63018</v>
      </c>
      <c r="YT47" s="3">
        <v>51241</v>
      </c>
      <c r="YU47" s="3">
        <v>17479</v>
      </c>
      <c r="YV47" s="10">
        <v>1023031.933</v>
      </c>
      <c r="YW47" s="3">
        <v>902210.255</v>
      </c>
      <c r="YX47" s="3">
        <v>66358.403999999995</v>
      </c>
      <c r="YY47" s="3">
        <v>17892.16</v>
      </c>
      <c r="YZ47" s="3">
        <v>54463.273999999961</v>
      </c>
      <c r="ZA47" s="3">
        <v>1044801</v>
      </c>
      <c r="ZB47" s="3">
        <v>908367</v>
      </c>
      <c r="ZC47" s="3">
        <v>67948</v>
      </c>
      <c r="ZD47" s="3">
        <v>19302</v>
      </c>
      <c r="ZE47" s="1">
        <v>54208</v>
      </c>
      <c r="ZF47" s="1">
        <v>1065803</v>
      </c>
      <c r="ZG47" s="1">
        <v>927271</v>
      </c>
      <c r="ZH47" s="1">
        <v>68123</v>
      </c>
      <c r="ZI47" s="1">
        <v>19503</v>
      </c>
      <c r="ZJ47" s="1">
        <v>56130</v>
      </c>
      <c r="ZK47" s="1">
        <v>1120711</v>
      </c>
      <c r="ZL47" s="1">
        <v>962313</v>
      </c>
      <c r="ZM47" s="1">
        <v>74167</v>
      </c>
      <c r="ZN47" s="1">
        <v>24051</v>
      </c>
      <c r="ZO47" s="1">
        <v>65395</v>
      </c>
      <c r="ZP47" s="1">
        <v>1140860</v>
      </c>
      <c r="ZQ47" s="1">
        <v>982462</v>
      </c>
      <c r="ZR47" s="1">
        <v>74471</v>
      </c>
      <c r="ZS47" s="1">
        <v>22336</v>
      </c>
      <c r="ZT47" s="1">
        <v>68488</v>
      </c>
      <c r="ZU47" s="1">
        <v>1172650</v>
      </c>
      <c r="ZV47" s="1">
        <v>1005793</v>
      </c>
      <c r="ZW47" s="1">
        <v>79951</v>
      </c>
      <c r="ZX47" s="1">
        <v>23805</v>
      </c>
      <c r="ZY47" s="1">
        <v>68268</v>
      </c>
      <c r="ZZ47" s="394">
        <v>45751</v>
      </c>
      <c r="AAA47" s="1">
        <v>0</v>
      </c>
      <c r="AAB47" s="1">
        <v>3418</v>
      </c>
      <c r="AAC47" s="1">
        <v>13827</v>
      </c>
      <c r="AAD47" s="1">
        <v>5272</v>
      </c>
      <c r="AAE47" s="50">
        <v>1205839</v>
      </c>
      <c r="AAF47" s="1">
        <v>1034438</v>
      </c>
      <c r="AAG47" s="1">
        <v>74614</v>
      </c>
      <c r="AAH47" s="1">
        <v>25671</v>
      </c>
      <c r="AAI47" s="1">
        <v>76755</v>
      </c>
      <c r="AAJ47" s="50">
        <v>1235894</v>
      </c>
      <c r="AAK47" s="1"/>
      <c r="AAL47" s="1"/>
      <c r="AAM47" s="1"/>
      <c r="AAN47" s="1"/>
      <c r="AAO47" s="68">
        <v>1271281</v>
      </c>
      <c r="AAP47" s="37">
        <v>1074478</v>
      </c>
      <c r="AAQ47" s="37">
        <v>87814</v>
      </c>
      <c r="AAR47" s="37">
        <v>31595</v>
      </c>
      <c r="AAS47" s="37">
        <v>84362</v>
      </c>
      <c r="AAT47" s="68">
        <v>1340643</v>
      </c>
      <c r="AAU47" s="37">
        <v>1109135</v>
      </c>
      <c r="AAV47" s="37">
        <v>89549</v>
      </c>
      <c r="AAW47" s="37">
        <v>33584</v>
      </c>
      <c r="AAX47" s="37">
        <v>133419</v>
      </c>
      <c r="AAY47" s="1">
        <v>52149</v>
      </c>
      <c r="AAZ47" s="1">
        <v>0</v>
      </c>
      <c r="ABA47" s="1">
        <v>3513</v>
      </c>
      <c r="ABB47" s="1">
        <v>63192</v>
      </c>
      <c r="ABC47" s="1">
        <v>14565</v>
      </c>
      <c r="ABD47" s="10">
        <v>276584</v>
      </c>
      <c r="ABE47" s="3">
        <v>244523</v>
      </c>
      <c r="ABF47" s="3">
        <v>16190</v>
      </c>
      <c r="ABG47" s="3">
        <v>3477</v>
      </c>
      <c r="ABH47" s="3">
        <v>15871</v>
      </c>
      <c r="ABI47" s="10">
        <v>331860</v>
      </c>
      <c r="ABJ47" s="3">
        <v>288381</v>
      </c>
      <c r="ABK47" s="3">
        <v>20308</v>
      </c>
      <c r="ABL47" s="3">
        <v>4868</v>
      </c>
      <c r="ABM47" s="3">
        <v>19756</v>
      </c>
      <c r="ABN47" s="10">
        <v>371605</v>
      </c>
      <c r="ABO47" s="3">
        <v>321518</v>
      </c>
      <c r="ABP47" s="3">
        <v>24213</v>
      </c>
      <c r="ABQ47" s="3">
        <v>6136</v>
      </c>
      <c r="ABR47" s="3">
        <v>25874</v>
      </c>
      <c r="ABS47" s="10">
        <v>382144.22399999999</v>
      </c>
      <c r="ABT47" s="3">
        <v>330242.99899999995</v>
      </c>
      <c r="ABU47" s="3">
        <v>25966.331999999999</v>
      </c>
      <c r="ABV47" s="3">
        <v>6841.12</v>
      </c>
      <c r="ABW47" s="8">
        <v>25934.893000000036</v>
      </c>
      <c r="ABX47" s="1">
        <v>389062</v>
      </c>
      <c r="ABY47" s="1">
        <v>329974</v>
      </c>
      <c r="ABZ47" s="1">
        <v>26535</v>
      </c>
      <c r="ACA47" s="1">
        <v>7281</v>
      </c>
      <c r="ACB47" s="49">
        <v>26764</v>
      </c>
      <c r="ACC47" s="1">
        <v>395766</v>
      </c>
      <c r="ACD47" s="1">
        <v>335922</v>
      </c>
      <c r="ACE47" s="1">
        <v>26866</v>
      </c>
      <c r="ACF47" s="1">
        <v>7175</v>
      </c>
      <c r="ACG47" s="1">
        <v>27284</v>
      </c>
      <c r="ACH47" s="1">
        <v>424042</v>
      </c>
      <c r="ACI47" s="1">
        <v>354322</v>
      </c>
      <c r="ACJ47" s="1">
        <v>30151</v>
      </c>
      <c r="ACK47" s="1">
        <v>9334</v>
      </c>
      <c r="ACL47" s="1">
        <v>32301</v>
      </c>
      <c r="ACM47" s="1">
        <v>433938</v>
      </c>
      <c r="ACN47" s="1">
        <v>367756</v>
      </c>
      <c r="ACO47" s="1">
        <v>29450</v>
      </c>
      <c r="ACP47" s="1">
        <v>6687</v>
      </c>
      <c r="ACQ47" s="1">
        <v>31754</v>
      </c>
      <c r="ACR47" s="1">
        <v>443139</v>
      </c>
      <c r="ACS47" s="1">
        <v>373685</v>
      </c>
      <c r="ACT47" s="1">
        <v>28873</v>
      </c>
      <c r="ACU47" s="1">
        <v>7601</v>
      </c>
      <c r="ACV47" s="1">
        <v>34218</v>
      </c>
      <c r="ADB47" s="50">
        <v>462042</v>
      </c>
      <c r="ADC47" s="1">
        <v>385630</v>
      </c>
      <c r="ADD47" s="1">
        <v>29945</v>
      </c>
      <c r="ADE47" s="1">
        <v>11099</v>
      </c>
      <c r="ADF47" s="1">
        <v>38704</v>
      </c>
      <c r="ADG47" s="50">
        <v>480988</v>
      </c>
      <c r="ADL47" s="50">
        <v>495473</v>
      </c>
      <c r="ADM47" s="1">
        <v>411112</v>
      </c>
      <c r="ADN47" s="1">
        <v>32250</v>
      </c>
      <c r="ADO47" s="1">
        <v>12073</v>
      </c>
      <c r="ADP47" s="1">
        <v>42076</v>
      </c>
      <c r="ADQ47" s="50">
        <v>517428</v>
      </c>
      <c r="ADR47" s="1">
        <v>420503</v>
      </c>
      <c r="ADS47" s="1">
        <v>32876</v>
      </c>
      <c r="ADT47" s="1">
        <v>13146</v>
      </c>
      <c r="ADU47" s="1">
        <v>60507</v>
      </c>
      <c r="ADV47" s="1">
        <v>29754</v>
      </c>
      <c r="ADW47" s="1">
        <v>0</v>
      </c>
      <c r="ADX47" s="1">
        <v>1522</v>
      </c>
      <c r="ADY47" s="1">
        <v>24326</v>
      </c>
      <c r="ADZ47" s="1">
        <v>4905</v>
      </c>
    </row>
    <row r="48" spans="1:806" ht="14.1">
      <c r="A48" s="38" t="s">
        <v>46</v>
      </c>
      <c r="B48" s="174" t="s">
        <v>221</v>
      </c>
      <c r="C48" s="175" t="s">
        <v>221</v>
      </c>
      <c r="D48" s="175" t="s">
        <v>221</v>
      </c>
      <c r="E48" s="175" t="s">
        <v>221</v>
      </c>
      <c r="F48" s="176" t="s">
        <v>221</v>
      </c>
      <c r="G48" s="3">
        <v>79925</v>
      </c>
      <c r="H48" s="3">
        <v>74049</v>
      </c>
      <c r="I48" s="3">
        <v>2466</v>
      </c>
      <c r="J48" s="3">
        <v>3828</v>
      </c>
      <c r="K48" s="8">
        <v>3410</v>
      </c>
      <c r="L48" s="3">
        <v>58376</v>
      </c>
      <c r="M48" s="3">
        <v>44637</v>
      </c>
      <c r="N48" s="3">
        <v>1929</v>
      </c>
      <c r="O48" s="3">
        <v>14809</v>
      </c>
      <c r="P48" s="8">
        <v>11810</v>
      </c>
      <c r="Q48" s="3">
        <v>48846</v>
      </c>
      <c r="R48" s="3">
        <v>25157</v>
      </c>
      <c r="S48" s="3">
        <v>2330</v>
      </c>
      <c r="T48" s="3">
        <v>19327</v>
      </c>
      <c r="U48" s="8">
        <v>10600</v>
      </c>
      <c r="V48" s="5">
        <v>48635</v>
      </c>
      <c r="W48" s="5">
        <v>35621</v>
      </c>
      <c r="X48" s="5">
        <v>2574</v>
      </c>
      <c r="Y48" s="5">
        <v>22411</v>
      </c>
      <c r="Z48" s="408">
        <v>10440</v>
      </c>
      <c r="AA48" s="5">
        <v>48455</v>
      </c>
      <c r="AB48" s="5">
        <v>19595</v>
      </c>
      <c r="AC48" s="5">
        <v>2947</v>
      </c>
      <c r="AD48" s="5">
        <v>22176</v>
      </c>
      <c r="AE48" s="5">
        <v>9838</v>
      </c>
      <c r="AF48" s="399">
        <v>49576</v>
      </c>
      <c r="AG48" s="5">
        <v>18296</v>
      </c>
      <c r="AH48" s="5">
        <v>2755</v>
      </c>
      <c r="AI48" s="5">
        <v>24518</v>
      </c>
      <c r="AJ48" s="490">
        <v>10852</v>
      </c>
      <c r="AK48" s="490">
        <v>53249</v>
      </c>
      <c r="AL48" s="490">
        <v>18716</v>
      </c>
      <c r="AM48" s="685">
        <v>2326</v>
      </c>
      <c r="AN48" s="685">
        <v>26869</v>
      </c>
      <c r="AO48" s="490">
        <v>11129</v>
      </c>
      <c r="AP48" s="394">
        <v>47858</v>
      </c>
      <c r="AQ48" s="394">
        <v>14905</v>
      </c>
      <c r="AR48" s="394">
        <v>2022</v>
      </c>
      <c r="AS48" s="394">
        <v>25573</v>
      </c>
      <c r="AT48" s="394">
        <v>9391</v>
      </c>
      <c r="AU48" s="393">
        <v>51410</v>
      </c>
      <c r="AV48" s="394">
        <v>15107</v>
      </c>
      <c r="AW48" s="394">
        <v>2746</v>
      </c>
      <c r="AX48" s="394">
        <v>27357</v>
      </c>
      <c r="AY48" s="394">
        <v>12864</v>
      </c>
      <c r="AZ48" s="1">
        <v>4914</v>
      </c>
      <c r="BA48" s="1">
        <v>0</v>
      </c>
      <c r="BB48" s="1">
        <v>614</v>
      </c>
      <c r="BC48" s="1">
        <v>883</v>
      </c>
      <c r="BD48" s="1">
        <v>6453</v>
      </c>
      <c r="BE48" s="393">
        <v>48755</v>
      </c>
      <c r="BF48" s="394">
        <v>13928</v>
      </c>
      <c r="BG48" s="394">
        <v>2884</v>
      </c>
      <c r="BH48" s="394">
        <v>26345</v>
      </c>
      <c r="BI48" s="394">
        <v>11092</v>
      </c>
      <c r="BJ48" s="393">
        <v>47660</v>
      </c>
      <c r="BK48" s="394"/>
      <c r="BL48" s="394"/>
      <c r="BM48" s="394"/>
      <c r="BN48" s="394"/>
      <c r="BO48" s="393">
        <v>43627</v>
      </c>
      <c r="BP48" s="394">
        <v>11600</v>
      </c>
      <c r="BQ48" s="394">
        <v>4262</v>
      </c>
      <c r="BR48" s="394">
        <v>23056</v>
      </c>
      <c r="BS48" s="394">
        <v>11420</v>
      </c>
      <c r="BT48" s="393">
        <v>48334</v>
      </c>
      <c r="BU48" s="394">
        <v>12041</v>
      </c>
      <c r="BV48" s="394">
        <v>2233</v>
      </c>
      <c r="BW48" s="394">
        <v>26338</v>
      </c>
      <c r="BX48" s="394">
        <v>5984</v>
      </c>
      <c r="BY48" s="1">
        <v>0</v>
      </c>
      <c r="BZ48" s="1">
        <v>1816</v>
      </c>
      <c r="CA48" s="1">
        <v>9638</v>
      </c>
      <c r="CB48" s="1">
        <v>14169</v>
      </c>
      <c r="CC48" s="10">
        <v>101147</v>
      </c>
      <c r="CD48" s="3">
        <v>92781</v>
      </c>
      <c r="CE48" s="3">
        <v>5441</v>
      </c>
      <c r="CF48" s="3">
        <v>26338</v>
      </c>
      <c r="CG48" s="8">
        <v>2925</v>
      </c>
      <c r="CH48" s="3">
        <v>87485</v>
      </c>
      <c r="CI48" s="3">
        <v>73414</v>
      </c>
      <c r="CJ48" s="3">
        <v>5787</v>
      </c>
      <c r="CK48" s="3">
        <v>8327</v>
      </c>
      <c r="CL48" s="8">
        <v>8284</v>
      </c>
      <c r="CM48" s="1">
        <v>71279</v>
      </c>
      <c r="CN48" s="3">
        <v>51393</v>
      </c>
      <c r="CO48" s="3">
        <v>4133</v>
      </c>
      <c r="CP48" s="3">
        <v>12199</v>
      </c>
      <c r="CQ48" s="8">
        <v>8471</v>
      </c>
      <c r="CR48" s="3">
        <v>67602</v>
      </c>
      <c r="CS48" s="3">
        <v>54612</v>
      </c>
      <c r="CT48" s="3">
        <v>4868</v>
      </c>
      <c r="CU48" s="3">
        <v>13632</v>
      </c>
      <c r="CV48" s="8">
        <v>8122</v>
      </c>
      <c r="CW48" s="3">
        <v>64336</v>
      </c>
      <c r="CX48" s="3">
        <v>39486</v>
      </c>
      <c r="CY48" s="3">
        <v>5167</v>
      </c>
      <c r="CZ48" s="3">
        <v>15992</v>
      </c>
      <c r="DA48" s="3">
        <v>8940</v>
      </c>
      <c r="DB48" s="3">
        <v>64301</v>
      </c>
      <c r="DC48" s="3">
        <v>39526</v>
      </c>
      <c r="DD48" s="3">
        <v>4310</v>
      </c>
      <c r="DE48" s="3">
        <v>16681</v>
      </c>
      <c r="DF48" s="39">
        <v>8792</v>
      </c>
      <c r="DG48" s="39">
        <v>65912</v>
      </c>
      <c r="DH48" s="39">
        <v>41692</v>
      </c>
      <c r="DI48" s="39">
        <v>5063</v>
      </c>
      <c r="DJ48" s="39">
        <v>15693</v>
      </c>
      <c r="DK48" s="39">
        <v>7021</v>
      </c>
      <c r="DL48" s="39">
        <v>62768</v>
      </c>
      <c r="DM48" s="39">
        <v>41166</v>
      </c>
      <c r="DN48" s="39">
        <v>4226</v>
      </c>
      <c r="DO48" s="39">
        <v>14644</v>
      </c>
      <c r="DP48" s="39">
        <v>5915</v>
      </c>
      <c r="DQ48" s="39">
        <v>61935</v>
      </c>
      <c r="DR48" s="39">
        <v>38058</v>
      </c>
      <c r="DS48" s="39">
        <v>4169</v>
      </c>
      <c r="DT48" s="39">
        <v>16414</v>
      </c>
      <c r="DU48" s="39">
        <v>6806</v>
      </c>
      <c r="DV48" s="118">
        <v>60668</v>
      </c>
      <c r="DW48" s="39">
        <v>35656</v>
      </c>
      <c r="DX48" s="39">
        <v>4719</v>
      </c>
      <c r="DY48" s="39">
        <v>16472</v>
      </c>
      <c r="DZ48" s="39">
        <v>7708</v>
      </c>
      <c r="EA48" s="118">
        <v>60686</v>
      </c>
      <c r="EB48" s="39"/>
      <c r="EC48" s="39"/>
      <c r="ED48" s="39"/>
      <c r="EE48" s="39"/>
      <c r="EF48" s="118">
        <v>57645</v>
      </c>
      <c r="EG48" s="39">
        <v>33881</v>
      </c>
      <c r="EH48" s="39">
        <v>3744</v>
      </c>
      <c r="EI48" s="39">
        <v>16197</v>
      </c>
      <c r="EJ48" s="39">
        <v>8367</v>
      </c>
      <c r="EK48" s="118">
        <v>57645</v>
      </c>
      <c r="EL48" s="39">
        <v>33881</v>
      </c>
      <c r="EM48" s="39">
        <v>3744</v>
      </c>
      <c r="EN48" s="39">
        <v>16197</v>
      </c>
      <c r="EO48" s="39">
        <v>8367</v>
      </c>
      <c r="EP48" s="118">
        <v>52981</v>
      </c>
      <c r="EQ48" s="39">
        <v>31869</v>
      </c>
      <c r="ER48" s="39">
        <v>3752</v>
      </c>
      <c r="ES48" s="39">
        <v>13758</v>
      </c>
      <c r="ET48" s="1">
        <v>1748</v>
      </c>
      <c r="EU48" s="1">
        <v>0</v>
      </c>
      <c r="EV48" s="1">
        <v>1153</v>
      </c>
      <c r="EW48" s="1">
        <v>8063</v>
      </c>
      <c r="EX48" s="1">
        <v>4938</v>
      </c>
      <c r="EY48" s="10">
        <v>113935</v>
      </c>
      <c r="EZ48" s="3">
        <v>87352</v>
      </c>
      <c r="FA48" s="3">
        <v>7470</v>
      </c>
      <c r="FB48" s="3">
        <v>38068</v>
      </c>
      <c r="FC48" s="201">
        <f t="shared" si="574"/>
        <v>19113</v>
      </c>
      <c r="FD48" s="174" t="s">
        <v>221</v>
      </c>
      <c r="FE48" s="175" t="s">
        <v>221</v>
      </c>
      <c r="FF48" s="175" t="s">
        <v>221</v>
      </c>
      <c r="FG48" s="175" t="s">
        <v>221</v>
      </c>
      <c r="FH48" s="174" t="s">
        <v>221</v>
      </c>
      <c r="FI48" s="175" t="s">
        <v>221</v>
      </c>
      <c r="FJ48" s="175" t="s">
        <v>221</v>
      </c>
      <c r="FK48" s="175" t="s">
        <v>221</v>
      </c>
      <c r="FL48" s="176" t="s">
        <v>221</v>
      </c>
      <c r="FM48" s="3">
        <v>814977</v>
      </c>
      <c r="FN48" s="3">
        <v>780046</v>
      </c>
      <c r="FO48" s="3">
        <v>21609</v>
      </c>
      <c r="FP48" s="3">
        <v>9588</v>
      </c>
      <c r="FQ48" s="8">
        <v>13322</v>
      </c>
      <c r="FR48" s="3">
        <v>941380</v>
      </c>
      <c r="FS48" s="3">
        <v>881275</v>
      </c>
      <c r="FT48" s="3">
        <v>28342</v>
      </c>
      <c r="FU48" s="3">
        <v>20206</v>
      </c>
      <c r="FV48" s="3">
        <v>31763</v>
      </c>
      <c r="FW48" s="127">
        <v>1011349</v>
      </c>
      <c r="FX48" s="3">
        <v>918654</v>
      </c>
      <c r="FY48" s="3">
        <v>34851</v>
      </c>
      <c r="FZ48" s="3">
        <v>44197</v>
      </c>
      <c r="GA48" s="3">
        <v>31998</v>
      </c>
      <c r="GB48" s="10">
        <v>1023656</v>
      </c>
      <c r="GC48" s="3">
        <v>947058</v>
      </c>
      <c r="GD48" s="3">
        <v>33870</v>
      </c>
      <c r="GE48" s="3">
        <v>42728</v>
      </c>
      <c r="GF48" s="3">
        <v>34222</v>
      </c>
      <c r="GG48" s="42">
        <v>1026325</v>
      </c>
      <c r="GH48" s="40">
        <v>949157</v>
      </c>
      <c r="GI48" s="40">
        <v>34364</v>
      </c>
      <c r="GJ48" s="40">
        <v>42804</v>
      </c>
      <c r="GK48" s="40">
        <v>34105</v>
      </c>
      <c r="GL48" s="10">
        <v>1058670</v>
      </c>
      <c r="GM48" s="3">
        <v>977367</v>
      </c>
      <c r="GN48" s="3">
        <v>37432</v>
      </c>
      <c r="GO48" s="3">
        <v>37768</v>
      </c>
      <c r="GP48" s="3">
        <v>32339</v>
      </c>
      <c r="GQ48" s="10">
        <v>1074077.53</v>
      </c>
      <c r="GR48" s="3">
        <v>991070.73699999985</v>
      </c>
      <c r="GS48" s="3">
        <v>38077.292000000001</v>
      </c>
      <c r="GT48" s="3">
        <v>39228.110999999997</v>
      </c>
      <c r="GU48" s="373">
        <f t="shared" si="575"/>
        <v>44929.501000000178</v>
      </c>
      <c r="GV48" s="3">
        <v>1083919</v>
      </c>
      <c r="GW48" s="3">
        <v>971965</v>
      </c>
      <c r="GX48" s="3">
        <v>38393</v>
      </c>
      <c r="GY48" s="3">
        <v>42645</v>
      </c>
      <c r="GZ48" s="3">
        <v>42263</v>
      </c>
      <c r="HA48" s="3">
        <v>1091953</v>
      </c>
      <c r="HB48" s="3">
        <v>976434</v>
      </c>
      <c r="HC48" s="3">
        <v>39966</v>
      </c>
      <c r="HD48" s="3">
        <v>42828</v>
      </c>
      <c r="HE48" s="3">
        <v>43945</v>
      </c>
      <c r="HF48" s="3">
        <v>1105540</v>
      </c>
      <c r="HG48" s="3">
        <v>980714</v>
      </c>
      <c r="HH48" s="3">
        <v>41412</v>
      </c>
      <c r="HI48" s="3">
        <v>48429</v>
      </c>
      <c r="HJ48" s="3">
        <v>44651</v>
      </c>
      <c r="HK48" s="3">
        <v>1121957</v>
      </c>
      <c r="HL48" s="3">
        <v>988577</v>
      </c>
      <c r="HM48" s="3">
        <v>44252</v>
      </c>
      <c r="HN48" s="3">
        <v>51801</v>
      </c>
      <c r="HO48" s="3">
        <v>49983</v>
      </c>
      <c r="HP48" s="10">
        <v>1130475</v>
      </c>
      <c r="HQ48" s="3">
        <v>995023</v>
      </c>
      <c r="HR48" s="3">
        <v>43960</v>
      </c>
      <c r="HS48" s="3">
        <v>54705</v>
      </c>
      <c r="HT48" s="3">
        <v>47978</v>
      </c>
      <c r="HU48" s="394">
        <v>17568</v>
      </c>
      <c r="HV48" s="1">
        <v>0</v>
      </c>
      <c r="HW48" s="1">
        <v>6933</v>
      </c>
      <c r="HX48" s="1">
        <v>13820</v>
      </c>
      <c r="HY48" s="1">
        <v>9657</v>
      </c>
      <c r="HZ48" s="10">
        <v>1149831</v>
      </c>
      <c r="IA48" s="3">
        <v>1001958</v>
      </c>
      <c r="IB48" s="3">
        <v>45980</v>
      </c>
      <c r="IC48" s="3">
        <v>59250</v>
      </c>
      <c r="ID48" s="3">
        <v>54153</v>
      </c>
      <c r="IE48" s="399">
        <v>1158094</v>
      </c>
      <c r="IF48" s="5"/>
      <c r="IG48" s="5"/>
      <c r="IH48" s="5"/>
      <c r="II48" s="5"/>
      <c r="IJ48" s="399">
        <v>1170498</v>
      </c>
      <c r="IK48" s="5">
        <v>1010407</v>
      </c>
      <c r="IL48" s="5">
        <v>46584</v>
      </c>
      <c r="IM48" s="5">
        <v>67527</v>
      </c>
      <c r="IN48" s="5">
        <v>65548</v>
      </c>
      <c r="IO48" s="399">
        <v>1191221</v>
      </c>
      <c r="IP48" s="5">
        <v>1004032</v>
      </c>
      <c r="IQ48" s="5">
        <v>48493</v>
      </c>
      <c r="IR48" s="5">
        <v>75545</v>
      </c>
      <c r="IS48" s="5">
        <v>126130</v>
      </c>
      <c r="IT48" s="1">
        <v>22653</v>
      </c>
      <c r="IU48" s="1">
        <v>0</v>
      </c>
      <c r="IV48" s="1">
        <v>9292</v>
      </c>
      <c r="IW48" s="1">
        <v>63644</v>
      </c>
      <c r="IX48" s="1">
        <v>30541</v>
      </c>
      <c r="IY48" s="380" t="s">
        <v>221</v>
      </c>
      <c r="IZ48" s="188" t="s">
        <v>221</v>
      </c>
      <c r="JA48" s="188" t="s">
        <v>221</v>
      </c>
      <c r="JB48" s="188" t="s">
        <v>221</v>
      </c>
      <c r="JC48" s="635" t="s">
        <v>221</v>
      </c>
      <c r="JD48" s="5">
        <v>280537</v>
      </c>
      <c r="JE48" s="5">
        <v>266709</v>
      </c>
      <c r="JF48" s="5">
        <v>9279</v>
      </c>
      <c r="JG48" s="5">
        <v>3756</v>
      </c>
      <c r="JH48" s="408">
        <v>4549</v>
      </c>
      <c r="JI48" s="5">
        <v>343288</v>
      </c>
      <c r="JJ48" s="5">
        <v>320264</v>
      </c>
      <c r="JK48" s="5">
        <v>12017</v>
      </c>
      <c r="JL48" s="5">
        <v>7261</v>
      </c>
      <c r="JM48" s="408">
        <v>11007</v>
      </c>
      <c r="JN48" s="5">
        <v>354849</v>
      </c>
      <c r="JO48" s="5">
        <v>322297</v>
      </c>
      <c r="JP48" s="5">
        <v>13524</v>
      </c>
      <c r="JQ48" s="5">
        <v>10562</v>
      </c>
      <c r="JR48" s="5">
        <v>12404</v>
      </c>
      <c r="JS48" s="5">
        <v>394263</v>
      </c>
      <c r="JT48" s="5">
        <v>361580</v>
      </c>
      <c r="JU48" s="5">
        <v>17722</v>
      </c>
      <c r="JV48" s="5">
        <v>13212</v>
      </c>
      <c r="JW48" s="408">
        <v>14961</v>
      </c>
      <c r="JX48" s="5">
        <v>401147.18799999997</v>
      </c>
      <c r="JY48" s="5">
        <v>367742.24300000002</v>
      </c>
      <c r="JZ48" s="5">
        <v>18309.894</v>
      </c>
      <c r="KA48" s="5">
        <v>13540.275</v>
      </c>
      <c r="KB48" s="408">
        <v>15095.050999999949</v>
      </c>
      <c r="KC48" s="5">
        <v>404355</v>
      </c>
      <c r="KD48" s="5">
        <v>361216</v>
      </c>
      <c r="KE48" s="5">
        <v>18256</v>
      </c>
      <c r="KF48" s="5">
        <v>14850</v>
      </c>
      <c r="KG48" s="439">
        <v>13951</v>
      </c>
      <c r="KH48" s="439">
        <v>409239</v>
      </c>
      <c r="KI48" s="439">
        <v>364805</v>
      </c>
      <c r="KJ48" s="439">
        <v>17698</v>
      </c>
      <c r="KK48" s="439">
        <v>15826</v>
      </c>
      <c r="KL48" s="439">
        <v>15097</v>
      </c>
      <c r="KM48" s="439">
        <v>410211</v>
      </c>
      <c r="KN48" s="439">
        <v>366054</v>
      </c>
      <c r="KO48" s="439">
        <v>16328</v>
      </c>
      <c r="KP48" s="439">
        <v>15754</v>
      </c>
      <c r="KQ48" s="439">
        <v>15338</v>
      </c>
      <c r="KR48" s="439">
        <v>417801</v>
      </c>
      <c r="KS48" s="439">
        <v>370858</v>
      </c>
      <c r="KT48" s="439">
        <v>17995</v>
      </c>
      <c r="KU48" s="439">
        <v>17274</v>
      </c>
      <c r="KV48" s="439">
        <v>15826</v>
      </c>
      <c r="KW48" s="630">
        <v>411155</v>
      </c>
      <c r="KX48" s="439">
        <v>360467</v>
      </c>
      <c r="KY48" s="439">
        <v>17785</v>
      </c>
      <c r="KZ48" s="439">
        <v>21018</v>
      </c>
      <c r="LA48" s="439">
        <v>16414</v>
      </c>
      <c r="LB48" s="652">
        <v>419970</v>
      </c>
      <c r="LC48" s="653">
        <v>365639</v>
      </c>
      <c r="LD48" s="653">
        <v>19827</v>
      </c>
      <c r="LE48" s="653">
        <v>21563</v>
      </c>
      <c r="LF48" s="653">
        <v>16725</v>
      </c>
      <c r="LG48" s="652">
        <v>420964</v>
      </c>
      <c r="LH48" s="653"/>
      <c r="LI48" s="439"/>
      <c r="LJ48" s="439"/>
      <c r="LK48" s="439"/>
      <c r="LL48" s="652">
        <v>421522</v>
      </c>
      <c r="LM48" s="653">
        <v>365889</v>
      </c>
      <c r="LN48" s="653">
        <v>17451</v>
      </c>
      <c r="LO48" s="653">
        <v>22848</v>
      </c>
      <c r="LP48" s="653">
        <v>22012</v>
      </c>
      <c r="LQ48" s="652">
        <v>420760</v>
      </c>
      <c r="LR48" s="653">
        <v>354598</v>
      </c>
      <c r="LS48" s="653">
        <v>18798</v>
      </c>
      <c r="LT48" s="653">
        <v>28496</v>
      </c>
      <c r="LU48" s="653">
        <v>42237</v>
      </c>
      <c r="LV48" s="1">
        <v>5070</v>
      </c>
      <c r="LW48" s="1">
        <v>0</v>
      </c>
      <c r="LX48" s="1">
        <v>4025</v>
      </c>
      <c r="LY48" s="1">
        <v>23161</v>
      </c>
      <c r="LZ48" s="1">
        <v>9981</v>
      </c>
      <c r="MA48" s="10">
        <v>70665</v>
      </c>
      <c r="MB48" s="3">
        <v>68095</v>
      </c>
      <c r="MC48" s="3">
        <v>1441</v>
      </c>
      <c r="MD48" s="3">
        <v>902</v>
      </c>
      <c r="ME48" s="8">
        <v>1129</v>
      </c>
      <c r="MF48" s="3">
        <v>79596</v>
      </c>
      <c r="MG48" s="3">
        <v>75095</v>
      </c>
      <c r="MH48" s="3">
        <v>2136</v>
      </c>
      <c r="MI48" s="3">
        <v>1248</v>
      </c>
      <c r="MJ48" s="8">
        <v>2365</v>
      </c>
      <c r="MK48" s="3">
        <v>98990</v>
      </c>
      <c r="ML48" s="3">
        <v>91059</v>
      </c>
      <c r="MM48" s="3">
        <v>2803</v>
      </c>
      <c r="MN48" s="3">
        <v>2361</v>
      </c>
      <c r="MO48" s="3">
        <v>3653</v>
      </c>
      <c r="MP48" s="10">
        <v>106984</v>
      </c>
      <c r="MQ48" s="3">
        <v>100598</v>
      </c>
      <c r="MR48" s="3">
        <v>2838</v>
      </c>
      <c r="MS48" s="3">
        <v>3066</v>
      </c>
      <c r="MT48" s="3">
        <v>3548</v>
      </c>
      <c r="MU48" s="10"/>
      <c r="MV48" s="3"/>
      <c r="MW48" s="3"/>
      <c r="MX48" s="3"/>
      <c r="MY48" s="8"/>
      <c r="MZ48" s="3">
        <v>113021</v>
      </c>
      <c r="NA48" s="3">
        <v>104377</v>
      </c>
      <c r="NB48" s="3">
        <v>2739</v>
      </c>
      <c r="NC48" s="3">
        <v>3075</v>
      </c>
      <c r="ND48" s="3">
        <v>3558</v>
      </c>
      <c r="NE48" s="3">
        <v>117344</v>
      </c>
      <c r="NF48" s="3">
        <v>107562</v>
      </c>
      <c r="NG48" s="3">
        <v>3071</v>
      </c>
      <c r="NH48" s="3">
        <v>3690</v>
      </c>
      <c r="NI48" s="3">
        <v>4210</v>
      </c>
      <c r="NJ48" s="3">
        <v>126818</v>
      </c>
      <c r="NK48" s="3">
        <v>115872</v>
      </c>
      <c r="NL48" s="3">
        <v>3925</v>
      </c>
      <c r="NM48" s="3">
        <v>3205</v>
      </c>
      <c r="NN48" s="3">
        <v>20622</v>
      </c>
      <c r="NO48" s="3">
        <v>125055</v>
      </c>
      <c r="NP48" s="3">
        <v>113464</v>
      </c>
      <c r="NQ48" s="3">
        <v>4480</v>
      </c>
      <c r="NR48" s="3">
        <v>4127</v>
      </c>
      <c r="NS48" s="3">
        <v>4121</v>
      </c>
      <c r="NT48" s="3">
        <v>129795</v>
      </c>
      <c r="NU48" s="3">
        <v>116455</v>
      </c>
      <c r="NV48" s="3">
        <v>4146</v>
      </c>
      <c r="NW48" s="3">
        <v>5846</v>
      </c>
      <c r="NX48" s="3">
        <v>4059</v>
      </c>
      <c r="NY48" s="10">
        <v>128547</v>
      </c>
      <c r="NZ48" s="3">
        <v>113854</v>
      </c>
      <c r="OA48" s="3">
        <v>5217</v>
      </c>
      <c r="OB48" s="3">
        <v>5534</v>
      </c>
      <c r="OC48" s="3">
        <v>4873</v>
      </c>
      <c r="OD48" s="10">
        <v>137646</v>
      </c>
      <c r="OE48" s="3"/>
      <c r="OF48" s="3"/>
      <c r="OG48" s="3"/>
      <c r="OH48" s="3"/>
      <c r="OI48" s="10">
        <v>141189</v>
      </c>
      <c r="OJ48" s="3">
        <v>125837</v>
      </c>
      <c r="OK48" s="3">
        <v>5120</v>
      </c>
      <c r="OL48" s="3">
        <v>5362</v>
      </c>
      <c r="OM48" s="3">
        <v>6251</v>
      </c>
      <c r="ON48" s="10">
        <v>139742</v>
      </c>
      <c r="OO48" s="3">
        <v>121829</v>
      </c>
      <c r="OP48" s="3">
        <v>4792</v>
      </c>
      <c r="OQ48" s="3">
        <v>8314</v>
      </c>
      <c r="OR48" s="3">
        <v>1946</v>
      </c>
      <c r="OS48" s="1">
        <v>1739</v>
      </c>
      <c r="OT48" s="1">
        <v>0</v>
      </c>
      <c r="OU48" s="1">
        <v>1043</v>
      </c>
      <c r="OV48" s="1">
        <v>6421</v>
      </c>
      <c r="OW48" s="1">
        <v>1946</v>
      </c>
      <c r="OX48" s="402">
        <f t="shared" si="576"/>
        <v>213246</v>
      </c>
      <c r="OY48" s="382">
        <f t="shared" si="577"/>
        <v>193763</v>
      </c>
      <c r="OZ48" s="382">
        <f t="shared" si="578"/>
        <v>5580</v>
      </c>
      <c r="PA48" s="382">
        <f t="shared" si="579"/>
        <v>23026</v>
      </c>
      <c r="PB48" s="382">
        <f t="shared" si="580"/>
        <v>10943</v>
      </c>
      <c r="PC48" s="402">
        <f t="shared" si="581"/>
        <v>337736</v>
      </c>
      <c r="PD48" s="382">
        <f t="shared" si="582"/>
        <v>318807</v>
      </c>
      <c r="PE48" s="382">
        <f t="shared" si="583"/>
        <v>7224</v>
      </c>
      <c r="PF48" s="382">
        <f t="shared" si="584"/>
        <v>4948</v>
      </c>
      <c r="PG48" s="382">
        <f t="shared" si="585"/>
        <v>11705</v>
      </c>
      <c r="PH48" s="10">
        <v>382788</v>
      </c>
      <c r="PI48" s="3">
        <v>358248</v>
      </c>
      <c r="PJ48" s="3">
        <v>8897</v>
      </c>
      <c r="PK48" s="3">
        <v>9148</v>
      </c>
      <c r="PL48" s="3">
        <v>15643</v>
      </c>
      <c r="PM48" s="3">
        <v>407010</v>
      </c>
      <c r="PN48" s="3">
        <v>374768</v>
      </c>
      <c r="PO48" s="3">
        <v>9395</v>
      </c>
      <c r="PP48" s="3">
        <v>8298</v>
      </c>
      <c r="PQ48" s="3">
        <v>17899</v>
      </c>
      <c r="PR48" s="399"/>
      <c r="PS48" s="5"/>
      <c r="PT48" s="5"/>
      <c r="PU48" s="5"/>
      <c r="PV48" s="5"/>
      <c r="PW48" s="5">
        <v>454035</v>
      </c>
      <c r="PX48" s="5">
        <v>415721</v>
      </c>
      <c r="PY48" s="5">
        <v>10936</v>
      </c>
      <c r="PZ48" s="5">
        <v>11234</v>
      </c>
      <c r="QA48" s="408">
        <v>18639</v>
      </c>
      <c r="QB48" s="5">
        <v>462878</v>
      </c>
      <c r="QC48" s="5">
        <v>422635</v>
      </c>
      <c r="QD48" s="5">
        <v>12114</v>
      </c>
      <c r="QE48" s="5">
        <v>11710</v>
      </c>
      <c r="QF48" s="5">
        <v>19413</v>
      </c>
      <c r="QG48" s="5">
        <v>488587</v>
      </c>
      <c r="QH48" s="5">
        <v>441874</v>
      </c>
      <c r="QI48" s="5">
        <v>15726</v>
      </c>
      <c r="QJ48" s="5">
        <v>12555</v>
      </c>
      <c r="QK48" s="5">
        <v>20622</v>
      </c>
      <c r="QL48" s="399">
        <v>497343</v>
      </c>
      <c r="QM48" s="5">
        <v>448829</v>
      </c>
      <c r="QN48" s="5">
        <v>15678</v>
      </c>
      <c r="QO48" s="5">
        <v>13488</v>
      </c>
      <c r="QP48" s="5">
        <v>22027</v>
      </c>
      <c r="QQ48" s="399">
        <v>520767</v>
      </c>
      <c r="QR48" s="5">
        <v>468886</v>
      </c>
      <c r="QS48" s="5">
        <v>15986</v>
      </c>
      <c r="QT48" s="5">
        <v>16507</v>
      </c>
      <c r="QU48" s="5">
        <v>21808</v>
      </c>
      <c r="QV48" s="399">
        <v>527327</v>
      </c>
      <c r="QW48" s="5">
        <v>472563</v>
      </c>
      <c r="QX48" s="5">
        <v>14846</v>
      </c>
      <c r="QY48" s="5">
        <v>16693</v>
      </c>
      <c r="QZ48" s="5">
        <v>25852</v>
      </c>
      <c r="RA48" s="399">
        <v>548376</v>
      </c>
      <c r="RB48" s="5"/>
      <c r="RC48" s="5"/>
      <c r="RD48" s="5"/>
      <c r="RE48" s="5"/>
      <c r="RF48" s="5">
        <v>563776</v>
      </c>
      <c r="RG48" s="5">
        <v>503047</v>
      </c>
      <c r="RH48" s="5">
        <v>16944</v>
      </c>
      <c r="RI48" s="5">
        <v>19706</v>
      </c>
      <c r="RJ48" s="5">
        <v>29201</v>
      </c>
      <c r="RK48" s="5">
        <v>585003</v>
      </c>
      <c r="RL48" s="5">
        <v>507951</v>
      </c>
      <c r="RM48" s="5">
        <v>17477</v>
      </c>
      <c r="RN48" s="5">
        <v>26133</v>
      </c>
      <c r="RO48" s="5">
        <v>54062</v>
      </c>
      <c r="RP48" s="1">
        <v>14148</v>
      </c>
      <c r="RQ48" s="1">
        <v>0</v>
      </c>
      <c r="RR48" s="1">
        <v>2585</v>
      </c>
      <c r="RS48" s="1">
        <v>27476</v>
      </c>
      <c r="RT48" s="1">
        <v>9853</v>
      </c>
      <c r="RU48" s="10">
        <v>130172</v>
      </c>
      <c r="RV48" s="3">
        <v>125668</v>
      </c>
      <c r="RW48" s="3">
        <v>2597</v>
      </c>
      <c r="RX48" s="3">
        <v>1069</v>
      </c>
      <c r="RY48" s="3">
        <v>1907</v>
      </c>
      <c r="RZ48" s="10">
        <v>179181</v>
      </c>
      <c r="SA48" s="3">
        <v>169950</v>
      </c>
      <c r="SB48" s="3">
        <v>3785</v>
      </c>
      <c r="SC48" s="3">
        <v>2542</v>
      </c>
      <c r="SD48" s="3">
        <v>5446</v>
      </c>
      <c r="SE48" s="10">
        <v>211305</v>
      </c>
      <c r="SF48" s="3">
        <v>196233</v>
      </c>
      <c r="SG48" s="3">
        <v>4312</v>
      </c>
      <c r="SH48" s="3">
        <v>4275</v>
      </c>
      <c r="SI48" s="3">
        <v>8345</v>
      </c>
      <c r="SJ48" s="10">
        <v>223229</v>
      </c>
      <c r="SK48" s="3">
        <v>209892</v>
      </c>
      <c r="SL48" s="3">
        <v>4548</v>
      </c>
      <c r="SM48" s="3">
        <v>5438</v>
      </c>
      <c r="SN48" s="3">
        <v>8789</v>
      </c>
      <c r="SO48" s="10">
        <v>227870.592</v>
      </c>
      <c r="SP48" s="3">
        <v>214606.17699999997</v>
      </c>
      <c r="SQ48" s="3">
        <v>4782.4349999999995</v>
      </c>
      <c r="SR48" s="3">
        <v>5106.6180000000004</v>
      </c>
      <c r="SS48" s="3">
        <v>8481.9800000000378</v>
      </c>
      <c r="ST48" s="10">
        <v>230800</v>
      </c>
      <c r="SU48" s="3">
        <v>212787</v>
      </c>
      <c r="SV48" s="3">
        <v>5414</v>
      </c>
      <c r="SW48" s="3">
        <v>5901</v>
      </c>
      <c r="SX48" s="3">
        <v>7895</v>
      </c>
      <c r="SY48" s="3">
        <v>231713</v>
      </c>
      <c r="SZ48" s="3">
        <v>213130</v>
      </c>
      <c r="TA48" s="3">
        <v>5857</v>
      </c>
      <c r="TB48" s="3">
        <v>5670</v>
      </c>
      <c r="TC48" s="3">
        <v>8291</v>
      </c>
      <c r="TD48" s="3">
        <v>247729</v>
      </c>
      <c r="TE48" s="3">
        <v>225118</v>
      </c>
      <c r="TF48" s="3">
        <v>7912</v>
      </c>
      <c r="TG48" s="3">
        <v>6966</v>
      </c>
      <c r="TH48" s="3">
        <v>8717</v>
      </c>
      <c r="TI48" s="3">
        <v>244556</v>
      </c>
      <c r="TJ48" s="3">
        <v>222558</v>
      </c>
      <c r="TK48" s="3">
        <v>8039</v>
      </c>
      <c r="TL48" s="3">
        <v>6120</v>
      </c>
      <c r="TM48" s="3">
        <v>8758</v>
      </c>
      <c r="TN48" s="3">
        <v>261931</v>
      </c>
      <c r="TO48" s="3">
        <v>239731</v>
      </c>
      <c r="TP48" s="3">
        <v>7101</v>
      </c>
      <c r="TQ48" s="3">
        <v>6160</v>
      </c>
      <c r="TR48" s="3">
        <v>9839</v>
      </c>
      <c r="TS48" s="10">
        <v>263330</v>
      </c>
      <c r="TT48" s="3">
        <v>238989</v>
      </c>
      <c r="TU48" s="3">
        <v>6496</v>
      </c>
      <c r="TV48" s="3">
        <v>7723</v>
      </c>
      <c r="TW48" s="3">
        <v>11241</v>
      </c>
      <c r="TX48" s="10">
        <v>269675</v>
      </c>
      <c r="TY48" s="3"/>
      <c r="TZ48" s="3"/>
      <c r="UA48" s="3"/>
      <c r="UB48" s="3"/>
      <c r="UC48" s="10">
        <v>277159</v>
      </c>
      <c r="UD48" s="3">
        <v>247758</v>
      </c>
      <c r="UE48" s="3">
        <v>8666</v>
      </c>
      <c r="UF48" s="3">
        <v>10169</v>
      </c>
      <c r="UG48" s="3">
        <v>13555</v>
      </c>
      <c r="UH48" s="10">
        <v>286510</v>
      </c>
      <c r="UI48" s="3">
        <v>250139</v>
      </c>
      <c r="UJ48" s="3">
        <v>8171</v>
      </c>
      <c r="UK48" s="3">
        <v>12161</v>
      </c>
      <c r="UL48" s="3">
        <v>25349</v>
      </c>
      <c r="UM48" s="1">
        <v>6161</v>
      </c>
      <c r="UN48" s="1">
        <v>0</v>
      </c>
      <c r="UO48" s="1">
        <v>1326</v>
      </c>
      <c r="UP48" s="1">
        <v>11984</v>
      </c>
      <c r="UQ48" s="1">
        <v>7907</v>
      </c>
      <c r="UR48" s="588">
        <f t="shared" si="586"/>
        <v>52934</v>
      </c>
      <c r="US48" s="40">
        <v>31805</v>
      </c>
      <c r="UT48" s="40">
        <v>21129</v>
      </c>
      <c r="UU48" s="588">
        <f t="shared" si="587"/>
        <v>696</v>
      </c>
      <c r="UV48" s="40">
        <v>388</v>
      </c>
      <c r="UW48" s="40">
        <v>308</v>
      </c>
      <c r="UX48" s="42">
        <v>77796</v>
      </c>
      <c r="UY48" s="588">
        <f t="shared" si="588"/>
        <v>45229</v>
      </c>
      <c r="UZ48" s="588">
        <f t="shared" si="589"/>
        <v>32567</v>
      </c>
      <c r="VA48" s="588">
        <f t="shared" si="590"/>
        <v>76410</v>
      </c>
      <c r="VB48" s="40">
        <v>44440</v>
      </c>
      <c r="VC48" s="40">
        <v>31970</v>
      </c>
      <c r="VD48" s="588">
        <f t="shared" si="591"/>
        <v>760</v>
      </c>
      <c r="VE48" s="40">
        <v>407</v>
      </c>
      <c r="VF48" s="40">
        <v>353</v>
      </c>
      <c r="VG48" s="588">
        <f t="shared" si="592"/>
        <v>626</v>
      </c>
      <c r="VH48" s="40">
        <v>382</v>
      </c>
      <c r="VI48" s="40">
        <v>244</v>
      </c>
      <c r="VJ48" s="42">
        <v>141542</v>
      </c>
      <c r="VK48" s="588">
        <f t="shared" si="593"/>
        <v>80274</v>
      </c>
      <c r="VL48" s="588">
        <f t="shared" si="594"/>
        <v>61268</v>
      </c>
      <c r="VM48" s="240">
        <f t="shared" si="595"/>
        <v>137135</v>
      </c>
      <c r="VN48" s="40">
        <v>77698</v>
      </c>
      <c r="VO48" s="40">
        <v>59437</v>
      </c>
      <c r="VP48" s="40">
        <v>2576</v>
      </c>
      <c r="VQ48" s="40">
        <v>1831</v>
      </c>
      <c r="VR48" s="240">
        <f t="shared" si="596"/>
        <v>2011</v>
      </c>
      <c r="VS48" s="40">
        <v>1053</v>
      </c>
      <c r="VT48" s="40">
        <v>958</v>
      </c>
      <c r="VU48" s="240">
        <f t="shared" si="597"/>
        <v>798</v>
      </c>
      <c r="VV48" s="40">
        <v>561</v>
      </c>
      <c r="VW48" s="40">
        <v>237</v>
      </c>
      <c r="VX48" s="233">
        <f t="shared" si="598"/>
        <v>1598</v>
      </c>
      <c r="VY48" s="233">
        <f t="shared" si="599"/>
        <v>962</v>
      </c>
      <c r="VZ48" s="233">
        <f t="shared" si="600"/>
        <v>636</v>
      </c>
      <c r="WA48" s="234">
        <f t="shared" si="601"/>
        <v>98</v>
      </c>
      <c r="WB48" s="234">
        <f t="shared" si="602"/>
        <v>72</v>
      </c>
      <c r="WC48" s="234">
        <f t="shared" si="603"/>
        <v>26</v>
      </c>
      <c r="WD48" s="40">
        <v>1500</v>
      </c>
      <c r="WE48" s="40">
        <v>890</v>
      </c>
      <c r="WF48" s="40">
        <v>610</v>
      </c>
      <c r="WG48" s="12">
        <f t="shared" si="604"/>
        <v>142581</v>
      </c>
      <c r="WH48" s="588">
        <f t="shared" si="605"/>
        <v>100770</v>
      </c>
      <c r="WI48" s="588">
        <f t="shared" si="606"/>
        <v>87892</v>
      </c>
      <c r="WJ48" s="11">
        <f t="shared" si="607"/>
        <v>125668</v>
      </c>
      <c r="WK48" s="90">
        <f t="shared" si="608"/>
        <v>180417</v>
      </c>
      <c r="WL48" s="40">
        <v>96223</v>
      </c>
      <c r="WM48" s="40">
        <v>84194</v>
      </c>
      <c r="WN48" s="40">
        <v>4547</v>
      </c>
      <c r="WO48" s="40">
        <v>3698</v>
      </c>
      <c r="WP48" s="11">
        <f t="shared" si="609"/>
        <v>4139</v>
      </c>
      <c r="WQ48" s="90">
        <f t="shared" si="610"/>
        <v>3610</v>
      </c>
      <c r="WR48" s="40">
        <v>1849</v>
      </c>
      <c r="WS48" s="40">
        <v>1761</v>
      </c>
      <c r="WT48" s="11">
        <f t="shared" si="611"/>
        <v>1504</v>
      </c>
      <c r="WU48" s="40">
        <v>810</v>
      </c>
      <c r="WV48" s="40">
        <v>694</v>
      </c>
      <c r="WW48" s="9">
        <f t="shared" si="612"/>
        <v>9814</v>
      </c>
      <c r="WX48" s="235">
        <f t="shared" si="613"/>
        <v>1888</v>
      </c>
      <c r="WY48" s="235">
        <f t="shared" si="614"/>
        <v>1243</v>
      </c>
      <c r="WZ48" s="236">
        <f t="shared" si="615"/>
        <v>19</v>
      </c>
      <c r="XA48" s="236">
        <f t="shared" si="616"/>
        <v>19</v>
      </c>
      <c r="XB48" s="236">
        <f t="shared" si="617"/>
        <v>0</v>
      </c>
      <c r="XC48" s="589">
        <f t="shared" si="618"/>
        <v>3112</v>
      </c>
      <c r="XD48" s="589">
        <f t="shared" si="619"/>
        <v>1869</v>
      </c>
      <c r="XE48" s="589">
        <f t="shared" si="620"/>
        <v>1243</v>
      </c>
      <c r="XF48" s="40">
        <v>289</v>
      </c>
      <c r="XG48" s="40">
        <v>225</v>
      </c>
      <c r="XH48" s="40">
        <v>1580</v>
      </c>
      <c r="XI48" s="40">
        <v>1018</v>
      </c>
      <c r="XJ48" s="590">
        <v>258140</v>
      </c>
      <c r="XK48" s="40">
        <v>129156</v>
      </c>
      <c r="XL48" s="40">
        <v>128984</v>
      </c>
      <c r="XM48" s="5">
        <f t="shared" si="621"/>
        <v>243712</v>
      </c>
      <c r="XN48" s="5">
        <v>121671</v>
      </c>
      <c r="XO48" s="5">
        <v>122041</v>
      </c>
      <c r="XP48" s="84">
        <f t="shared" si="622"/>
        <v>241683</v>
      </c>
      <c r="XQ48" s="40">
        <v>120615</v>
      </c>
      <c r="XR48" s="40">
        <v>121068</v>
      </c>
      <c r="XS48" s="5">
        <f t="shared" si="623"/>
        <v>5088</v>
      </c>
      <c r="XT48" s="40">
        <v>2546</v>
      </c>
      <c r="XU48" s="40">
        <v>2542</v>
      </c>
      <c r="XV48" s="5">
        <f t="shared" si="624"/>
        <v>3700</v>
      </c>
      <c r="XW48" s="40">
        <v>1971</v>
      </c>
      <c r="XX48" s="40">
        <v>1729</v>
      </c>
      <c r="XY48" s="84">
        <f t="shared" si="625"/>
        <v>9340</v>
      </c>
      <c r="XZ48" s="84">
        <f t="shared" si="626"/>
        <v>4939</v>
      </c>
      <c r="YA48" s="84">
        <f t="shared" si="627"/>
        <v>4401</v>
      </c>
      <c r="YB48" s="587">
        <v>308020</v>
      </c>
      <c r="YC48" s="40">
        <v>283709</v>
      </c>
      <c r="YD48" s="40">
        <v>6592</v>
      </c>
      <c r="YE48" s="40">
        <v>5937</v>
      </c>
      <c r="YF48" s="5">
        <v>14246</v>
      </c>
      <c r="YG48" s="10">
        <v>310997</v>
      </c>
      <c r="YH48" s="3">
        <v>290336</v>
      </c>
      <c r="YI48" s="3">
        <v>6591</v>
      </c>
      <c r="YJ48" s="3">
        <v>14070</v>
      </c>
      <c r="YK48" s="3">
        <v>6202</v>
      </c>
      <c r="YL48" s="10">
        <v>309758</v>
      </c>
      <c r="YM48" s="3">
        <v>289645</v>
      </c>
      <c r="YN48" s="3">
        <v>6247</v>
      </c>
      <c r="YO48" s="3">
        <v>13866</v>
      </c>
      <c r="YP48" s="3">
        <v>5789</v>
      </c>
      <c r="YQ48" s="10">
        <v>327017</v>
      </c>
      <c r="YR48" s="3">
        <v>304739</v>
      </c>
      <c r="YS48" s="3">
        <v>7127</v>
      </c>
      <c r="YT48" s="3">
        <v>15151</v>
      </c>
      <c r="YU48" s="3">
        <v>7181</v>
      </c>
      <c r="YV48" s="10">
        <v>334684.93200000003</v>
      </c>
      <c r="YW48" s="3">
        <v>311664.24699999997</v>
      </c>
      <c r="YX48" s="3">
        <v>8016.271999999999</v>
      </c>
      <c r="YY48" s="3">
        <v>6963.5700000000006</v>
      </c>
      <c r="YZ48" s="3">
        <v>15004.413000000057</v>
      </c>
      <c r="ZA48" s="3">
        <v>341014</v>
      </c>
      <c r="ZB48" s="3">
        <v>311344</v>
      </c>
      <c r="ZC48" s="3">
        <v>8197</v>
      </c>
      <c r="ZD48" s="3">
        <v>8159</v>
      </c>
      <c r="ZE48" s="1">
        <v>15081</v>
      </c>
      <c r="ZF48" s="1">
        <v>345534</v>
      </c>
      <c r="ZG48" s="1">
        <v>315073</v>
      </c>
      <c r="ZH48" s="1">
        <v>9043</v>
      </c>
      <c r="ZI48" s="1">
        <v>8020</v>
      </c>
      <c r="ZJ48" s="1">
        <v>15203</v>
      </c>
      <c r="ZK48" s="1">
        <v>361769</v>
      </c>
      <c r="ZL48" s="1">
        <v>326002</v>
      </c>
      <c r="ZM48" s="1">
        <v>11801</v>
      </c>
      <c r="ZN48" s="1">
        <v>9350</v>
      </c>
      <c r="ZO48" s="1">
        <v>16100</v>
      </c>
      <c r="ZP48" s="1">
        <v>372288</v>
      </c>
      <c r="ZQ48" s="1">
        <v>335365</v>
      </c>
      <c r="ZR48" s="1">
        <v>11198</v>
      </c>
      <c r="ZS48" s="1">
        <v>9361</v>
      </c>
      <c r="ZT48" s="1">
        <v>17906</v>
      </c>
      <c r="ZU48" s="1">
        <v>390972</v>
      </c>
      <c r="ZV48" s="1">
        <v>352431</v>
      </c>
      <c r="ZW48" s="1">
        <v>11840</v>
      </c>
      <c r="ZX48" s="1">
        <v>10661</v>
      </c>
      <c r="ZY48" s="1">
        <v>17749</v>
      </c>
      <c r="ZZ48" s="394">
        <v>10091</v>
      </c>
      <c r="AAA48" s="1">
        <v>0</v>
      </c>
      <c r="AAB48" s="1">
        <v>1265</v>
      </c>
      <c r="AAC48" s="1">
        <v>4968</v>
      </c>
      <c r="AAD48" s="1">
        <v>1425</v>
      </c>
      <c r="AAE48" s="50">
        <v>398780</v>
      </c>
      <c r="AAF48" s="1">
        <v>358709</v>
      </c>
      <c r="AAG48" s="1">
        <v>9629</v>
      </c>
      <c r="AAH48" s="1">
        <v>11159</v>
      </c>
      <c r="AAI48" s="1">
        <v>20979</v>
      </c>
      <c r="AAJ48" s="50">
        <v>410730</v>
      </c>
      <c r="AAK48" s="1"/>
      <c r="AAL48" s="1"/>
      <c r="AAM48" s="1"/>
      <c r="AAN48" s="1"/>
      <c r="AAO48" s="68">
        <v>422587</v>
      </c>
      <c r="AAP48" s="37">
        <v>377210</v>
      </c>
      <c r="AAQ48" s="37">
        <v>11824</v>
      </c>
      <c r="AAR48" s="37">
        <v>14344</v>
      </c>
      <c r="AAS48" s="37">
        <v>22950</v>
      </c>
      <c r="AAT48" s="68">
        <v>445261</v>
      </c>
      <c r="AAU48" s="37">
        <v>386122</v>
      </c>
      <c r="AAV48" s="37">
        <v>12685</v>
      </c>
      <c r="AAW48" s="37">
        <v>17819</v>
      </c>
      <c r="AAX48" s="37">
        <v>42913</v>
      </c>
      <c r="AAY48" s="1">
        <v>12409</v>
      </c>
      <c r="AAZ48" s="1">
        <v>0</v>
      </c>
      <c r="ABA48" s="1">
        <v>1542</v>
      </c>
      <c r="ABB48" s="1">
        <v>21055</v>
      </c>
      <c r="ABC48" s="1">
        <v>7907</v>
      </c>
      <c r="ABD48" s="10">
        <v>78959</v>
      </c>
      <c r="ABE48" s="3">
        <v>73762</v>
      </c>
      <c r="ABF48" s="3">
        <v>1303</v>
      </c>
      <c r="ABG48" s="3">
        <v>1158</v>
      </c>
      <c r="ABH48" s="3">
        <v>3894</v>
      </c>
      <c r="ABI48" s="10">
        <v>96715</v>
      </c>
      <c r="ABJ48" s="3">
        <v>87476</v>
      </c>
      <c r="ABK48" s="3">
        <v>2280</v>
      </c>
      <c r="ABL48" s="3">
        <v>1662</v>
      </c>
      <c r="ABM48" s="3">
        <v>5901</v>
      </c>
      <c r="ABN48" s="10">
        <v>103788</v>
      </c>
      <c r="ABO48" s="3">
        <v>94847</v>
      </c>
      <c r="ABP48" s="3">
        <v>2579</v>
      </c>
      <c r="ABQ48" s="3">
        <v>1743</v>
      </c>
      <c r="ABR48" s="3">
        <v>6362</v>
      </c>
      <c r="ABS48" s="10">
        <v>106814.34</v>
      </c>
      <c r="ABT48" s="3">
        <v>97058.069999999992</v>
      </c>
      <c r="ABU48" s="3">
        <v>3233.8369999999995</v>
      </c>
      <c r="ABV48" s="3">
        <v>1856.952</v>
      </c>
      <c r="ABW48" s="8">
        <v>6522.4330000000045</v>
      </c>
      <c r="ABX48" s="1">
        <v>110214</v>
      </c>
      <c r="ABY48" s="1">
        <v>98557</v>
      </c>
      <c r="ABZ48" s="1">
        <v>2783</v>
      </c>
      <c r="ACA48" s="1">
        <v>2258</v>
      </c>
      <c r="ACB48" s="49">
        <v>7186</v>
      </c>
      <c r="ACC48" s="1">
        <v>113821</v>
      </c>
      <c r="ACD48" s="1">
        <v>101943</v>
      </c>
      <c r="ACE48" s="1">
        <v>3186</v>
      </c>
      <c r="ACF48" s="1">
        <v>2350</v>
      </c>
      <c r="ACG48" s="1">
        <v>6912</v>
      </c>
      <c r="ACH48" s="1">
        <v>114040</v>
      </c>
      <c r="ACI48" s="1">
        <v>100884</v>
      </c>
      <c r="ACJ48" s="1">
        <v>3889</v>
      </c>
      <c r="ACK48" s="1">
        <v>2384</v>
      </c>
      <c r="ACL48" s="1">
        <v>7383</v>
      </c>
      <c r="ACM48" s="1">
        <v>127732</v>
      </c>
      <c r="ACN48" s="1">
        <v>112807</v>
      </c>
      <c r="ACO48" s="1">
        <v>3159</v>
      </c>
      <c r="ACP48" s="1">
        <v>3241</v>
      </c>
      <c r="ACQ48" s="1">
        <v>9148</v>
      </c>
      <c r="ACR48" s="1">
        <v>129041</v>
      </c>
      <c r="ACS48" s="1">
        <v>112700</v>
      </c>
      <c r="ACT48" s="1">
        <v>4739</v>
      </c>
      <c r="ACU48" s="1">
        <v>4501</v>
      </c>
      <c r="ACV48" s="1">
        <v>7910</v>
      </c>
      <c r="ADB48" s="50">
        <v>135450</v>
      </c>
      <c r="ADC48" s="1">
        <v>119720</v>
      </c>
      <c r="ADD48" s="1">
        <v>3133</v>
      </c>
      <c r="ADE48" s="1">
        <v>3436</v>
      </c>
      <c r="ADF48" s="1">
        <v>9738</v>
      </c>
      <c r="ADG48" s="50">
        <v>141055</v>
      </c>
      <c r="ADL48" s="50">
        <v>145428</v>
      </c>
      <c r="ADM48" s="1">
        <v>129452</v>
      </c>
      <c r="ADN48" s="1">
        <v>3158</v>
      </c>
      <c r="ADO48" s="1">
        <v>4175</v>
      </c>
      <c r="ADP48" s="1">
        <v>9395</v>
      </c>
      <c r="ADQ48" s="50">
        <v>158751</v>
      </c>
      <c r="ADR48" s="1">
        <v>135983</v>
      </c>
      <c r="ADS48" s="1">
        <v>4514</v>
      </c>
      <c r="ADT48" s="1">
        <v>5658</v>
      </c>
      <c r="ADU48" s="1">
        <v>17564</v>
      </c>
      <c r="ADV48" s="1">
        <v>6248</v>
      </c>
      <c r="ADW48" s="1">
        <v>0</v>
      </c>
      <c r="ADX48" s="1">
        <v>216</v>
      </c>
      <c r="ADY48" s="1">
        <v>9071</v>
      </c>
      <c r="ADZ48" s="1">
        <v>2029</v>
      </c>
    </row>
    <row r="49" spans="1:806" ht="14.1">
      <c r="A49" s="38" t="s">
        <v>47</v>
      </c>
      <c r="B49" s="174" t="s">
        <v>221</v>
      </c>
      <c r="C49" s="175" t="s">
        <v>221</v>
      </c>
      <c r="D49" s="175" t="s">
        <v>221</v>
      </c>
      <c r="E49" s="175" t="s">
        <v>221</v>
      </c>
      <c r="F49" s="176" t="s">
        <v>221</v>
      </c>
      <c r="G49" s="3">
        <v>59354</v>
      </c>
      <c r="H49" s="3">
        <v>57452</v>
      </c>
      <c r="I49" s="3">
        <v>21</v>
      </c>
      <c r="J49" s="3">
        <v>298</v>
      </c>
      <c r="K49" s="8">
        <v>1881</v>
      </c>
      <c r="L49" s="3">
        <v>35658</v>
      </c>
      <c r="M49" s="3">
        <v>34045</v>
      </c>
      <c r="N49" s="3">
        <v>20</v>
      </c>
      <c r="O49" s="3">
        <v>444</v>
      </c>
      <c r="P49" s="8">
        <v>1593</v>
      </c>
      <c r="Q49" s="3">
        <v>25937</v>
      </c>
      <c r="R49" s="3">
        <v>24054</v>
      </c>
      <c r="S49" s="3">
        <v>88</v>
      </c>
      <c r="T49" s="3">
        <v>542</v>
      </c>
      <c r="U49" s="8">
        <v>1619</v>
      </c>
      <c r="V49" s="5">
        <v>22541</v>
      </c>
      <c r="W49" s="5">
        <v>20247</v>
      </c>
      <c r="X49" s="5">
        <v>562</v>
      </c>
      <c r="Y49" s="5">
        <v>367</v>
      </c>
      <c r="Z49" s="408">
        <v>1732</v>
      </c>
      <c r="AA49" s="5">
        <v>20030</v>
      </c>
      <c r="AB49" s="5">
        <v>17475</v>
      </c>
      <c r="AC49" s="5">
        <v>476</v>
      </c>
      <c r="AD49" s="5">
        <v>483</v>
      </c>
      <c r="AE49" s="5">
        <v>1851</v>
      </c>
      <c r="AF49" s="399">
        <v>19167</v>
      </c>
      <c r="AG49" s="5">
        <v>16548</v>
      </c>
      <c r="AH49" s="5">
        <v>418</v>
      </c>
      <c r="AI49" s="5">
        <v>748</v>
      </c>
      <c r="AJ49" s="490">
        <v>1942</v>
      </c>
      <c r="AK49" s="490">
        <v>15778</v>
      </c>
      <c r="AL49" s="490">
        <v>12708</v>
      </c>
      <c r="AM49" s="685">
        <v>0</v>
      </c>
      <c r="AN49" s="685">
        <v>477</v>
      </c>
      <c r="AO49" s="490">
        <v>1640</v>
      </c>
      <c r="AP49" s="394">
        <v>18142</v>
      </c>
      <c r="AQ49" s="394">
        <v>15440</v>
      </c>
      <c r="AR49" s="394">
        <v>410</v>
      </c>
      <c r="AS49" s="394">
        <v>904</v>
      </c>
      <c r="AT49" s="394">
        <v>1388</v>
      </c>
      <c r="AU49" s="393">
        <v>13827</v>
      </c>
      <c r="AV49" s="394">
        <v>11022</v>
      </c>
      <c r="AW49" s="394">
        <v>0</v>
      </c>
      <c r="AX49" s="394">
        <v>845</v>
      </c>
      <c r="AY49" s="394">
        <v>1321</v>
      </c>
      <c r="AZ49" s="1">
        <v>471</v>
      </c>
      <c r="BA49" s="1">
        <v>0</v>
      </c>
      <c r="BB49" s="1">
        <v>734</v>
      </c>
      <c r="BC49" s="1">
        <v>116</v>
      </c>
      <c r="BE49" s="393">
        <v>13936</v>
      </c>
      <c r="BF49" s="394">
        <v>11712</v>
      </c>
      <c r="BG49" s="394">
        <v>330</v>
      </c>
      <c r="BH49" s="394">
        <v>791</v>
      </c>
      <c r="BI49" s="394">
        <v>642</v>
      </c>
      <c r="BJ49" s="393">
        <v>16988</v>
      </c>
      <c r="BK49" s="394"/>
      <c r="BL49" s="394"/>
      <c r="BM49" s="394"/>
      <c r="BN49" s="394"/>
      <c r="BO49" s="393">
        <v>13284</v>
      </c>
      <c r="BP49" s="394">
        <v>9284</v>
      </c>
      <c r="BQ49" s="394">
        <v>554</v>
      </c>
      <c r="BR49" s="394">
        <v>735</v>
      </c>
      <c r="BS49" s="394">
        <v>2665</v>
      </c>
      <c r="BT49" s="393">
        <v>14330</v>
      </c>
      <c r="BU49" s="394">
        <v>9766</v>
      </c>
      <c r="BV49" s="394">
        <v>1282</v>
      </c>
      <c r="BW49" s="394">
        <v>1776</v>
      </c>
      <c r="BX49" s="394">
        <v>0</v>
      </c>
      <c r="BY49" s="1">
        <v>0</v>
      </c>
      <c r="BZ49" s="1">
        <v>585</v>
      </c>
      <c r="CA49" s="1">
        <v>817</v>
      </c>
      <c r="CB49" s="1">
        <v>773</v>
      </c>
      <c r="CC49" s="10">
        <v>33073</v>
      </c>
      <c r="CD49" s="3">
        <v>30513</v>
      </c>
      <c r="CE49" s="3">
        <v>43</v>
      </c>
      <c r="CF49" s="3">
        <v>1776</v>
      </c>
      <c r="CG49" s="8">
        <v>2517</v>
      </c>
      <c r="CH49" s="3">
        <v>30298</v>
      </c>
      <c r="CI49" s="3">
        <v>27006</v>
      </c>
      <c r="CJ49" s="3">
        <v>89</v>
      </c>
      <c r="CK49" s="3">
        <v>449</v>
      </c>
      <c r="CL49" s="8">
        <v>3203</v>
      </c>
      <c r="CM49" s="1">
        <v>22945</v>
      </c>
      <c r="CN49" s="3">
        <v>19879</v>
      </c>
      <c r="CO49" s="3">
        <v>154</v>
      </c>
      <c r="CP49" s="3">
        <v>625</v>
      </c>
      <c r="CQ49" s="8">
        <v>2584</v>
      </c>
      <c r="CR49" s="3">
        <v>20913</v>
      </c>
      <c r="CS49" s="3">
        <v>17816</v>
      </c>
      <c r="CT49" s="3">
        <v>162</v>
      </c>
      <c r="CU49" s="3">
        <v>953</v>
      </c>
      <c r="CV49" s="8">
        <v>2935</v>
      </c>
      <c r="CW49" s="3">
        <v>20892</v>
      </c>
      <c r="CX49" s="3">
        <v>16709</v>
      </c>
      <c r="CY49" s="3">
        <v>178</v>
      </c>
      <c r="CZ49" s="3">
        <v>1064</v>
      </c>
      <c r="DA49" s="3">
        <v>3390</v>
      </c>
      <c r="DB49" s="3">
        <v>20830</v>
      </c>
      <c r="DC49" s="3">
        <v>16459</v>
      </c>
      <c r="DD49" s="3">
        <v>320</v>
      </c>
      <c r="DE49" s="3">
        <v>1085</v>
      </c>
      <c r="DF49" s="39">
        <v>3547</v>
      </c>
      <c r="DG49" s="39">
        <v>21488</v>
      </c>
      <c r="DH49" s="39">
        <v>15908</v>
      </c>
      <c r="DI49" s="39">
        <v>0</v>
      </c>
      <c r="DJ49" s="39">
        <v>1302</v>
      </c>
      <c r="DK49" s="39">
        <v>3918</v>
      </c>
      <c r="DL49" s="39">
        <v>18826</v>
      </c>
      <c r="DM49" s="39">
        <v>13488</v>
      </c>
      <c r="DN49" s="39">
        <v>498</v>
      </c>
      <c r="DO49" s="39">
        <v>1276</v>
      </c>
      <c r="DP49" s="39">
        <v>3661</v>
      </c>
      <c r="DQ49" s="39">
        <v>23917</v>
      </c>
      <c r="DR49" s="39">
        <v>16721</v>
      </c>
      <c r="DS49" s="39">
        <v>0</v>
      </c>
      <c r="DT49" s="39">
        <v>2106</v>
      </c>
      <c r="DU49" s="39">
        <v>4723</v>
      </c>
      <c r="DV49" s="118">
        <v>21087</v>
      </c>
      <c r="DW49" s="39">
        <v>15118</v>
      </c>
      <c r="DX49" s="39">
        <v>1101</v>
      </c>
      <c r="DY49" s="39">
        <v>1908</v>
      </c>
      <c r="DZ49" s="39">
        <v>2708</v>
      </c>
      <c r="EA49" s="118">
        <v>21520</v>
      </c>
      <c r="EB49" s="39"/>
      <c r="EC49" s="39"/>
      <c r="ED49" s="39"/>
      <c r="EE49" s="39"/>
      <c r="EF49" s="118">
        <v>19735</v>
      </c>
      <c r="EG49" s="39">
        <v>14893</v>
      </c>
      <c r="EH49" s="39">
        <v>361</v>
      </c>
      <c r="EI49" s="39">
        <v>1709</v>
      </c>
      <c r="EJ49" s="39">
        <v>2782</v>
      </c>
      <c r="EK49" s="118">
        <v>19735</v>
      </c>
      <c r="EL49" s="39">
        <v>14893</v>
      </c>
      <c r="EM49" s="39">
        <v>361</v>
      </c>
      <c r="EN49" s="39">
        <v>1709</v>
      </c>
      <c r="EO49" s="39">
        <v>2782</v>
      </c>
      <c r="EP49" s="118">
        <v>17977</v>
      </c>
      <c r="EQ49" s="39">
        <v>12004</v>
      </c>
      <c r="ER49" s="39">
        <v>1466</v>
      </c>
      <c r="ES49" s="39">
        <v>1115</v>
      </c>
      <c r="ET49" s="1">
        <v>0</v>
      </c>
      <c r="EU49" s="1">
        <v>0</v>
      </c>
      <c r="EV49" s="1">
        <v>2737</v>
      </c>
      <c r="EW49" s="1">
        <v>1032</v>
      </c>
      <c r="EX49" s="1">
        <v>451</v>
      </c>
      <c r="EY49" s="10">
        <v>42489</v>
      </c>
      <c r="EZ49" s="3">
        <v>36614</v>
      </c>
      <c r="FA49" s="3"/>
      <c r="FB49" s="3"/>
      <c r="FC49" s="201">
        <f t="shared" si="574"/>
        <v>5875</v>
      </c>
      <c r="FD49" s="174" t="s">
        <v>221</v>
      </c>
      <c r="FE49" s="175" t="s">
        <v>221</v>
      </c>
      <c r="FF49" s="175" t="s">
        <v>221</v>
      </c>
      <c r="FG49" s="175" t="s">
        <v>221</v>
      </c>
      <c r="FH49" s="174" t="s">
        <v>221</v>
      </c>
      <c r="FI49" s="175" t="s">
        <v>221</v>
      </c>
      <c r="FJ49" s="175" t="s">
        <v>221</v>
      </c>
      <c r="FK49" s="175" t="s">
        <v>221</v>
      </c>
      <c r="FL49" s="176" t="s">
        <v>221</v>
      </c>
      <c r="FM49" s="3">
        <v>304123</v>
      </c>
      <c r="FN49" s="3">
        <v>293544</v>
      </c>
      <c r="FO49" s="3">
        <v>1516</v>
      </c>
      <c r="FP49" s="3">
        <v>1411</v>
      </c>
      <c r="FQ49" s="8">
        <v>9063</v>
      </c>
      <c r="FR49" s="3">
        <v>342629</v>
      </c>
      <c r="FS49" s="3">
        <v>325418</v>
      </c>
      <c r="FT49" s="3">
        <v>1358</v>
      </c>
      <c r="FU49" s="3">
        <v>2413</v>
      </c>
      <c r="FV49" s="3">
        <v>15853</v>
      </c>
      <c r="FW49" s="127">
        <v>362416</v>
      </c>
      <c r="FX49" s="3">
        <v>338565</v>
      </c>
      <c r="FY49" s="3">
        <v>2367</v>
      </c>
      <c r="FZ49" s="3">
        <v>3946</v>
      </c>
      <c r="GA49" s="3">
        <v>3321</v>
      </c>
      <c r="GB49" s="10">
        <v>367821</v>
      </c>
      <c r="GC49" s="3">
        <v>345645</v>
      </c>
      <c r="GD49" s="3">
        <v>2181</v>
      </c>
      <c r="GE49" s="3">
        <v>19995</v>
      </c>
      <c r="GF49" s="3">
        <v>3904</v>
      </c>
      <c r="GG49" s="42">
        <v>370537</v>
      </c>
      <c r="GH49" s="40">
        <v>346518</v>
      </c>
      <c r="GI49" s="40">
        <v>2010</v>
      </c>
      <c r="GJ49" s="40">
        <v>22009</v>
      </c>
      <c r="GK49" s="40">
        <v>5046</v>
      </c>
      <c r="GL49" s="10">
        <v>392778</v>
      </c>
      <c r="GM49" s="3">
        <v>368252</v>
      </c>
      <c r="GN49" s="3">
        <v>2714</v>
      </c>
      <c r="GO49" s="3">
        <v>4511</v>
      </c>
      <c r="GP49" s="3">
        <v>18894</v>
      </c>
      <c r="GQ49" s="10">
        <v>399660.57600000006</v>
      </c>
      <c r="GR49" s="3">
        <v>374779.02299999999</v>
      </c>
      <c r="GS49" s="3"/>
      <c r="GT49" s="3"/>
      <c r="GU49" s="373">
        <f t="shared" si="575"/>
        <v>24881.553000000073</v>
      </c>
      <c r="GV49" s="3">
        <v>409133</v>
      </c>
      <c r="GW49" s="3">
        <v>378877</v>
      </c>
      <c r="GX49" s="3">
        <v>3591</v>
      </c>
      <c r="GY49" s="3">
        <v>4923</v>
      </c>
      <c r="GZ49" s="3">
        <v>23149</v>
      </c>
      <c r="HA49" s="3">
        <v>417774</v>
      </c>
      <c r="HB49" s="3">
        <v>384643</v>
      </c>
      <c r="HC49" s="3">
        <v>3741</v>
      </c>
      <c r="HD49" s="3">
        <v>5688</v>
      </c>
      <c r="HE49" s="3">
        <v>25576</v>
      </c>
      <c r="HF49" s="3">
        <v>441584</v>
      </c>
      <c r="HG49" s="3">
        <v>401468</v>
      </c>
      <c r="HH49" s="3">
        <v>0</v>
      </c>
      <c r="HI49" s="3">
        <v>7113</v>
      </c>
      <c r="HJ49" s="3">
        <v>28025</v>
      </c>
      <c r="HK49" s="3">
        <v>455049</v>
      </c>
      <c r="HL49" s="3">
        <v>407311</v>
      </c>
      <c r="HM49" s="3">
        <v>6713</v>
      </c>
      <c r="HN49" s="3">
        <v>10168</v>
      </c>
      <c r="HO49" s="3">
        <v>31674</v>
      </c>
      <c r="HP49" s="10">
        <v>457271</v>
      </c>
      <c r="HQ49" s="3">
        <v>408927</v>
      </c>
      <c r="HR49" s="3">
        <v>0</v>
      </c>
      <c r="HS49" s="3">
        <v>9222</v>
      </c>
      <c r="HT49" s="3">
        <v>30805</v>
      </c>
      <c r="HU49" s="394">
        <v>3909</v>
      </c>
      <c r="HV49" s="1">
        <v>0</v>
      </c>
      <c r="HW49" s="1">
        <v>17968</v>
      </c>
      <c r="HX49" s="1">
        <v>8928</v>
      </c>
      <c r="HZ49" s="10">
        <v>460881</v>
      </c>
      <c r="IA49" s="3">
        <v>406705</v>
      </c>
      <c r="IB49" s="3">
        <v>12017</v>
      </c>
      <c r="IC49" s="3">
        <v>10550</v>
      </c>
      <c r="ID49" s="3">
        <v>24019</v>
      </c>
      <c r="IE49" s="399">
        <v>462271</v>
      </c>
      <c r="IF49" s="5"/>
      <c r="IG49" s="5"/>
      <c r="IH49" s="5"/>
      <c r="II49" s="5"/>
      <c r="IJ49" s="399">
        <v>471356</v>
      </c>
      <c r="IK49" s="5">
        <v>413888</v>
      </c>
      <c r="IL49" s="5">
        <v>12556</v>
      </c>
      <c r="IM49" s="5">
        <v>12913</v>
      </c>
      <c r="IN49" s="5">
        <v>33258</v>
      </c>
      <c r="IO49" s="399">
        <v>474432</v>
      </c>
      <c r="IP49" s="5">
        <v>411687</v>
      </c>
      <c r="IQ49" s="5">
        <v>9171</v>
      </c>
      <c r="IR49" s="5">
        <v>13366</v>
      </c>
      <c r="IS49" s="5">
        <v>36400</v>
      </c>
      <c r="IT49" s="1">
        <v>0</v>
      </c>
      <c r="IU49" s="1">
        <v>0</v>
      </c>
      <c r="IV49" s="1">
        <v>16911</v>
      </c>
      <c r="IW49" s="1">
        <v>19489</v>
      </c>
      <c r="IY49" s="380" t="s">
        <v>221</v>
      </c>
      <c r="IZ49" s="188" t="s">
        <v>221</v>
      </c>
      <c r="JA49" s="188" t="s">
        <v>221</v>
      </c>
      <c r="JB49" s="188" t="s">
        <v>221</v>
      </c>
      <c r="JC49" s="635" t="s">
        <v>221</v>
      </c>
      <c r="JD49" s="5">
        <v>121269</v>
      </c>
      <c r="JE49" s="5">
        <v>116256</v>
      </c>
      <c r="JF49" s="5">
        <v>824</v>
      </c>
      <c r="JG49" s="5">
        <v>669</v>
      </c>
      <c r="JH49" s="408">
        <v>4189</v>
      </c>
      <c r="JI49" s="5">
        <v>138855</v>
      </c>
      <c r="JJ49" s="5">
        <v>130806</v>
      </c>
      <c r="JK49" s="5">
        <v>781</v>
      </c>
      <c r="JL49" s="5">
        <v>1035</v>
      </c>
      <c r="JM49" s="408">
        <v>7268</v>
      </c>
      <c r="JN49" s="5">
        <v>137561</v>
      </c>
      <c r="JO49" s="5">
        <v>127462</v>
      </c>
      <c r="JP49" s="5">
        <v>934</v>
      </c>
      <c r="JQ49" s="5">
        <v>1522</v>
      </c>
      <c r="JR49" s="5">
        <v>8227</v>
      </c>
      <c r="JS49" s="5">
        <v>158059</v>
      </c>
      <c r="JT49" s="5">
        <v>146717</v>
      </c>
      <c r="JU49" s="5">
        <v>1363</v>
      </c>
      <c r="JV49" s="5">
        <v>1683</v>
      </c>
      <c r="JW49" s="408">
        <v>9979</v>
      </c>
      <c r="JX49" s="5">
        <v>162431.26400000002</v>
      </c>
      <c r="JY49" s="5">
        <v>150569.83799999999</v>
      </c>
      <c r="JZ49" s="5"/>
      <c r="KA49" s="5"/>
      <c r="KB49" s="408">
        <v>11861.426000000036</v>
      </c>
      <c r="KC49" s="5">
        <v>163637</v>
      </c>
      <c r="KD49" s="5">
        <v>150401</v>
      </c>
      <c r="KE49" s="5">
        <v>1289</v>
      </c>
      <c r="KF49" s="5">
        <v>1991</v>
      </c>
      <c r="KG49" s="439">
        <v>10423</v>
      </c>
      <c r="KH49" s="439">
        <v>167968</v>
      </c>
      <c r="KI49" s="439">
        <v>153718</v>
      </c>
      <c r="KJ49" s="439">
        <v>1255</v>
      </c>
      <c r="KK49" s="439">
        <v>2051</v>
      </c>
      <c r="KL49" s="439">
        <v>11528</v>
      </c>
      <c r="KM49" s="439">
        <v>176875</v>
      </c>
      <c r="KN49" s="439">
        <v>157446</v>
      </c>
      <c r="KO49" s="439">
        <v>0</v>
      </c>
      <c r="KP49" s="439">
        <v>3390</v>
      </c>
      <c r="KQ49" s="439">
        <v>12484</v>
      </c>
      <c r="KR49" s="439">
        <v>175976</v>
      </c>
      <c r="KS49" s="439">
        <v>155816</v>
      </c>
      <c r="KT49" s="439">
        <v>2551</v>
      </c>
      <c r="KU49" s="439">
        <v>3434</v>
      </c>
      <c r="KV49" s="439">
        <v>14238</v>
      </c>
      <c r="KW49" s="630">
        <v>176770</v>
      </c>
      <c r="KX49" s="439">
        <v>156617</v>
      </c>
      <c r="KY49" s="439">
        <v>0</v>
      </c>
      <c r="KZ49" s="439">
        <v>3538</v>
      </c>
      <c r="LA49" s="439">
        <v>13374</v>
      </c>
      <c r="LB49" s="652">
        <v>177542</v>
      </c>
      <c r="LC49" s="653">
        <v>156371</v>
      </c>
      <c r="LD49" s="653">
        <v>4834</v>
      </c>
      <c r="LE49" s="653">
        <v>4217</v>
      </c>
      <c r="LF49" s="653">
        <v>10552</v>
      </c>
      <c r="LG49" s="652">
        <v>184166</v>
      </c>
      <c r="LH49" s="653"/>
      <c r="LI49" s="439"/>
      <c r="LJ49" s="439"/>
      <c r="LK49" s="439"/>
      <c r="LL49" s="652">
        <v>183527</v>
      </c>
      <c r="LM49" s="653">
        <v>157728</v>
      </c>
      <c r="LN49" s="653">
        <v>5380</v>
      </c>
      <c r="LO49" s="653">
        <v>4593</v>
      </c>
      <c r="LP49" s="653">
        <v>16272</v>
      </c>
      <c r="LQ49" s="652">
        <v>180269</v>
      </c>
      <c r="LR49" s="653">
        <v>155302</v>
      </c>
      <c r="LS49" s="653">
        <v>3887</v>
      </c>
      <c r="LT49" s="653">
        <v>5219</v>
      </c>
      <c r="LU49" s="653">
        <v>18785</v>
      </c>
      <c r="LV49" s="1">
        <v>0</v>
      </c>
      <c r="LW49" s="1">
        <v>0</v>
      </c>
      <c r="LX49" s="1">
        <v>7727</v>
      </c>
      <c r="LY49" s="1">
        <v>7917</v>
      </c>
      <c r="LZ49" s="1">
        <v>3141</v>
      </c>
      <c r="MA49" s="10">
        <v>39802</v>
      </c>
      <c r="MB49" s="3">
        <v>38471</v>
      </c>
      <c r="MC49" s="3">
        <v>90</v>
      </c>
      <c r="MD49" s="3">
        <v>156</v>
      </c>
      <c r="ME49" s="8">
        <v>1241</v>
      </c>
      <c r="MF49" s="3">
        <v>38567</v>
      </c>
      <c r="MG49" s="3">
        <v>36051</v>
      </c>
      <c r="MH49" s="3">
        <v>237</v>
      </c>
      <c r="MI49" s="3">
        <v>278</v>
      </c>
      <c r="MJ49" s="8">
        <v>2279</v>
      </c>
      <c r="MK49" s="3">
        <v>46706</v>
      </c>
      <c r="ML49" s="3">
        <v>43200</v>
      </c>
      <c r="MM49" s="3">
        <v>211</v>
      </c>
      <c r="MN49" s="3">
        <v>333</v>
      </c>
      <c r="MO49" s="3">
        <v>3054</v>
      </c>
      <c r="MP49" s="10">
        <v>53193</v>
      </c>
      <c r="MQ49" s="3">
        <v>50190</v>
      </c>
      <c r="MR49" s="3">
        <v>111</v>
      </c>
      <c r="MS49" s="3">
        <v>391</v>
      </c>
      <c r="MT49" s="3">
        <v>2892</v>
      </c>
      <c r="MU49" s="10"/>
      <c r="MV49" s="3"/>
      <c r="MW49" s="3"/>
      <c r="MX49" s="3"/>
      <c r="MY49" s="8"/>
      <c r="MZ49" s="3">
        <v>55880</v>
      </c>
      <c r="NA49" s="3">
        <v>52042</v>
      </c>
      <c r="NB49" s="3">
        <v>213</v>
      </c>
      <c r="NC49" s="3">
        <v>455</v>
      </c>
      <c r="ND49" s="3">
        <v>3198</v>
      </c>
      <c r="NE49" s="3">
        <v>59868</v>
      </c>
      <c r="NF49" s="3">
        <v>55475</v>
      </c>
      <c r="NG49" s="3">
        <v>214</v>
      </c>
      <c r="NH49" s="3">
        <v>490</v>
      </c>
      <c r="NI49" s="3">
        <v>3782</v>
      </c>
      <c r="NJ49" s="3">
        <v>64475</v>
      </c>
      <c r="NK49" s="3">
        <v>58025</v>
      </c>
      <c r="NL49" s="3">
        <v>0</v>
      </c>
      <c r="NM49" s="3">
        <v>1293</v>
      </c>
      <c r="NN49" s="3">
        <v>12255</v>
      </c>
      <c r="NO49" s="3">
        <v>64255</v>
      </c>
      <c r="NP49" s="3">
        <v>57090</v>
      </c>
      <c r="NQ49" s="3">
        <v>596</v>
      </c>
      <c r="NR49" s="3">
        <v>1039</v>
      </c>
      <c r="NS49" s="3">
        <v>5585</v>
      </c>
      <c r="NT49" s="3">
        <v>67554</v>
      </c>
      <c r="NU49" s="3">
        <v>60504</v>
      </c>
      <c r="NV49" s="3">
        <v>0</v>
      </c>
      <c r="NW49" s="3">
        <v>446</v>
      </c>
      <c r="NX49" s="3">
        <v>4831</v>
      </c>
      <c r="NY49" s="10">
        <v>66236</v>
      </c>
      <c r="NZ49" s="3">
        <v>58970</v>
      </c>
      <c r="OA49" s="3">
        <v>1740</v>
      </c>
      <c r="OB49" s="3">
        <v>1181</v>
      </c>
      <c r="OC49" s="3">
        <v>3432</v>
      </c>
      <c r="OD49" s="10">
        <v>74715</v>
      </c>
      <c r="OE49" s="3"/>
      <c r="OF49" s="3"/>
      <c r="OG49" s="3"/>
      <c r="OH49" s="3"/>
      <c r="OI49" s="10">
        <v>70716</v>
      </c>
      <c r="OJ49" s="3">
        <v>63364</v>
      </c>
      <c r="OK49" s="3">
        <v>1179</v>
      </c>
      <c r="OL49" s="3">
        <v>590</v>
      </c>
      <c r="OM49" s="3">
        <v>5299</v>
      </c>
      <c r="ON49" s="10">
        <v>73471</v>
      </c>
      <c r="OO49" s="3">
        <v>66186</v>
      </c>
      <c r="OP49" s="3">
        <v>873</v>
      </c>
      <c r="OQ49" s="3">
        <v>1193</v>
      </c>
      <c r="OR49" s="3"/>
      <c r="OS49" s="1">
        <v>0</v>
      </c>
      <c r="OT49" s="1">
        <v>0</v>
      </c>
      <c r="OU49" s="1">
        <v>2721</v>
      </c>
      <c r="OV49" s="1">
        <v>2125</v>
      </c>
      <c r="OW49" s="1">
        <v>417</v>
      </c>
      <c r="OX49" s="402">
        <f t="shared" si="576"/>
        <v>93439</v>
      </c>
      <c r="OY49" s="382">
        <f t="shared" si="577"/>
        <v>90794</v>
      </c>
      <c r="OZ49" s="382">
        <f t="shared" si="578"/>
        <v>2989</v>
      </c>
      <c r="PA49" s="382">
        <f t="shared" si="579"/>
        <v>6121</v>
      </c>
      <c r="PB49" s="382">
        <f t="shared" si="580"/>
        <v>2370</v>
      </c>
      <c r="PC49" s="402">
        <f t="shared" si="581"/>
        <v>128410</v>
      </c>
      <c r="PD49" s="382">
        <f t="shared" si="582"/>
        <v>122484</v>
      </c>
      <c r="PE49" s="382">
        <f t="shared" si="583"/>
        <v>538</v>
      </c>
      <c r="PF49" s="382">
        <f t="shared" si="584"/>
        <v>817</v>
      </c>
      <c r="PG49" s="382">
        <f t="shared" si="585"/>
        <v>5388</v>
      </c>
      <c r="PH49" s="10">
        <v>154091</v>
      </c>
      <c r="PI49" s="3">
        <v>146266</v>
      </c>
      <c r="PJ49" s="3">
        <v>744</v>
      </c>
      <c r="PK49" s="3">
        <v>1361</v>
      </c>
      <c r="PL49" s="3">
        <v>7081</v>
      </c>
      <c r="PM49" s="3">
        <v>151819</v>
      </c>
      <c r="PN49" s="3">
        <v>142275</v>
      </c>
      <c r="PO49" s="3">
        <v>770</v>
      </c>
      <c r="PP49" s="3">
        <v>1047</v>
      </c>
      <c r="PQ49" s="3">
        <v>8095</v>
      </c>
      <c r="PR49" s="399"/>
      <c r="PS49" s="5"/>
      <c r="PT49" s="5"/>
      <c r="PU49" s="5"/>
      <c r="PV49" s="5"/>
      <c r="PW49" s="5">
        <v>178881</v>
      </c>
      <c r="PX49" s="5">
        <v>167059</v>
      </c>
      <c r="PY49" s="5">
        <v>1552</v>
      </c>
      <c r="PZ49" s="5">
        <v>1598</v>
      </c>
      <c r="QA49" s="408">
        <v>9022</v>
      </c>
      <c r="QB49" s="5">
        <v>184313</v>
      </c>
      <c r="QC49" s="5">
        <v>171809</v>
      </c>
      <c r="QD49" s="5">
        <v>1459</v>
      </c>
      <c r="QE49" s="5">
        <v>1646</v>
      </c>
      <c r="QF49" s="5">
        <v>9864</v>
      </c>
      <c r="QG49" s="5">
        <v>195791</v>
      </c>
      <c r="QH49" s="5">
        <v>179406</v>
      </c>
      <c r="QI49" s="5">
        <v>0</v>
      </c>
      <c r="QJ49" s="5">
        <v>2569</v>
      </c>
      <c r="QK49" s="5">
        <v>12255</v>
      </c>
      <c r="QL49" s="399">
        <v>207658</v>
      </c>
      <c r="QM49" s="5">
        <v>187571</v>
      </c>
      <c r="QN49" s="5">
        <v>3232</v>
      </c>
      <c r="QO49" s="5">
        <v>3986</v>
      </c>
      <c r="QP49" s="5">
        <v>13406</v>
      </c>
      <c r="QQ49" s="399">
        <v>213877</v>
      </c>
      <c r="QR49" s="5">
        <v>195929</v>
      </c>
      <c r="QS49" s="5">
        <v>0</v>
      </c>
      <c r="QT49" s="5">
        <v>2314</v>
      </c>
      <c r="QU49" s="5">
        <v>13051</v>
      </c>
      <c r="QV49" s="399">
        <v>218675</v>
      </c>
      <c r="QW49" s="5">
        <v>195529</v>
      </c>
      <c r="QX49" s="5">
        <v>5154</v>
      </c>
      <c r="QY49" s="5">
        <v>2830</v>
      </c>
      <c r="QZ49" s="5">
        <v>9057</v>
      </c>
      <c r="RA49" s="399">
        <v>223325</v>
      </c>
      <c r="RB49" s="5"/>
      <c r="RC49" s="5"/>
      <c r="RD49" s="5"/>
      <c r="RE49" s="5"/>
      <c r="RF49" s="5">
        <v>224113</v>
      </c>
      <c r="RG49" s="5">
        <v>202444</v>
      </c>
      <c r="RH49" s="5">
        <v>4109</v>
      </c>
      <c r="RI49" s="5">
        <v>3251</v>
      </c>
      <c r="RJ49" s="5">
        <v>13687</v>
      </c>
      <c r="RK49" s="5">
        <v>234318</v>
      </c>
      <c r="RL49" s="5">
        <v>208156</v>
      </c>
      <c r="RM49" s="5">
        <v>3646</v>
      </c>
      <c r="RN49" s="5">
        <v>4465</v>
      </c>
      <c r="RO49" s="5">
        <v>13302</v>
      </c>
      <c r="RP49" s="1">
        <v>0</v>
      </c>
      <c r="RQ49" s="1">
        <v>0</v>
      </c>
      <c r="RR49" s="1">
        <v>5435</v>
      </c>
      <c r="RS49" s="1">
        <v>7867</v>
      </c>
      <c r="RU49" s="10">
        <v>53637</v>
      </c>
      <c r="RV49" s="3">
        <v>52323</v>
      </c>
      <c r="RW49" s="3">
        <v>185</v>
      </c>
      <c r="RX49" s="3">
        <v>223</v>
      </c>
      <c r="RY49" s="3">
        <v>1129</v>
      </c>
      <c r="RZ49" s="10">
        <v>67551</v>
      </c>
      <c r="SA49" s="3">
        <v>65496</v>
      </c>
      <c r="SB49" s="3">
        <v>170</v>
      </c>
      <c r="SC49" s="3">
        <v>345</v>
      </c>
      <c r="SD49" s="3">
        <v>1885</v>
      </c>
      <c r="SE49" s="10">
        <v>78166</v>
      </c>
      <c r="SF49" s="3">
        <v>74376</v>
      </c>
      <c r="SG49" s="3">
        <v>462</v>
      </c>
      <c r="SH49" s="3">
        <v>511</v>
      </c>
      <c r="SI49" s="3">
        <v>3079</v>
      </c>
      <c r="SJ49" s="10">
        <v>84717</v>
      </c>
      <c r="SK49" s="3">
        <v>81309</v>
      </c>
      <c r="SL49" s="3">
        <v>522</v>
      </c>
      <c r="SM49" s="3">
        <v>766</v>
      </c>
      <c r="SN49" s="3">
        <v>2886</v>
      </c>
      <c r="SO49" s="10">
        <v>85862.847999999984</v>
      </c>
      <c r="SP49" s="3">
        <v>82689.993000000002</v>
      </c>
      <c r="SQ49" s="3"/>
      <c r="SR49" s="3"/>
      <c r="SS49" s="3">
        <v>3172.8549999999814</v>
      </c>
      <c r="ST49" s="10">
        <v>87662</v>
      </c>
      <c r="SU49" s="3">
        <v>83018</v>
      </c>
      <c r="SV49" s="3">
        <v>900</v>
      </c>
      <c r="SW49" s="3">
        <v>786</v>
      </c>
      <c r="SX49" s="3">
        <v>3273</v>
      </c>
      <c r="SY49" s="3">
        <v>89875</v>
      </c>
      <c r="SZ49" s="3">
        <v>84780</v>
      </c>
      <c r="TA49" s="3">
        <v>884</v>
      </c>
      <c r="TB49" s="3">
        <v>853</v>
      </c>
      <c r="TC49" s="3">
        <v>3670</v>
      </c>
      <c r="TD49" s="3">
        <v>94873</v>
      </c>
      <c r="TE49" s="3">
        <v>88885</v>
      </c>
      <c r="TF49" s="3">
        <v>0</v>
      </c>
      <c r="TG49" s="3">
        <v>994</v>
      </c>
      <c r="TH49" s="3">
        <v>4762</v>
      </c>
      <c r="TI49" s="3">
        <v>105625</v>
      </c>
      <c r="TJ49" s="3">
        <v>96821</v>
      </c>
      <c r="TK49" s="3">
        <v>2241</v>
      </c>
      <c r="TL49" s="3">
        <v>2533</v>
      </c>
      <c r="TM49" s="3">
        <v>4505</v>
      </c>
      <c r="TN49" s="3">
        <v>107578</v>
      </c>
      <c r="TO49" s="3">
        <v>100347</v>
      </c>
      <c r="TP49" s="3">
        <v>0</v>
      </c>
      <c r="TQ49" s="3">
        <v>1646</v>
      </c>
      <c r="TR49" s="3">
        <v>5187</v>
      </c>
      <c r="TS49" s="10">
        <v>108045</v>
      </c>
      <c r="TT49" s="3">
        <v>99718</v>
      </c>
      <c r="TU49" s="3">
        <v>2232</v>
      </c>
      <c r="TV49" s="3">
        <v>1148</v>
      </c>
      <c r="TW49" s="3">
        <v>3414</v>
      </c>
      <c r="TX49" s="10">
        <v>110664</v>
      </c>
      <c r="TY49" s="3"/>
      <c r="TZ49" s="3"/>
      <c r="UA49" s="3"/>
      <c r="UB49" s="3"/>
      <c r="UC49" s="10">
        <v>108527</v>
      </c>
      <c r="UD49" s="3">
        <v>99644</v>
      </c>
      <c r="UE49" s="3">
        <v>1869</v>
      </c>
      <c r="UF49" s="3">
        <v>1801</v>
      </c>
      <c r="UG49" s="3">
        <v>5261</v>
      </c>
      <c r="UH49" s="10">
        <v>113314</v>
      </c>
      <c r="UI49" s="3">
        <v>102218</v>
      </c>
      <c r="UJ49" s="3">
        <v>1787</v>
      </c>
      <c r="UK49" s="3">
        <v>2122</v>
      </c>
      <c r="UL49" s="3">
        <v>5791</v>
      </c>
      <c r="UM49" s="1">
        <v>0</v>
      </c>
      <c r="UN49" s="1">
        <v>0</v>
      </c>
      <c r="UO49" s="1">
        <v>1413</v>
      </c>
      <c r="UP49" s="1">
        <v>4378</v>
      </c>
      <c r="UR49" s="588">
        <f t="shared" si="586"/>
        <v>17913</v>
      </c>
      <c r="US49" s="40">
        <v>11089</v>
      </c>
      <c r="UT49" s="40">
        <v>6824</v>
      </c>
      <c r="UU49" s="588">
        <f t="shared" si="587"/>
        <v>150</v>
      </c>
      <c r="UV49" s="40">
        <v>88</v>
      </c>
      <c r="UW49" s="40">
        <v>62</v>
      </c>
      <c r="UX49" s="42">
        <v>26624</v>
      </c>
      <c r="UY49" s="588">
        <f t="shared" si="588"/>
        <v>16121</v>
      </c>
      <c r="UZ49" s="588">
        <f t="shared" si="589"/>
        <v>10503</v>
      </c>
      <c r="VA49" s="588">
        <f t="shared" si="590"/>
        <v>26403</v>
      </c>
      <c r="VB49" s="40">
        <v>15987</v>
      </c>
      <c r="VC49" s="40">
        <v>10416</v>
      </c>
      <c r="VD49" s="588">
        <f t="shared" si="591"/>
        <v>93</v>
      </c>
      <c r="VE49" s="40">
        <v>44</v>
      </c>
      <c r="VF49" s="40">
        <v>49</v>
      </c>
      <c r="VG49" s="588">
        <f t="shared" si="592"/>
        <v>128</v>
      </c>
      <c r="VH49" s="40">
        <v>90</v>
      </c>
      <c r="VI49" s="40">
        <v>38</v>
      </c>
      <c r="VJ49" s="42">
        <v>54042</v>
      </c>
      <c r="VK49" s="588">
        <f t="shared" si="593"/>
        <v>31081</v>
      </c>
      <c r="VL49" s="588">
        <f t="shared" si="594"/>
        <v>22961</v>
      </c>
      <c r="VM49" s="240">
        <f t="shared" si="595"/>
        <v>52926</v>
      </c>
      <c r="VN49" s="40">
        <v>30387</v>
      </c>
      <c r="VO49" s="40">
        <v>22539</v>
      </c>
      <c r="VP49" s="40">
        <v>694</v>
      </c>
      <c r="VQ49" s="40">
        <v>422</v>
      </c>
      <c r="VR49" s="240">
        <f t="shared" si="596"/>
        <v>203</v>
      </c>
      <c r="VS49" s="40">
        <v>147</v>
      </c>
      <c r="VT49" s="40">
        <v>56</v>
      </c>
      <c r="VU49" s="240">
        <f t="shared" si="597"/>
        <v>127</v>
      </c>
      <c r="VV49" s="40">
        <v>94</v>
      </c>
      <c r="VW49" s="40">
        <v>33</v>
      </c>
      <c r="VX49" s="233">
        <f t="shared" si="598"/>
        <v>786</v>
      </c>
      <c r="VY49" s="233">
        <f t="shared" si="599"/>
        <v>453</v>
      </c>
      <c r="VZ49" s="233">
        <f t="shared" si="600"/>
        <v>333</v>
      </c>
      <c r="WA49" s="234">
        <f t="shared" si="601"/>
        <v>36</v>
      </c>
      <c r="WB49" s="234">
        <f t="shared" si="602"/>
        <v>25</v>
      </c>
      <c r="WC49" s="234">
        <f t="shared" si="603"/>
        <v>11</v>
      </c>
      <c r="WD49" s="40">
        <v>750</v>
      </c>
      <c r="WE49" s="40">
        <v>428</v>
      </c>
      <c r="WF49" s="40">
        <v>322</v>
      </c>
      <c r="WG49" s="12">
        <f t="shared" si="604"/>
        <v>53637</v>
      </c>
      <c r="WH49" s="588">
        <f t="shared" si="605"/>
        <v>37740</v>
      </c>
      <c r="WI49" s="588">
        <f t="shared" si="606"/>
        <v>33899</v>
      </c>
      <c r="WJ49" s="11">
        <f t="shared" si="607"/>
        <v>52323</v>
      </c>
      <c r="WK49" s="90">
        <f t="shared" si="608"/>
        <v>69530</v>
      </c>
      <c r="WL49" s="40">
        <v>36634</v>
      </c>
      <c r="WM49" s="40">
        <v>32896</v>
      </c>
      <c r="WN49" s="40">
        <v>1106</v>
      </c>
      <c r="WO49" s="40">
        <v>1003</v>
      </c>
      <c r="WP49" s="11">
        <f t="shared" si="609"/>
        <v>2899</v>
      </c>
      <c r="WQ49" s="90">
        <f t="shared" si="610"/>
        <v>270</v>
      </c>
      <c r="WR49" s="40">
        <v>168</v>
      </c>
      <c r="WS49" s="40">
        <v>102</v>
      </c>
      <c r="WT49" s="11">
        <f t="shared" si="611"/>
        <v>299</v>
      </c>
      <c r="WU49" s="40">
        <v>199</v>
      </c>
      <c r="WV49" s="40">
        <v>100</v>
      </c>
      <c r="WW49" s="9">
        <f t="shared" si="612"/>
        <v>1129</v>
      </c>
      <c r="WX49" s="235">
        <f t="shared" si="613"/>
        <v>739</v>
      </c>
      <c r="WY49" s="235">
        <f t="shared" si="614"/>
        <v>801</v>
      </c>
      <c r="WZ49" s="236">
        <f t="shared" si="615"/>
        <v>5</v>
      </c>
      <c r="XA49" s="236">
        <f t="shared" si="616"/>
        <v>0</v>
      </c>
      <c r="XB49" s="236">
        <f t="shared" si="617"/>
        <v>5</v>
      </c>
      <c r="XC49" s="589">
        <f t="shared" si="618"/>
        <v>1535</v>
      </c>
      <c r="XD49" s="589">
        <f t="shared" si="619"/>
        <v>739</v>
      </c>
      <c r="XE49" s="589">
        <f t="shared" si="620"/>
        <v>796</v>
      </c>
      <c r="XF49" s="40">
        <v>323</v>
      </c>
      <c r="XG49" s="40">
        <v>570</v>
      </c>
      <c r="XH49" s="40">
        <v>416</v>
      </c>
      <c r="XI49" s="40">
        <v>226</v>
      </c>
      <c r="XJ49" s="590">
        <v>89843</v>
      </c>
      <c r="XK49" s="40">
        <v>44047</v>
      </c>
      <c r="XL49" s="40">
        <v>45796</v>
      </c>
      <c r="XM49" s="5">
        <f t="shared" si="621"/>
        <v>86433</v>
      </c>
      <c r="XN49" s="5">
        <v>42391</v>
      </c>
      <c r="XO49" s="5">
        <v>44042</v>
      </c>
      <c r="XP49" s="84">
        <f t="shared" si="622"/>
        <v>86098</v>
      </c>
      <c r="XQ49" s="40">
        <v>42264</v>
      </c>
      <c r="XR49" s="40">
        <v>43834</v>
      </c>
      <c r="XS49" s="5">
        <f t="shared" si="623"/>
        <v>301</v>
      </c>
      <c r="XT49" s="40">
        <v>197</v>
      </c>
      <c r="XU49" s="40">
        <v>104</v>
      </c>
      <c r="XV49" s="5">
        <f t="shared" si="624"/>
        <v>539</v>
      </c>
      <c r="XW49" s="40">
        <v>199</v>
      </c>
      <c r="XX49" s="40">
        <v>340</v>
      </c>
      <c r="XY49" s="84">
        <f t="shared" si="625"/>
        <v>3109</v>
      </c>
      <c r="XZ49" s="84">
        <f t="shared" si="626"/>
        <v>1459</v>
      </c>
      <c r="YA49" s="84">
        <f t="shared" si="627"/>
        <v>1650</v>
      </c>
      <c r="YB49" s="587">
        <v>105113</v>
      </c>
      <c r="YC49" s="40">
        <v>99075</v>
      </c>
      <c r="YD49" s="40">
        <v>559</v>
      </c>
      <c r="YE49" s="40">
        <v>714</v>
      </c>
      <c r="YF49" s="5">
        <v>5041</v>
      </c>
      <c r="YG49" s="10">
        <v>107856</v>
      </c>
      <c r="YH49" s="3">
        <v>102428</v>
      </c>
      <c r="YI49" s="3">
        <v>375</v>
      </c>
      <c r="YJ49" s="3">
        <v>5053</v>
      </c>
      <c r="YK49" s="3">
        <v>702</v>
      </c>
      <c r="YL49" s="10">
        <v>108176</v>
      </c>
      <c r="YM49" s="3">
        <v>101800</v>
      </c>
      <c r="YN49" s="3">
        <v>441</v>
      </c>
      <c r="YO49" s="3">
        <v>5935</v>
      </c>
      <c r="YP49" s="3">
        <v>1120</v>
      </c>
      <c r="YQ49" s="10">
        <v>115714</v>
      </c>
      <c r="YR49" s="3">
        <v>109504</v>
      </c>
      <c r="YS49" s="3">
        <v>847</v>
      </c>
      <c r="YT49" s="3">
        <v>5363</v>
      </c>
      <c r="YU49" s="3">
        <v>1078</v>
      </c>
      <c r="YV49" s="10">
        <v>117729.47199999998</v>
      </c>
      <c r="YW49" s="3">
        <v>111898.89600000001</v>
      </c>
      <c r="YX49" s="3"/>
      <c r="YY49" s="3"/>
      <c r="YZ49" s="3">
        <v>5830.5759999999718</v>
      </c>
      <c r="ZA49" s="3">
        <v>123001</v>
      </c>
      <c r="ZB49" s="3">
        <v>115017</v>
      </c>
      <c r="ZC49" s="3">
        <v>1339</v>
      </c>
      <c r="ZD49" s="3">
        <v>1143</v>
      </c>
      <c r="ZE49" s="1">
        <v>5824</v>
      </c>
      <c r="ZF49" s="1">
        <v>124445</v>
      </c>
      <c r="ZG49" s="1">
        <v>116334</v>
      </c>
      <c r="ZH49" s="1">
        <v>1245</v>
      </c>
      <c r="ZI49" s="1">
        <v>1156</v>
      </c>
      <c r="ZJ49" s="1">
        <v>6082</v>
      </c>
      <c r="ZK49" s="1">
        <v>131316</v>
      </c>
      <c r="ZL49" s="1">
        <v>121381</v>
      </c>
      <c r="ZM49" s="1">
        <v>0</v>
      </c>
      <c r="ZN49" s="1">
        <v>1276</v>
      </c>
      <c r="ZO49" s="1">
        <v>8194</v>
      </c>
      <c r="ZP49" s="1">
        <v>143403</v>
      </c>
      <c r="ZQ49" s="1">
        <v>130481</v>
      </c>
      <c r="ZR49" s="1">
        <v>2636</v>
      </c>
      <c r="ZS49" s="1">
        <v>2947</v>
      </c>
      <c r="ZT49" s="1">
        <v>7821</v>
      </c>
      <c r="ZU49" s="1">
        <v>146323</v>
      </c>
      <c r="ZV49" s="1">
        <v>135425</v>
      </c>
      <c r="ZW49" s="1"/>
      <c r="ZX49" s="1">
        <v>1868</v>
      </c>
      <c r="ZY49" s="1">
        <v>8220</v>
      </c>
      <c r="ZZ49" s="394">
        <v>2291</v>
      </c>
      <c r="AAA49" s="1">
        <v>0</v>
      </c>
      <c r="AAB49" s="1">
        <v>3804</v>
      </c>
      <c r="AAC49" s="1">
        <v>2125</v>
      </c>
      <c r="AAE49" s="50">
        <v>152439</v>
      </c>
      <c r="AAF49" s="1">
        <v>136559</v>
      </c>
      <c r="AAG49" s="1">
        <v>3414</v>
      </c>
      <c r="AAH49" s="1">
        <v>1649</v>
      </c>
      <c r="AAI49" s="1">
        <v>5625</v>
      </c>
      <c r="AAJ49" s="50">
        <v>148610</v>
      </c>
      <c r="AAK49" s="1"/>
      <c r="AAL49" s="1"/>
      <c r="AAM49" s="1"/>
      <c r="AAN49" s="1"/>
      <c r="AAO49" s="68">
        <v>153397</v>
      </c>
      <c r="AAP49" s="37">
        <v>139080</v>
      </c>
      <c r="AAQ49" s="37">
        <v>2930</v>
      </c>
      <c r="AAR49" s="37">
        <v>2661</v>
      </c>
      <c r="AAS49" s="37">
        <v>8388</v>
      </c>
      <c r="AAT49" s="68">
        <v>160847</v>
      </c>
      <c r="AAU49" s="37">
        <v>141970</v>
      </c>
      <c r="AAV49" s="37">
        <v>2773</v>
      </c>
      <c r="AAW49" s="37">
        <v>3272</v>
      </c>
      <c r="AAX49" s="37">
        <v>8456</v>
      </c>
      <c r="AAY49" s="1">
        <v>0</v>
      </c>
      <c r="AAZ49" s="1">
        <v>0</v>
      </c>
      <c r="ABA49" s="1">
        <v>2714</v>
      </c>
      <c r="ABB49" s="1">
        <v>5742</v>
      </c>
      <c r="ABD49" s="10">
        <v>22292</v>
      </c>
      <c r="ABE49" s="3">
        <v>20937</v>
      </c>
      <c r="ABF49" s="3">
        <v>131</v>
      </c>
      <c r="ABG49" s="3">
        <v>194</v>
      </c>
      <c r="ABH49" s="3">
        <v>1224</v>
      </c>
      <c r="ABI49" s="10">
        <v>26947</v>
      </c>
      <c r="ABJ49" s="3">
        <v>24699</v>
      </c>
      <c r="ABK49" s="3">
        <v>97</v>
      </c>
      <c r="ABL49" s="3">
        <v>203</v>
      </c>
      <c r="ABM49" s="3">
        <v>1962</v>
      </c>
      <c r="ABN49" s="10">
        <v>30997</v>
      </c>
      <c r="ABO49" s="3">
        <v>28195</v>
      </c>
      <c r="ABP49" s="3">
        <v>325</v>
      </c>
      <c r="ABQ49" s="3">
        <v>312</v>
      </c>
      <c r="ABR49" s="3">
        <v>2477</v>
      </c>
      <c r="ABS49" s="10">
        <v>31866.624000000003</v>
      </c>
      <c r="ABT49" s="3">
        <v>29208.902999999998</v>
      </c>
      <c r="ABU49" s="3"/>
      <c r="ABV49" s="3"/>
      <c r="ABW49" s="8">
        <v>2657.721000000005</v>
      </c>
      <c r="ABX49" s="1">
        <v>35339</v>
      </c>
      <c r="ABY49" s="1">
        <v>31999</v>
      </c>
      <c r="ABZ49" s="1">
        <v>439</v>
      </c>
      <c r="ACA49" s="1">
        <v>357</v>
      </c>
      <c r="ACB49" s="49">
        <v>2551</v>
      </c>
      <c r="ACC49" s="1">
        <v>34570</v>
      </c>
      <c r="ACD49" s="1">
        <v>31554</v>
      </c>
      <c r="ACE49" s="1">
        <v>361</v>
      </c>
      <c r="ACF49" s="1">
        <v>303</v>
      </c>
      <c r="ACG49" s="1">
        <v>2412</v>
      </c>
      <c r="ACH49" s="1">
        <v>36443</v>
      </c>
      <c r="ACI49" s="1">
        <v>32496</v>
      </c>
      <c r="ACJ49" s="1">
        <v>0</v>
      </c>
      <c r="ACK49" s="1">
        <v>282</v>
      </c>
      <c r="ACL49" s="1">
        <v>3432</v>
      </c>
      <c r="ACM49" s="1">
        <v>37778</v>
      </c>
      <c r="ACN49" s="1">
        <v>33660</v>
      </c>
      <c r="ACO49" s="1">
        <v>395</v>
      </c>
      <c r="ACP49" s="1">
        <v>414</v>
      </c>
      <c r="ACQ49" s="1">
        <v>3316</v>
      </c>
      <c r="ACR49" s="1">
        <v>38745</v>
      </c>
      <c r="ACS49" s="1">
        <v>35078</v>
      </c>
      <c r="ACU49" s="1">
        <v>222</v>
      </c>
      <c r="ACV49" s="1">
        <v>3033</v>
      </c>
      <c r="ADB49" s="50">
        <v>44394</v>
      </c>
      <c r="ADC49" s="1">
        <v>36841</v>
      </c>
      <c r="ADD49" s="1">
        <v>1182</v>
      </c>
      <c r="ADE49" s="1">
        <v>501</v>
      </c>
      <c r="ADF49" s="1">
        <v>2211</v>
      </c>
      <c r="ADG49" s="50">
        <v>37946</v>
      </c>
      <c r="ADL49" s="50">
        <v>44870</v>
      </c>
      <c r="ADM49" s="1">
        <v>39436</v>
      </c>
      <c r="ADN49" s="1">
        <v>1061</v>
      </c>
      <c r="ADO49" s="1">
        <v>860</v>
      </c>
      <c r="ADP49" s="1">
        <v>3127</v>
      </c>
      <c r="ADQ49" s="50">
        <v>47533</v>
      </c>
      <c r="ADR49" s="1">
        <v>39752</v>
      </c>
      <c r="ADS49" s="1">
        <v>986</v>
      </c>
      <c r="ADT49" s="1">
        <v>1150</v>
      </c>
      <c r="ADU49" s="1">
        <v>2665</v>
      </c>
      <c r="ADV49" s="1">
        <v>0</v>
      </c>
      <c r="ADW49" s="1">
        <v>0</v>
      </c>
      <c r="ADX49" s="1">
        <v>1301</v>
      </c>
      <c r="ADY49" s="1">
        <v>1364</v>
      </c>
    </row>
    <row r="50" spans="1:806" ht="14.1">
      <c r="A50" s="38" t="s">
        <v>48</v>
      </c>
      <c r="B50" s="174" t="s">
        <v>221</v>
      </c>
      <c r="C50" s="175" t="s">
        <v>221</v>
      </c>
      <c r="D50" s="175" t="s">
        <v>221</v>
      </c>
      <c r="E50" s="175" t="s">
        <v>221</v>
      </c>
      <c r="F50" s="176" t="s">
        <v>221</v>
      </c>
      <c r="G50" s="3">
        <v>546954</v>
      </c>
      <c r="H50" s="3">
        <v>468691</v>
      </c>
      <c r="I50" s="3">
        <v>66087</v>
      </c>
      <c r="J50" s="3">
        <v>11506</v>
      </c>
      <c r="K50" s="8">
        <v>12176</v>
      </c>
      <c r="L50" s="3">
        <v>331801</v>
      </c>
      <c r="M50" s="3">
        <v>271196</v>
      </c>
      <c r="N50" s="3">
        <v>41377</v>
      </c>
      <c r="O50" s="3">
        <v>16053</v>
      </c>
      <c r="P50" s="8">
        <v>19228</v>
      </c>
      <c r="Q50" s="3">
        <v>273076</v>
      </c>
      <c r="R50" s="3">
        <v>210580</v>
      </c>
      <c r="S50" s="3">
        <v>31789</v>
      </c>
      <c r="T50" s="3">
        <v>21391</v>
      </c>
      <c r="U50" s="8">
        <v>19690</v>
      </c>
      <c r="V50" s="5">
        <v>259935</v>
      </c>
      <c r="W50" s="5">
        <v>206335</v>
      </c>
      <c r="X50" s="5">
        <v>33386</v>
      </c>
      <c r="Y50" s="5">
        <v>25698</v>
      </c>
      <c r="Z50" s="408">
        <v>20214</v>
      </c>
      <c r="AA50" s="5">
        <v>249708</v>
      </c>
      <c r="AB50" s="5">
        <v>183817</v>
      </c>
      <c r="AC50" s="5">
        <v>29061</v>
      </c>
      <c r="AD50" s="5">
        <v>26109</v>
      </c>
      <c r="AE50" s="5">
        <v>21348</v>
      </c>
      <c r="AF50" s="399">
        <v>248694</v>
      </c>
      <c r="AG50" s="5">
        <v>178266</v>
      </c>
      <c r="AH50" s="5">
        <v>29483</v>
      </c>
      <c r="AI50" s="5">
        <v>27981</v>
      </c>
      <c r="AJ50" s="490">
        <v>23650</v>
      </c>
      <c r="AK50" s="490">
        <v>232917</v>
      </c>
      <c r="AL50" s="490">
        <v>165511</v>
      </c>
      <c r="AM50" s="685">
        <v>27288</v>
      </c>
      <c r="AN50" s="685">
        <v>28028</v>
      </c>
      <c r="AO50" s="490">
        <v>23158</v>
      </c>
      <c r="AP50" s="394">
        <v>233766</v>
      </c>
      <c r="AQ50" s="394">
        <v>165492</v>
      </c>
      <c r="AR50" s="394">
        <v>27674</v>
      </c>
      <c r="AS50" s="394">
        <v>24144</v>
      </c>
      <c r="AT50" s="394">
        <v>25112</v>
      </c>
      <c r="AU50" s="393">
        <v>222209</v>
      </c>
      <c r="AV50" s="394">
        <v>154254</v>
      </c>
      <c r="AW50" s="394">
        <v>26113</v>
      </c>
      <c r="AX50" s="394">
        <v>26842</v>
      </c>
      <c r="AY50" s="394">
        <v>25493</v>
      </c>
      <c r="AZ50" s="1">
        <v>12539</v>
      </c>
      <c r="BA50" s="1">
        <v>0</v>
      </c>
      <c r="BB50" s="1">
        <v>530</v>
      </c>
      <c r="BC50" s="1">
        <v>2820</v>
      </c>
      <c r="BD50" s="1">
        <v>9604</v>
      </c>
      <c r="BE50" s="393">
        <v>218232</v>
      </c>
      <c r="BF50" s="394">
        <v>153058</v>
      </c>
      <c r="BG50" s="394">
        <v>25627</v>
      </c>
      <c r="BH50" s="394">
        <v>26135</v>
      </c>
      <c r="BI50" s="394">
        <v>23403</v>
      </c>
      <c r="BJ50" s="393">
        <v>218264</v>
      </c>
      <c r="BK50" s="394"/>
      <c r="BL50" s="394"/>
      <c r="BM50" s="394"/>
      <c r="BN50" s="394"/>
      <c r="BO50" s="393">
        <v>221017</v>
      </c>
      <c r="BP50" s="394">
        <v>143137</v>
      </c>
      <c r="BQ50" s="394">
        <v>27902</v>
      </c>
      <c r="BR50" s="394">
        <v>30641</v>
      </c>
      <c r="BS50" s="394">
        <v>32348</v>
      </c>
      <c r="BT50" s="393">
        <v>219901</v>
      </c>
      <c r="BU50" s="394">
        <v>137856</v>
      </c>
      <c r="BV50" s="394">
        <v>30103</v>
      </c>
      <c r="BW50" s="394">
        <v>28259</v>
      </c>
      <c r="BX50" s="394">
        <v>17375</v>
      </c>
      <c r="BY50" s="1">
        <v>0</v>
      </c>
      <c r="BZ50" s="1">
        <v>2418</v>
      </c>
      <c r="CA50" s="1">
        <v>14495</v>
      </c>
      <c r="CB50" s="1">
        <v>15503</v>
      </c>
      <c r="CC50" s="10">
        <v>1137934</v>
      </c>
      <c r="CD50" s="3">
        <v>958162</v>
      </c>
      <c r="CE50" s="3">
        <v>166242</v>
      </c>
      <c r="CF50" s="3">
        <v>28259</v>
      </c>
      <c r="CG50" s="8">
        <v>13530</v>
      </c>
      <c r="CH50" s="3">
        <v>930284</v>
      </c>
      <c r="CI50" s="3">
        <v>747331</v>
      </c>
      <c r="CJ50" s="3">
        <v>153438</v>
      </c>
      <c r="CK50" s="3">
        <v>18902</v>
      </c>
      <c r="CL50" s="8">
        <v>29515</v>
      </c>
      <c r="CM50" s="1">
        <v>767622</v>
      </c>
      <c r="CN50" s="3">
        <v>597510</v>
      </c>
      <c r="CO50" s="3">
        <v>133586</v>
      </c>
      <c r="CP50" s="3">
        <v>22169</v>
      </c>
      <c r="CQ50" s="8">
        <v>25195</v>
      </c>
      <c r="CR50" s="3">
        <v>675705</v>
      </c>
      <c r="CS50" s="3">
        <v>532030</v>
      </c>
      <c r="CT50" s="3">
        <v>119982</v>
      </c>
      <c r="CU50" s="3">
        <v>25020</v>
      </c>
      <c r="CV50" s="8">
        <v>23693</v>
      </c>
      <c r="CW50" s="3">
        <v>644363</v>
      </c>
      <c r="CX50" s="3">
        <v>485707</v>
      </c>
      <c r="CY50" s="3">
        <v>118135</v>
      </c>
      <c r="CZ50" s="3">
        <v>25523</v>
      </c>
      <c r="DA50" s="3">
        <v>24959</v>
      </c>
      <c r="DB50" s="3">
        <v>626821</v>
      </c>
      <c r="DC50" s="3">
        <v>468684</v>
      </c>
      <c r="DD50" s="3">
        <v>117216</v>
      </c>
      <c r="DE50" s="3">
        <v>25640</v>
      </c>
      <c r="DF50" s="39">
        <v>24968</v>
      </c>
      <c r="DG50" s="39">
        <v>603114</v>
      </c>
      <c r="DH50" s="39">
        <v>446180</v>
      </c>
      <c r="DI50" s="39">
        <v>112154</v>
      </c>
      <c r="DJ50" s="39">
        <v>27262</v>
      </c>
      <c r="DK50" s="39">
        <v>28873</v>
      </c>
      <c r="DL50" s="39">
        <v>579508</v>
      </c>
      <c r="DM50" s="39">
        <v>428236</v>
      </c>
      <c r="DN50" s="39">
        <v>105797</v>
      </c>
      <c r="DO50" s="39">
        <v>26280</v>
      </c>
      <c r="DP50" s="39">
        <v>29883</v>
      </c>
      <c r="DQ50" s="39">
        <v>568107</v>
      </c>
      <c r="DR50" s="39">
        <v>419978</v>
      </c>
      <c r="DS50" s="39">
        <v>104431</v>
      </c>
      <c r="DT50" s="39">
        <v>27502</v>
      </c>
      <c r="DU50" s="39">
        <v>27579</v>
      </c>
      <c r="DV50" s="118">
        <v>559456</v>
      </c>
      <c r="DW50" s="39">
        <v>405031</v>
      </c>
      <c r="DX50" s="39">
        <v>108338</v>
      </c>
      <c r="DY50" s="39">
        <v>26607</v>
      </c>
      <c r="DZ50" s="39">
        <v>30040</v>
      </c>
      <c r="EA50" s="118">
        <v>528136</v>
      </c>
      <c r="EB50" s="39"/>
      <c r="EC50" s="39"/>
      <c r="ED50" s="39"/>
      <c r="EE50" s="39"/>
      <c r="EF50" s="118">
        <v>519830</v>
      </c>
      <c r="EG50" s="39">
        <v>375121</v>
      </c>
      <c r="EH50" s="39">
        <v>95924</v>
      </c>
      <c r="EI50" s="39">
        <v>28502</v>
      </c>
      <c r="EJ50" s="39">
        <v>31423</v>
      </c>
      <c r="EK50" s="118">
        <v>519830</v>
      </c>
      <c r="EL50" s="39">
        <v>375121</v>
      </c>
      <c r="EM50" s="39">
        <v>95924</v>
      </c>
      <c r="EN50" s="39">
        <v>28502</v>
      </c>
      <c r="EO50" s="39">
        <v>31423</v>
      </c>
      <c r="EP50" s="118">
        <v>450413</v>
      </c>
      <c r="EQ50" s="39">
        <v>313389</v>
      </c>
      <c r="ER50" s="39">
        <v>83826</v>
      </c>
      <c r="ES50" s="39">
        <v>23492</v>
      </c>
      <c r="ET50" s="1">
        <v>8882</v>
      </c>
      <c r="EU50" s="1">
        <v>0</v>
      </c>
      <c r="EV50" s="1">
        <v>1293</v>
      </c>
      <c r="EW50" s="1">
        <v>27623</v>
      </c>
      <c r="EX50" s="1">
        <v>12229</v>
      </c>
      <c r="EY50" s="10">
        <v>918451</v>
      </c>
      <c r="EZ50" s="3">
        <v>719497</v>
      </c>
      <c r="FA50" s="3">
        <v>151193</v>
      </c>
      <c r="FB50" s="3">
        <v>51232</v>
      </c>
      <c r="FC50" s="201">
        <f t="shared" si="574"/>
        <v>47761</v>
      </c>
      <c r="FD50" s="174" t="s">
        <v>221</v>
      </c>
      <c r="FE50" s="175" t="s">
        <v>221</v>
      </c>
      <c r="FF50" s="175" t="s">
        <v>221</v>
      </c>
      <c r="FG50" s="175" t="s">
        <v>221</v>
      </c>
      <c r="FH50" s="174" t="s">
        <v>221</v>
      </c>
      <c r="FI50" s="175" t="s">
        <v>221</v>
      </c>
      <c r="FJ50" s="175" t="s">
        <v>221</v>
      </c>
      <c r="FK50" s="175" t="s">
        <v>221</v>
      </c>
      <c r="FL50" s="176" t="s">
        <v>221</v>
      </c>
      <c r="FM50" s="3">
        <v>5239876</v>
      </c>
      <c r="FN50" s="3">
        <v>4748494</v>
      </c>
      <c r="FO50" s="3">
        <v>424092</v>
      </c>
      <c r="FP50" s="3">
        <v>41016</v>
      </c>
      <c r="FQ50" s="8">
        <v>67290</v>
      </c>
      <c r="FR50" s="3">
        <v>6149655</v>
      </c>
      <c r="FS50" s="3">
        <v>5425976</v>
      </c>
      <c r="FT50" s="3">
        <v>551362</v>
      </c>
      <c r="FU50" s="3">
        <v>71277</v>
      </c>
      <c r="FV50" s="3">
        <v>172317</v>
      </c>
      <c r="FW50" s="127">
        <v>6557701</v>
      </c>
      <c r="FX50" s="3">
        <v>5663359</v>
      </c>
      <c r="FY50" s="3">
        <v>693378</v>
      </c>
      <c r="FZ50" s="3">
        <v>122394</v>
      </c>
      <c r="GA50" s="3">
        <v>100225</v>
      </c>
      <c r="GB50" s="10">
        <v>6644076</v>
      </c>
      <c r="GC50" s="3">
        <v>5790397</v>
      </c>
      <c r="GD50" s="3">
        <v>645891</v>
      </c>
      <c r="GE50" s="3">
        <v>207788</v>
      </c>
      <c r="GF50" s="3">
        <v>103378</v>
      </c>
      <c r="GG50" s="42">
        <v>6732030</v>
      </c>
      <c r="GH50" s="40">
        <v>5868983</v>
      </c>
      <c r="GI50" s="40">
        <v>654563</v>
      </c>
      <c r="GJ50" s="40">
        <v>208484</v>
      </c>
      <c r="GK50" s="40">
        <v>110107</v>
      </c>
      <c r="GL50" s="10">
        <v>6752029</v>
      </c>
      <c r="GM50" s="3">
        <v>5850645</v>
      </c>
      <c r="GN50" s="3">
        <v>684125</v>
      </c>
      <c r="GO50" s="3">
        <v>120199</v>
      </c>
      <c r="GP50" s="3">
        <v>151807</v>
      </c>
      <c r="GQ50" s="10">
        <v>6799623.1940000001</v>
      </c>
      <c r="GR50" s="3">
        <v>5868193.8770000003</v>
      </c>
      <c r="GS50" s="3">
        <v>693462.57599999988</v>
      </c>
      <c r="GT50" s="3">
        <v>125430.02</v>
      </c>
      <c r="GU50" s="373">
        <f t="shared" si="575"/>
        <v>237966.74099999992</v>
      </c>
      <c r="GV50" s="3">
        <v>6850815</v>
      </c>
      <c r="GW50" s="3">
        <v>5823076</v>
      </c>
      <c r="GX50" s="3">
        <v>704074</v>
      </c>
      <c r="GY50" s="3">
        <v>131618</v>
      </c>
      <c r="GZ50" s="3">
        <v>235849</v>
      </c>
      <c r="HA50" s="3">
        <v>6900939</v>
      </c>
      <c r="HB50" s="3">
        <v>5858382</v>
      </c>
      <c r="HC50" s="3">
        <v>705192</v>
      </c>
      <c r="HD50" s="3">
        <v>135936</v>
      </c>
      <c r="HE50" s="3">
        <v>247471</v>
      </c>
      <c r="HF50" s="3">
        <v>7021429</v>
      </c>
      <c r="HG50" s="3">
        <v>5919501</v>
      </c>
      <c r="HH50" s="3">
        <v>731450</v>
      </c>
      <c r="HI50" s="3">
        <v>146941</v>
      </c>
      <c r="HJ50" s="3">
        <v>272194</v>
      </c>
      <c r="HK50" s="3">
        <v>7083196</v>
      </c>
      <c r="HL50" s="3">
        <v>5947558</v>
      </c>
      <c r="HM50" s="3">
        <v>749650</v>
      </c>
      <c r="HN50" s="3">
        <v>161803</v>
      </c>
      <c r="HO50" s="3">
        <v>275895</v>
      </c>
      <c r="HP50" s="10">
        <v>7131745</v>
      </c>
      <c r="HQ50" s="3">
        <v>5963698</v>
      </c>
      <c r="HR50" s="3">
        <v>769747</v>
      </c>
      <c r="HS50" s="3">
        <v>160482</v>
      </c>
      <c r="HT50" s="3">
        <v>291576</v>
      </c>
      <c r="HU50" s="394">
        <v>141199</v>
      </c>
      <c r="HV50" s="1">
        <v>0</v>
      </c>
      <c r="HW50" s="1">
        <v>10331</v>
      </c>
      <c r="HX50" s="1">
        <v>97972</v>
      </c>
      <c r="HY50" s="1">
        <v>42074</v>
      </c>
      <c r="HZ50" s="10">
        <v>7204197</v>
      </c>
      <c r="IA50" s="3">
        <v>5990899</v>
      </c>
      <c r="IB50" s="3">
        <v>778024</v>
      </c>
      <c r="IC50" s="3">
        <v>174259</v>
      </c>
      <c r="ID50" s="3">
        <v>318135</v>
      </c>
      <c r="IE50" s="399">
        <v>7280635</v>
      </c>
      <c r="IF50" s="5"/>
      <c r="IG50" s="5"/>
      <c r="IH50" s="5"/>
      <c r="II50" s="5"/>
      <c r="IJ50" s="399">
        <v>7308958</v>
      </c>
      <c r="IK50" s="5">
        <v>6034549</v>
      </c>
      <c r="IL50" s="5">
        <v>816049</v>
      </c>
      <c r="IM50" s="5">
        <v>188167</v>
      </c>
      <c r="IN50" s="5">
        <v>335367</v>
      </c>
      <c r="IO50" s="399">
        <v>7447659</v>
      </c>
      <c r="IP50" s="5">
        <v>6032297</v>
      </c>
      <c r="IQ50" s="5">
        <v>781414</v>
      </c>
      <c r="IR50" s="5">
        <v>214233</v>
      </c>
      <c r="IS50" s="5">
        <v>591138</v>
      </c>
      <c r="IT50" s="1">
        <v>168149</v>
      </c>
      <c r="IU50" s="1">
        <v>0</v>
      </c>
      <c r="IV50" s="1">
        <v>11110</v>
      </c>
      <c r="IW50" s="1">
        <v>327621</v>
      </c>
      <c r="IX50" s="1">
        <v>84258</v>
      </c>
      <c r="IY50" s="380" t="s">
        <v>221</v>
      </c>
      <c r="IZ50" s="188" t="s">
        <v>221</v>
      </c>
      <c r="JA50" s="188" t="s">
        <v>221</v>
      </c>
      <c r="JB50" s="188" t="s">
        <v>221</v>
      </c>
      <c r="JC50" s="635" t="s">
        <v>221</v>
      </c>
      <c r="JD50" s="5">
        <v>1548553</v>
      </c>
      <c r="JE50" s="5">
        <v>1364442</v>
      </c>
      <c r="JF50" s="5">
        <v>167138</v>
      </c>
      <c r="JG50" s="5">
        <v>13362</v>
      </c>
      <c r="JH50" s="408">
        <v>16973</v>
      </c>
      <c r="JI50" s="5">
        <v>1911572</v>
      </c>
      <c r="JJ50" s="5">
        <v>1641827</v>
      </c>
      <c r="JK50" s="5">
        <v>220179</v>
      </c>
      <c r="JL50" s="5">
        <v>25023</v>
      </c>
      <c r="JM50" s="408">
        <v>49566</v>
      </c>
      <c r="JN50" s="5">
        <v>1984530</v>
      </c>
      <c r="JO50" s="5">
        <v>1682673</v>
      </c>
      <c r="JP50" s="5">
        <v>231020</v>
      </c>
      <c r="JQ50" s="5">
        <v>31663</v>
      </c>
      <c r="JR50" s="5">
        <v>52676</v>
      </c>
      <c r="JS50" s="5">
        <v>2169253</v>
      </c>
      <c r="JT50" s="5">
        <v>1826231</v>
      </c>
      <c r="JU50" s="5">
        <v>285099</v>
      </c>
      <c r="JV50" s="5">
        <v>41913</v>
      </c>
      <c r="JW50" s="408">
        <v>57923</v>
      </c>
      <c r="JX50" s="5">
        <v>2199651.09</v>
      </c>
      <c r="JY50" s="5">
        <v>1841649.1469999999</v>
      </c>
      <c r="JZ50" s="5">
        <v>291406.31999999995</v>
      </c>
      <c r="KA50" s="5">
        <v>45048.81</v>
      </c>
      <c r="KB50" s="408">
        <v>66595.623000000021</v>
      </c>
      <c r="KC50" s="5">
        <v>2226173</v>
      </c>
      <c r="KD50" s="5">
        <v>1828540</v>
      </c>
      <c r="KE50" s="5">
        <v>300790</v>
      </c>
      <c r="KF50" s="5">
        <v>47312</v>
      </c>
      <c r="KG50" s="439">
        <v>65647</v>
      </c>
      <c r="KH50" s="439">
        <v>2240950</v>
      </c>
      <c r="KI50" s="439">
        <v>1838798</v>
      </c>
      <c r="KJ50" s="439">
        <v>302614</v>
      </c>
      <c r="KK50" s="439">
        <v>47397</v>
      </c>
      <c r="KL50" s="439">
        <v>69042</v>
      </c>
      <c r="KM50" s="439">
        <v>2262648</v>
      </c>
      <c r="KN50" s="439">
        <v>1838920</v>
      </c>
      <c r="KO50" s="439">
        <v>311295</v>
      </c>
      <c r="KP50" s="439">
        <v>54588</v>
      </c>
      <c r="KQ50" s="439">
        <v>77818</v>
      </c>
      <c r="KR50" s="439">
        <v>2303257</v>
      </c>
      <c r="KS50" s="439">
        <v>1872218</v>
      </c>
      <c r="KT50" s="439">
        <v>316354</v>
      </c>
      <c r="KU50" s="439">
        <v>57214</v>
      </c>
      <c r="KV50" s="439">
        <v>77103</v>
      </c>
      <c r="KW50" s="630">
        <v>2313036</v>
      </c>
      <c r="KX50" s="439">
        <v>1867937</v>
      </c>
      <c r="KY50" s="439">
        <v>325355</v>
      </c>
      <c r="KZ50" s="439">
        <v>55885</v>
      </c>
      <c r="LA50" s="439">
        <v>84777</v>
      </c>
      <c r="LB50" s="652">
        <v>2311638</v>
      </c>
      <c r="LC50" s="653">
        <v>1862880</v>
      </c>
      <c r="LD50" s="653">
        <v>323268</v>
      </c>
      <c r="LE50" s="653">
        <v>60128</v>
      </c>
      <c r="LF50" s="653">
        <v>85319</v>
      </c>
      <c r="LG50" s="652">
        <v>2329054</v>
      </c>
      <c r="LH50" s="653"/>
      <c r="LI50" s="439"/>
      <c r="LJ50" s="439"/>
      <c r="LK50" s="439"/>
      <c r="LL50" s="652">
        <v>2324615</v>
      </c>
      <c r="LM50" s="653">
        <v>1853260</v>
      </c>
      <c r="LN50" s="653">
        <v>341268</v>
      </c>
      <c r="LO50" s="653">
        <v>64487</v>
      </c>
      <c r="LP50" s="653">
        <v>90156</v>
      </c>
      <c r="LQ50" s="652">
        <v>2288990</v>
      </c>
      <c r="LR50" s="653">
        <v>1800667</v>
      </c>
      <c r="LS50" s="653">
        <v>302781</v>
      </c>
      <c r="LT50" s="653">
        <v>70346</v>
      </c>
      <c r="LU50" s="653">
        <v>170961</v>
      </c>
      <c r="LV50" s="1">
        <v>24064</v>
      </c>
      <c r="LW50" s="1">
        <v>0</v>
      </c>
      <c r="LX50" s="1">
        <v>3993</v>
      </c>
      <c r="LY50" s="1">
        <v>115346</v>
      </c>
      <c r="LZ50" s="1">
        <v>27558</v>
      </c>
      <c r="MA50" s="10">
        <v>369144</v>
      </c>
      <c r="MB50" s="3">
        <v>328954</v>
      </c>
      <c r="MC50" s="3">
        <v>35070</v>
      </c>
      <c r="MD50" s="3">
        <v>3637</v>
      </c>
      <c r="ME50" s="8">
        <v>5120</v>
      </c>
      <c r="MF50" s="3">
        <v>439608</v>
      </c>
      <c r="MG50" s="3">
        <v>383947</v>
      </c>
      <c r="MH50" s="3">
        <v>43679</v>
      </c>
      <c r="MI50" s="3">
        <v>5268</v>
      </c>
      <c r="MJ50" s="8">
        <v>11982</v>
      </c>
      <c r="MK50" s="3">
        <v>535539</v>
      </c>
      <c r="ML50" s="3">
        <v>461421</v>
      </c>
      <c r="MM50" s="3">
        <v>54692</v>
      </c>
      <c r="MN50" s="3">
        <v>9108</v>
      </c>
      <c r="MO50" s="3">
        <v>14825</v>
      </c>
      <c r="MP50" s="10">
        <v>576202</v>
      </c>
      <c r="MQ50" s="3">
        <v>495047</v>
      </c>
      <c r="MR50" s="3">
        <v>65223</v>
      </c>
      <c r="MS50" s="3">
        <v>10176</v>
      </c>
      <c r="MT50" s="3">
        <v>15932</v>
      </c>
      <c r="MU50" s="10"/>
      <c r="MV50" s="3"/>
      <c r="MW50" s="3"/>
      <c r="MX50" s="3"/>
      <c r="MY50" s="8"/>
      <c r="MZ50" s="3">
        <v>610446</v>
      </c>
      <c r="NA50" s="3">
        <v>515872</v>
      </c>
      <c r="NB50" s="3">
        <v>68382</v>
      </c>
      <c r="NC50" s="3">
        <v>11013</v>
      </c>
      <c r="ND50" s="3">
        <v>18594</v>
      </c>
      <c r="NE50" s="3">
        <v>624184</v>
      </c>
      <c r="NF50" s="3">
        <v>528535</v>
      </c>
      <c r="NG50" s="3">
        <v>67319</v>
      </c>
      <c r="NH50" s="3">
        <v>12237</v>
      </c>
      <c r="NI50" s="3">
        <v>20346</v>
      </c>
      <c r="NJ50" s="3">
        <v>659197</v>
      </c>
      <c r="NK50" s="3">
        <v>558656</v>
      </c>
      <c r="NL50" s="3">
        <v>72258</v>
      </c>
      <c r="NM50" s="3">
        <v>12041</v>
      </c>
      <c r="NN50" s="3">
        <v>149710</v>
      </c>
      <c r="NO50" s="3">
        <v>679330</v>
      </c>
      <c r="NP50" s="3">
        <v>565134</v>
      </c>
      <c r="NQ50" s="3">
        <v>80562</v>
      </c>
      <c r="NR50" s="3">
        <v>16185</v>
      </c>
      <c r="NS50" s="3">
        <v>23014</v>
      </c>
      <c r="NT50" s="3">
        <v>682507</v>
      </c>
      <c r="NU50" s="3">
        <v>576015</v>
      </c>
      <c r="NV50" s="3">
        <v>74972</v>
      </c>
      <c r="NW50" s="3">
        <v>13420</v>
      </c>
      <c r="NX50" s="3">
        <v>21894</v>
      </c>
      <c r="NY50" s="10">
        <v>698820</v>
      </c>
      <c r="NZ50" s="3">
        <v>580813</v>
      </c>
      <c r="OA50" s="3">
        <v>84132</v>
      </c>
      <c r="OB50" s="3">
        <v>15583</v>
      </c>
      <c r="OC50" s="3">
        <v>23070</v>
      </c>
      <c r="OD50" s="10">
        <v>690735</v>
      </c>
      <c r="OE50" s="3"/>
      <c r="OF50" s="3"/>
      <c r="OG50" s="3"/>
      <c r="OH50" s="3"/>
      <c r="OI50" s="10">
        <v>702601</v>
      </c>
      <c r="OJ50" s="3">
        <v>577971</v>
      </c>
      <c r="OK50" s="3">
        <v>90235</v>
      </c>
      <c r="OL50" s="3">
        <v>14585</v>
      </c>
      <c r="OM50" s="3">
        <v>24108</v>
      </c>
      <c r="ON50" s="10">
        <v>727443</v>
      </c>
      <c r="OO50" s="3">
        <v>594127</v>
      </c>
      <c r="OP50" s="3">
        <v>79389</v>
      </c>
      <c r="OQ50" s="3">
        <v>20896</v>
      </c>
      <c r="OR50" s="3">
        <v>8865</v>
      </c>
      <c r="OS50" s="1">
        <v>7695</v>
      </c>
      <c r="OT50" s="1">
        <v>0</v>
      </c>
      <c r="OU50" s="1">
        <v>813</v>
      </c>
      <c r="OV50" s="1">
        <v>32498</v>
      </c>
      <c r="OW50" s="1">
        <v>8865</v>
      </c>
      <c r="OX50" s="402">
        <f t="shared" si="576"/>
        <v>1250989</v>
      </c>
      <c r="OY50" s="382">
        <f t="shared" si="577"/>
        <v>1043006</v>
      </c>
      <c r="OZ50" s="382">
        <f t="shared" si="578"/>
        <v>77033</v>
      </c>
      <c r="PA50" s="382">
        <f t="shared" si="579"/>
        <v>115155</v>
      </c>
      <c r="PB50" s="382">
        <f t="shared" si="580"/>
        <v>41964</v>
      </c>
      <c r="PC50" s="402">
        <f t="shared" si="581"/>
        <v>2003140</v>
      </c>
      <c r="PD50" s="382">
        <f t="shared" si="582"/>
        <v>1787873</v>
      </c>
      <c r="PE50" s="382">
        <f t="shared" si="583"/>
        <v>132638</v>
      </c>
      <c r="PF50" s="382">
        <f t="shared" si="584"/>
        <v>21379</v>
      </c>
      <c r="PG50" s="382">
        <f t="shared" si="585"/>
        <v>82629</v>
      </c>
      <c r="PH50" s="10">
        <v>2106942</v>
      </c>
      <c r="PI50" s="3">
        <v>1852501</v>
      </c>
      <c r="PJ50" s="3">
        <v>159367</v>
      </c>
      <c r="PK50" s="3">
        <v>32956</v>
      </c>
      <c r="PL50" s="3">
        <v>95074</v>
      </c>
      <c r="PM50" s="3">
        <v>2308324</v>
      </c>
      <c r="PN50" s="3">
        <v>2014876</v>
      </c>
      <c r="PO50" s="3">
        <v>166242</v>
      </c>
      <c r="PP50" s="3">
        <v>32348</v>
      </c>
      <c r="PQ50" s="3">
        <v>107913</v>
      </c>
      <c r="PR50" s="399"/>
      <c r="PS50" s="5"/>
      <c r="PT50" s="5"/>
      <c r="PU50" s="5"/>
      <c r="PV50" s="5"/>
      <c r="PW50" s="5">
        <v>2539375</v>
      </c>
      <c r="PX50" s="5">
        <v>2184790</v>
      </c>
      <c r="PY50" s="5">
        <v>193363</v>
      </c>
      <c r="PZ50" s="5">
        <v>42583</v>
      </c>
      <c r="QA50" s="408">
        <v>129923</v>
      </c>
      <c r="QB50" s="5">
        <v>2599309</v>
      </c>
      <c r="QC50" s="5">
        <v>2235051</v>
      </c>
      <c r="QD50" s="5">
        <v>198132</v>
      </c>
      <c r="QE50" s="5">
        <v>43578</v>
      </c>
      <c r="QF50" s="5">
        <v>134763</v>
      </c>
      <c r="QG50" s="5">
        <v>2751415</v>
      </c>
      <c r="QH50" s="5">
        <v>2356778</v>
      </c>
      <c r="QI50" s="5">
        <v>209553</v>
      </c>
      <c r="QJ50" s="5">
        <v>48400</v>
      </c>
      <c r="QK50" s="5">
        <v>149710</v>
      </c>
      <c r="QL50" s="399">
        <v>2794446</v>
      </c>
      <c r="QM50" s="5">
        <v>2378505</v>
      </c>
      <c r="QN50" s="5">
        <v>225648</v>
      </c>
      <c r="QO50" s="5">
        <v>52538</v>
      </c>
      <c r="QP50" s="5">
        <v>150247</v>
      </c>
      <c r="QQ50" s="399">
        <v>2862188</v>
      </c>
      <c r="QR50" s="5">
        <v>2445268</v>
      </c>
      <c r="QS50" s="5">
        <v>220962</v>
      </c>
      <c r="QT50" s="5">
        <v>55731</v>
      </c>
      <c r="QU50" s="5">
        <v>154138</v>
      </c>
      <c r="QV50" s="399">
        <v>2930170</v>
      </c>
      <c r="QW50" s="5">
        <v>2480351</v>
      </c>
      <c r="QX50" s="5">
        <v>237155</v>
      </c>
      <c r="QY50" s="5">
        <v>57479</v>
      </c>
      <c r="QZ50" s="5">
        <v>172003</v>
      </c>
      <c r="RA50" s="399">
        <v>3016345</v>
      </c>
      <c r="RB50" s="5"/>
      <c r="RC50" s="5"/>
      <c r="RD50" s="5"/>
      <c r="RE50" s="5"/>
      <c r="RF50" s="5">
        <v>3059186</v>
      </c>
      <c r="RG50" s="5">
        <v>2572075</v>
      </c>
      <c r="RH50" s="5">
        <v>254318</v>
      </c>
      <c r="RI50" s="5">
        <v>64635</v>
      </c>
      <c r="RJ50" s="5">
        <v>186404</v>
      </c>
      <c r="RK50" s="5">
        <v>3221353</v>
      </c>
      <c r="RL50" s="5">
        <v>2657193</v>
      </c>
      <c r="RM50" s="5">
        <v>250896</v>
      </c>
      <c r="RN50" s="5">
        <v>82743</v>
      </c>
      <c r="RO50" s="5">
        <v>295081</v>
      </c>
      <c r="RP50" s="1">
        <v>121695</v>
      </c>
      <c r="RQ50" s="1">
        <v>0</v>
      </c>
      <c r="RR50" s="1">
        <v>3019</v>
      </c>
      <c r="RS50" s="1">
        <v>138694</v>
      </c>
      <c r="RT50" s="1">
        <v>31673</v>
      </c>
      <c r="RU50" s="10">
        <v>767845</v>
      </c>
      <c r="RV50" s="3">
        <v>714052</v>
      </c>
      <c r="RW50" s="3">
        <v>39757</v>
      </c>
      <c r="RX50" s="3">
        <v>5322</v>
      </c>
      <c r="RY50" s="3">
        <v>14036</v>
      </c>
      <c r="RZ50" s="10">
        <v>1016256</v>
      </c>
      <c r="SA50" s="3">
        <v>920826</v>
      </c>
      <c r="SB50" s="3">
        <v>59494</v>
      </c>
      <c r="SC50" s="3">
        <v>9723</v>
      </c>
      <c r="SD50" s="3">
        <v>35936</v>
      </c>
      <c r="SE50" s="10">
        <v>1127492</v>
      </c>
      <c r="SF50" s="3">
        <v>999178</v>
      </c>
      <c r="SG50" s="3">
        <v>74202</v>
      </c>
      <c r="SH50" s="3">
        <v>13516</v>
      </c>
      <c r="SI50" s="3">
        <v>45868</v>
      </c>
      <c r="SJ50" s="10">
        <v>1189585</v>
      </c>
      <c r="SK50" s="3">
        <v>1059830</v>
      </c>
      <c r="SL50" s="3">
        <v>78486</v>
      </c>
      <c r="SM50" s="3">
        <v>16675</v>
      </c>
      <c r="SN50" s="3">
        <v>51269</v>
      </c>
      <c r="SO50" s="10">
        <v>1196301.47</v>
      </c>
      <c r="SP50" s="3">
        <v>1062743.773</v>
      </c>
      <c r="SQ50" s="3">
        <v>77708.351999999999</v>
      </c>
      <c r="SR50" s="3">
        <v>18196.186000000002</v>
      </c>
      <c r="SS50" s="3">
        <v>55849.344999999928</v>
      </c>
      <c r="ST50" s="10">
        <v>1218062</v>
      </c>
      <c r="SU50" s="3">
        <v>1067073</v>
      </c>
      <c r="SV50" s="3">
        <v>80639</v>
      </c>
      <c r="SW50" s="3">
        <v>19110</v>
      </c>
      <c r="SX50" s="3">
        <v>56324</v>
      </c>
      <c r="SY50" s="3">
        <v>1241668</v>
      </c>
      <c r="SZ50" s="3">
        <v>1085207</v>
      </c>
      <c r="TA50" s="3">
        <v>84819</v>
      </c>
      <c r="TB50" s="3">
        <v>19172</v>
      </c>
      <c r="TC50" s="3">
        <v>57830</v>
      </c>
      <c r="TD50" s="3">
        <v>1301747</v>
      </c>
      <c r="TE50" s="3">
        <v>1133865</v>
      </c>
      <c r="TF50" s="3">
        <v>86913</v>
      </c>
      <c r="TG50" s="3">
        <v>22584</v>
      </c>
      <c r="TH50" s="3">
        <v>65110</v>
      </c>
      <c r="TI50" s="3">
        <v>1329009</v>
      </c>
      <c r="TJ50" s="3">
        <v>1159539</v>
      </c>
      <c r="TK50" s="3">
        <v>91470</v>
      </c>
      <c r="TL50" s="3">
        <v>22967</v>
      </c>
      <c r="TM50" s="3">
        <v>58820</v>
      </c>
      <c r="TN50" s="3">
        <v>1362205</v>
      </c>
      <c r="TO50" s="3">
        <v>1185930</v>
      </c>
      <c r="TP50" s="3">
        <v>91196</v>
      </c>
      <c r="TQ50" s="3">
        <v>25534</v>
      </c>
      <c r="TR50" s="3">
        <v>66580</v>
      </c>
      <c r="TS50" s="10">
        <v>1381934</v>
      </c>
      <c r="TT50" s="3">
        <v>1192047</v>
      </c>
      <c r="TU50" s="3">
        <v>98720</v>
      </c>
      <c r="TV50" s="3">
        <v>25185</v>
      </c>
      <c r="TW50" s="3">
        <v>74167</v>
      </c>
      <c r="TX50" s="10">
        <v>1431014</v>
      </c>
      <c r="TY50" s="3"/>
      <c r="TZ50" s="3"/>
      <c r="UA50" s="3"/>
      <c r="UB50" s="3"/>
      <c r="UC50" s="10">
        <v>1464945</v>
      </c>
      <c r="UD50" s="3">
        <v>1253881</v>
      </c>
      <c r="UE50" s="3">
        <v>106647</v>
      </c>
      <c r="UF50" s="3">
        <v>32260</v>
      </c>
      <c r="UG50" s="3">
        <v>81767</v>
      </c>
      <c r="UH50" s="10">
        <v>1536624</v>
      </c>
      <c r="UI50" s="3">
        <v>1290303</v>
      </c>
      <c r="UJ50" s="3">
        <v>105482</v>
      </c>
      <c r="UK50" s="3">
        <v>41140</v>
      </c>
      <c r="UL50" s="3">
        <v>131433</v>
      </c>
      <c r="UM50" s="1">
        <v>47674</v>
      </c>
      <c r="UN50" s="1">
        <v>0</v>
      </c>
      <c r="UO50" s="1">
        <v>1575</v>
      </c>
      <c r="UP50" s="1">
        <v>67461</v>
      </c>
      <c r="UQ50" s="1">
        <v>22808</v>
      </c>
      <c r="UR50" s="588">
        <f t="shared" si="586"/>
        <v>361972</v>
      </c>
      <c r="US50" s="40">
        <v>228218</v>
      </c>
      <c r="UT50" s="40">
        <v>133754</v>
      </c>
      <c r="UU50" s="588">
        <f t="shared" si="587"/>
        <v>13028</v>
      </c>
      <c r="UV50" s="40">
        <v>6717</v>
      </c>
      <c r="UW50" s="40">
        <v>6311</v>
      </c>
      <c r="UX50" s="42">
        <v>527742</v>
      </c>
      <c r="UY50" s="588">
        <f t="shared" si="588"/>
        <v>320999</v>
      </c>
      <c r="UZ50" s="588">
        <f t="shared" si="589"/>
        <v>206743</v>
      </c>
      <c r="VA50" s="588">
        <f t="shared" si="590"/>
        <v>505052</v>
      </c>
      <c r="VB50" s="40">
        <v>309429</v>
      </c>
      <c r="VC50" s="40">
        <v>195623</v>
      </c>
      <c r="VD50" s="588">
        <f t="shared" si="591"/>
        <v>18132</v>
      </c>
      <c r="VE50" s="40">
        <v>8595</v>
      </c>
      <c r="VF50" s="40">
        <v>9537</v>
      </c>
      <c r="VG50" s="588">
        <f t="shared" si="592"/>
        <v>4558</v>
      </c>
      <c r="VH50" s="40">
        <v>2975</v>
      </c>
      <c r="VI50" s="40">
        <v>1583</v>
      </c>
      <c r="VJ50" s="42">
        <v>858963</v>
      </c>
      <c r="VK50" s="588">
        <f t="shared" si="593"/>
        <v>504473</v>
      </c>
      <c r="VL50" s="588">
        <f t="shared" si="594"/>
        <v>354490</v>
      </c>
      <c r="VM50" s="240">
        <f t="shared" si="595"/>
        <v>799168</v>
      </c>
      <c r="VN50" s="40">
        <v>472873</v>
      </c>
      <c r="VO50" s="40">
        <v>326295</v>
      </c>
      <c r="VP50" s="40">
        <v>31600</v>
      </c>
      <c r="VQ50" s="40">
        <v>28195</v>
      </c>
      <c r="VR50" s="240">
        <f t="shared" si="596"/>
        <v>38872</v>
      </c>
      <c r="VS50" s="40">
        <v>18930</v>
      </c>
      <c r="VT50" s="40">
        <v>19942</v>
      </c>
      <c r="VU50" s="240">
        <f t="shared" si="597"/>
        <v>5470</v>
      </c>
      <c r="VV50" s="40">
        <v>3359</v>
      </c>
      <c r="VW50" s="40">
        <v>2111</v>
      </c>
      <c r="VX50" s="233">
        <f t="shared" si="598"/>
        <v>15453</v>
      </c>
      <c r="VY50" s="233">
        <f t="shared" si="599"/>
        <v>9311</v>
      </c>
      <c r="VZ50" s="233">
        <f t="shared" si="600"/>
        <v>6142</v>
      </c>
      <c r="WA50" s="234">
        <f t="shared" si="601"/>
        <v>571</v>
      </c>
      <c r="WB50" s="234">
        <f t="shared" si="602"/>
        <v>436</v>
      </c>
      <c r="WC50" s="234">
        <f t="shared" si="603"/>
        <v>135</v>
      </c>
      <c r="WD50" s="40">
        <v>14882</v>
      </c>
      <c r="WE50" s="40">
        <v>8875</v>
      </c>
      <c r="WF50" s="40">
        <v>6007</v>
      </c>
      <c r="WG50" s="12">
        <f t="shared" si="604"/>
        <v>881845</v>
      </c>
      <c r="WH50" s="588">
        <f t="shared" si="605"/>
        <v>642784</v>
      </c>
      <c r="WI50" s="588">
        <f t="shared" si="606"/>
        <v>532552</v>
      </c>
      <c r="WJ50" s="11">
        <f t="shared" si="607"/>
        <v>714052</v>
      </c>
      <c r="WK50" s="90">
        <f t="shared" si="608"/>
        <v>1077820</v>
      </c>
      <c r="WL50" s="40">
        <v>593970</v>
      </c>
      <c r="WM50" s="40">
        <v>483850</v>
      </c>
      <c r="WN50" s="40">
        <v>48814</v>
      </c>
      <c r="WO50" s="40">
        <v>48702</v>
      </c>
      <c r="WP50" s="11">
        <f t="shared" si="609"/>
        <v>41963</v>
      </c>
      <c r="WQ50" s="90">
        <f t="shared" si="610"/>
        <v>59646</v>
      </c>
      <c r="WR50" s="40">
        <v>27075</v>
      </c>
      <c r="WS50" s="40">
        <v>32571</v>
      </c>
      <c r="WT50" s="11">
        <f t="shared" si="611"/>
        <v>9178</v>
      </c>
      <c r="WU50" s="40">
        <v>5182</v>
      </c>
      <c r="WV50" s="40">
        <v>3996</v>
      </c>
      <c r="WW50" s="9">
        <f t="shared" si="612"/>
        <v>36844</v>
      </c>
      <c r="WX50" s="235">
        <f t="shared" si="613"/>
        <v>16557</v>
      </c>
      <c r="WY50" s="235">
        <f t="shared" si="614"/>
        <v>12135</v>
      </c>
      <c r="WZ50" s="236">
        <f t="shared" si="615"/>
        <v>273</v>
      </c>
      <c r="XA50" s="236">
        <f t="shared" si="616"/>
        <v>137</v>
      </c>
      <c r="XB50" s="236">
        <f t="shared" si="617"/>
        <v>136</v>
      </c>
      <c r="XC50" s="589">
        <f t="shared" si="618"/>
        <v>28419</v>
      </c>
      <c r="XD50" s="589">
        <f t="shared" si="619"/>
        <v>16420</v>
      </c>
      <c r="XE50" s="589">
        <f t="shared" si="620"/>
        <v>11999</v>
      </c>
      <c r="XF50" s="40">
        <v>578</v>
      </c>
      <c r="XG50" s="40">
        <v>571</v>
      </c>
      <c r="XH50" s="40">
        <v>15842</v>
      </c>
      <c r="XI50" s="40">
        <v>11428</v>
      </c>
      <c r="XJ50" s="590">
        <v>1563532</v>
      </c>
      <c r="XK50" s="40">
        <v>804894</v>
      </c>
      <c r="XL50" s="40">
        <v>758638</v>
      </c>
      <c r="XM50" s="5">
        <f t="shared" si="621"/>
        <v>1403926</v>
      </c>
      <c r="XN50" s="5">
        <v>728529</v>
      </c>
      <c r="XO50" s="5">
        <v>675397</v>
      </c>
      <c r="XP50" s="84">
        <f t="shared" si="622"/>
        <v>1393330</v>
      </c>
      <c r="XQ50" s="40">
        <v>723214</v>
      </c>
      <c r="XR50" s="40">
        <v>670116</v>
      </c>
      <c r="XS50" s="5">
        <f t="shared" si="623"/>
        <v>88959</v>
      </c>
      <c r="XT50" s="40">
        <v>38256</v>
      </c>
      <c r="XU50" s="40">
        <v>50703</v>
      </c>
      <c r="XV50" s="5">
        <f t="shared" si="624"/>
        <v>16111</v>
      </c>
      <c r="XW50" s="40">
        <v>8036</v>
      </c>
      <c r="XX50" s="40">
        <v>8075</v>
      </c>
      <c r="XY50" s="84">
        <f t="shared" si="625"/>
        <v>70647</v>
      </c>
      <c r="XZ50" s="84">
        <f t="shared" si="626"/>
        <v>38109</v>
      </c>
      <c r="YA50" s="84">
        <f t="shared" si="627"/>
        <v>32538</v>
      </c>
      <c r="YB50" s="587">
        <v>1772785</v>
      </c>
      <c r="YC50" s="40">
        <v>1553455</v>
      </c>
      <c r="YD50" s="40">
        <v>111550</v>
      </c>
      <c r="YE50" s="40">
        <v>23240</v>
      </c>
      <c r="YF50" s="5">
        <v>93088</v>
      </c>
      <c r="YG50" s="10">
        <v>1815022</v>
      </c>
      <c r="YH50" s="3">
        <v>1604856</v>
      </c>
      <c r="YI50" s="3">
        <v>115310</v>
      </c>
      <c r="YJ50" s="3">
        <v>94856</v>
      </c>
      <c r="YK50" s="3">
        <v>24801</v>
      </c>
      <c r="YL50" s="10">
        <v>1852451</v>
      </c>
      <c r="YM50" s="3">
        <v>1641653</v>
      </c>
      <c r="YN50" s="3">
        <v>115239</v>
      </c>
      <c r="YO50" s="3">
        <v>95559</v>
      </c>
      <c r="YP50" s="3">
        <v>25596</v>
      </c>
      <c r="YQ50" s="10">
        <v>1874907</v>
      </c>
      <c r="YR50" s="3">
        <v>1650989</v>
      </c>
      <c r="YS50" s="3">
        <v>120681</v>
      </c>
      <c r="YT50" s="3">
        <v>103237</v>
      </c>
      <c r="YU50" s="3">
        <v>28696</v>
      </c>
      <c r="YV50" s="10">
        <v>1898646.2039999999</v>
      </c>
      <c r="YW50" s="3">
        <v>1663425.0360000001</v>
      </c>
      <c r="YX50" s="3">
        <v>120785.80799999999</v>
      </c>
      <c r="YY50" s="3">
        <v>29502.554000000004</v>
      </c>
      <c r="YZ50" s="3">
        <v>114435.35999999984</v>
      </c>
      <c r="ZA50" s="3">
        <v>1928929</v>
      </c>
      <c r="ZB50" s="3">
        <v>1668918</v>
      </c>
      <c r="ZC50" s="3">
        <v>124981</v>
      </c>
      <c r="ZD50" s="3">
        <v>31570</v>
      </c>
      <c r="ZE50" s="1">
        <v>111329</v>
      </c>
      <c r="ZF50" s="1">
        <v>1975125</v>
      </c>
      <c r="ZG50" s="1">
        <v>1706516</v>
      </c>
      <c r="ZH50" s="1">
        <v>130813</v>
      </c>
      <c r="ZI50" s="1">
        <v>31341</v>
      </c>
      <c r="ZJ50" s="1">
        <v>114417</v>
      </c>
      <c r="ZK50" s="1">
        <v>2092218</v>
      </c>
      <c r="ZL50" s="1">
        <v>1798122</v>
      </c>
      <c r="ZM50" s="1">
        <v>137295</v>
      </c>
      <c r="ZN50" s="1">
        <v>36359</v>
      </c>
      <c r="ZO50" s="1">
        <v>129885</v>
      </c>
      <c r="ZP50" s="1">
        <v>2115116</v>
      </c>
      <c r="ZQ50" s="1">
        <v>1813371</v>
      </c>
      <c r="ZR50" s="1">
        <v>145086</v>
      </c>
      <c r="ZS50" s="1">
        <v>36353</v>
      </c>
      <c r="ZT50" s="1">
        <v>127233</v>
      </c>
      <c r="ZU50" s="1">
        <v>2179681</v>
      </c>
      <c r="ZV50" s="1">
        <v>1869253</v>
      </c>
      <c r="ZW50" s="1">
        <v>145990</v>
      </c>
      <c r="ZX50" s="1">
        <v>42311</v>
      </c>
      <c r="ZY50" s="1">
        <v>132244</v>
      </c>
      <c r="ZZ50" s="394">
        <v>95125</v>
      </c>
      <c r="AAA50" s="1">
        <v>0</v>
      </c>
      <c r="AAB50" s="1">
        <v>2821</v>
      </c>
      <c r="AAC50" s="1">
        <v>26541</v>
      </c>
      <c r="AAD50" s="1">
        <v>7757</v>
      </c>
      <c r="AAE50" s="50">
        <v>2231350</v>
      </c>
      <c r="AAF50" s="1">
        <v>1899538</v>
      </c>
      <c r="AAG50" s="1">
        <v>153023</v>
      </c>
      <c r="AAH50" s="1">
        <v>41896</v>
      </c>
      <c r="AAI50" s="1">
        <v>148933</v>
      </c>
      <c r="AAJ50" s="50">
        <v>2325610</v>
      </c>
      <c r="AAK50" s="1"/>
      <c r="AAL50" s="1"/>
      <c r="AAM50" s="1"/>
      <c r="AAN50" s="1"/>
      <c r="AAO50" s="68">
        <v>2356585</v>
      </c>
      <c r="AAP50" s="37">
        <v>1994104</v>
      </c>
      <c r="AAQ50" s="37">
        <v>164083</v>
      </c>
      <c r="AAR50" s="37">
        <v>50050</v>
      </c>
      <c r="AAS50" s="37">
        <v>162296</v>
      </c>
      <c r="AAT50" s="68">
        <v>2493910</v>
      </c>
      <c r="AAU50" s="37">
        <v>2063066</v>
      </c>
      <c r="AAV50" s="37">
        <v>171507</v>
      </c>
      <c r="AAW50" s="37">
        <v>61847</v>
      </c>
      <c r="AAX50" s="37">
        <v>245210</v>
      </c>
      <c r="AAY50" s="1">
        <v>114000</v>
      </c>
      <c r="AAZ50" s="1">
        <v>0</v>
      </c>
      <c r="ABA50" s="1">
        <v>2206</v>
      </c>
      <c r="ABB50" s="1">
        <v>106196</v>
      </c>
      <c r="ABC50" s="1">
        <v>22808</v>
      </c>
      <c r="ABD50" s="10">
        <v>547276</v>
      </c>
      <c r="ABE50" s="3">
        <v>483100</v>
      </c>
      <c r="ABF50" s="3">
        <v>29465</v>
      </c>
      <c r="ABG50" s="3">
        <v>6388</v>
      </c>
      <c r="ABH50" s="3">
        <v>34711</v>
      </c>
      <c r="ABI50" s="10">
        <v>645293</v>
      </c>
      <c r="ABJ50" s="3">
        <v>554277</v>
      </c>
      <c r="ABK50" s="3">
        <v>37348</v>
      </c>
      <c r="ABL50" s="3">
        <v>9724</v>
      </c>
      <c r="ABM50" s="3">
        <v>47220</v>
      </c>
      <c r="ABN50" s="10">
        <v>685322</v>
      </c>
      <c r="ABO50" s="3">
        <v>591159</v>
      </c>
      <c r="ABP50" s="3">
        <v>42195</v>
      </c>
      <c r="ABQ50" s="3">
        <v>12021</v>
      </c>
      <c r="ABR50" s="3">
        <v>51968</v>
      </c>
      <c r="ABS50" s="10">
        <v>702344.73399999994</v>
      </c>
      <c r="ABT50" s="3">
        <v>600681.26300000004</v>
      </c>
      <c r="ABU50" s="3">
        <v>43077.455999999998</v>
      </c>
      <c r="ABV50" s="3">
        <v>11306.368</v>
      </c>
      <c r="ABW50" s="8">
        <v>58586.014999999905</v>
      </c>
      <c r="ABX50" s="1">
        <v>710867</v>
      </c>
      <c r="ABY50" s="1">
        <v>601845</v>
      </c>
      <c r="ABZ50" s="1">
        <v>44342</v>
      </c>
      <c r="ACA50" s="1">
        <v>12460</v>
      </c>
      <c r="ACB50" s="49">
        <v>55005</v>
      </c>
      <c r="ACC50" s="1">
        <v>733457</v>
      </c>
      <c r="ACD50" s="1">
        <v>621309</v>
      </c>
      <c r="ACE50" s="1">
        <v>45994</v>
      </c>
      <c r="ACF50" s="1">
        <v>12169</v>
      </c>
      <c r="ACG50" s="1">
        <v>56587</v>
      </c>
      <c r="ACH50" s="1">
        <v>790471</v>
      </c>
      <c r="ACI50" s="1">
        <v>664257</v>
      </c>
      <c r="ACJ50" s="1">
        <v>50382</v>
      </c>
      <c r="ACK50" s="1">
        <v>13775</v>
      </c>
      <c r="ACL50" s="1">
        <v>64775</v>
      </c>
      <c r="ACM50" s="1">
        <v>786107</v>
      </c>
      <c r="ACN50" s="1">
        <v>653832</v>
      </c>
      <c r="ACO50" s="1">
        <v>53616</v>
      </c>
      <c r="ACP50" s="1">
        <v>13386</v>
      </c>
      <c r="ACQ50" s="1">
        <v>68413</v>
      </c>
      <c r="ACR50" s="1">
        <v>817476</v>
      </c>
      <c r="ACS50" s="1">
        <v>683323</v>
      </c>
      <c r="ACT50" s="1">
        <v>54794</v>
      </c>
      <c r="ACU50" s="1">
        <v>16777</v>
      </c>
      <c r="ACV50" s="1">
        <v>65664</v>
      </c>
      <c r="ADB50" s="50">
        <v>849416</v>
      </c>
      <c r="ADC50" s="1">
        <v>707491</v>
      </c>
      <c r="ADD50" s="1">
        <v>54303</v>
      </c>
      <c r="ADE50" s="1">
        <v>16711</v>
      </c>
      <c r="ADF50" s="1">
        <v>74766</v>
      </c>
      <c r="ADG50" s="50">
        <v>894596</v>
      </c>
      <c r="ADL50" s="50">
        <v>891640</v>
      </c>
      <c r="ADM50" s="1">
        <v>740223</v>
      </c>
      <c r="ADN50" s="1">
        <v>57436</v>
      </c>
      <c r="ADO50" s="1">
        <v>17790</v>
      </c>
      <c r="ADP50" s="1">
        <v>80529</v>
      </c>
      <c r="ADQ50" s="50">
        <v>957286</v>
      </c>
      <c r="ADR50" s="1">
        <v>772763</v>
      </c>
      <c r="ADS50" s="1">
        <v>66025</v>
      </c>
      <c r="ADT50" s="1">
        <v>20707</v>
      </c>
      <c r="ADU50" s="1">
        <v>113777</v>
      </c>
      <c r="ADV50" s="1">
        <v>66326</v>
      </c>
      <c r="ADW50" s="1">
        <v>0</v>
      </c>
      <c r="ADX50" s="1">
        <v>631</v>
      </c>
      <c r="ADY50" s="1">
        <v>38735</v>
      </c>
      <c r="ADZ50" s="1">
        <v>8085</v>
      </c>
    </row>
    <row r="51" spans="1:806" ht="14.1">
      <c r="A51" s="38" t="s">
        <v>49</v>
      </c>
      <c r="B51" s="174" t="s">
        <v>221</v>
      </c>
      <c r="C51" s="175" t="s">
        <v>221</v>
      </c>
      <c r="D51" s="175" t="s">
        <v>221</v>
      </c>
      <c r="E51" s="175" t="s">
        <v>221</v>
      </c>
      <c r="F51" s="176" t="s">
        <v>221</v>
      </c>
      <c r="G51" s="3">
        <v>57707</v>
      </c>
      <c r="H51" s="3">
        <v>54279</v>
      </c>
      <c r="I51" s="3">
        <v>101</v>
      </c>
      <c r="J51" s="3">
        <v>323</v>
      </c>
      <c r="K51" s="8">
        <v>3327</v>
      </c>
      <c r="L51" s="3">
        <v>35421</v>
      </c>
      <c r="M51" s="3">
        <v>32050</v>
      </c>
      <c r="N51" s="3">
        <v>128</v>
      </c>
      <c r="O51" s="3">
        <v>925</v>
      </c>
      <c r="P51" s="8">
        <v>3243</v>
      </c>
      <c r="Q51" s="3">
        <v>27872</v>
      </c>
      <c r="R51" s="3">
        <v>23843</v>
      </c>
      <c r="S51" s="3">
        <v>151</v>
      </c>
      <c r="T51" s="3">
        <v>1786</v>
      </c>
      <c r="U51" s="8">
        <v>3191</v>
      </c>
      <c r="V51" s="5">
        <v>23961</v>
      </c>
      <c r="W51" s="5">
        <v>19719</v>
      </c>
      <c r="X51" s="5">
        <v>508</v>
      </c>
      <c r="Y51" s="5">
        <v>1368</v>
      </c>
      <c r="Z51" s="408">
        <v>3734</v>
      </c>
      <c r="AA51" s="5">
        <v>23455</v>
      </c>
      <c r="AB51" s="5">
        <v>17007</v>
      </c>
      <c r="AC51" s="5">
        <v>782</v>
      </c>
      <c r="AD51" s="5">
        <v>2278</v>
      </c>
      <c r="AE51" s="5">
        <v>4479</v>
      </c>
      <c r="AF51" s="399">
        <v>22026</v>
      </c>
      <c r="AG51" s="5">
        <v>15637</v>
      </c>
      <c r="AH51" s="5">
        <v>880</v>
      </c>
      <c r="AI51" s="5">
        <v>2403</v>
      </c>
      <c r="AJ51" s="490">
        <v>4176</v>
      </c>
      <c r="AK51" s="490">
        <v>18921</v>
      </c>
      <c r="AL51" s="490">
        <v>13420</v>
      </c>
      <c r="AM51" s="685">
        <v>1270</v>
      </c>
      <c r="AN51" s="685">
        <v>1631</v>
      </c>
      <c r="AO51" s="490">
        <v>2547</v>
      </c>
      <c r="AP51" s="394">
        <v>19422</v>
      </c>
      <c r="AQ51" s="394">
        <v>12378</v>
      </c>
      <c r="AR51" s="394">
        <v>1192</v>
      </c>
      <c r="AS51" s="394">
        <v>2559</v>
      </c>
      <c r="AT51" s="394">
        <v>3293</v>
      </c>
      <c r="AU51" s="393">
        <v>18275</v>
      </c>
      <c r="AV51" s="394">
        <v>11323</v>
      </c>
      <c r="AW51" s="394">
        <v>1702</v>
      </c>
      <c r="AX51" s="394">
        <v>1740</v>
      </c>
      <c r="AY51" s="394">
        <v>4563</v>
      </c>
      <c r="AZ51" s="1">
        <v>1457</v>
      </c>
      <c r="BA51" s="1">
        <v>0</v>
      </c>
      <c r="BB51" s="1">
        <v>1749</v>
      </c>
      <c r="BC51" s="1">
        <v>426</v>
      </c>
      <c r="BD51" s="1">
        <v>931</v>
      </c>
      <c r="BE51" s="393">
        <v>16831</v>
      </c>
      <c r="BF51" s="394">
        <v>12068</v>
      </c>
      <c r="BG51" s="394">
        <v>295</v>
      </c>
      <c r="BH51" s="394">
        <v>2152</v>
      </c>
      <c r="BI51" s="394">
        <v>2185</v>
      </c>
      <c r="BJ51" s="393">
        <v>16315</v>
      </c>
      <c r="BK51" s="394"/>
      <c r="BL51" s="394"/>
      <c r="BM51" s="394"/>
      <c r="BN51" s="394"/>
      <c r="BO51" s="393">
        <v>16462</v>
      </c>
      <c r="BP51" s="394">
        <v>10899</v>
      </c>
      <c r="BQ51" s="394">
        <v>1887</v>
      </c>
      <c r="BR51" s="394">
        <v>1864</v>
      </c>
      <c r="BS51" s="394">
        <v>2597</v>
      </c>
      <c r="BT51" s="393">
        <v>14445</v>
      </c>
      <c r="BU51" s="394">
        <v>8919</v>
      </c>
      <c r="BV51" s="394">
        <v>700</v>
      </c>
      <c r="BW51" s="394">
        <v>1625</v>
      </c>
      <c r="BX51" s="394">
        <v>0</v>
      </c>
      <c r="BY51" s="1">
        <v>0</v>
      </c>
      <c r="BZ51" s="1">
        <v>934</v>
      </c>
      <c r="CA51" s="1">
        <v>795</v>
      </c>
      <c r="CB51" s="1">
        <v>1317</v>
      </c>
      <c r="CC51" s="10">
        <v>41013</v>
      </c>
      <c r="CD51" s="3">
        <v>35560</v>
      </c>
      <c r="CE51" s="3">
        <v>152</v>
      </c>
      <c r="CF51" s="3">
        <v>1625</v>
      </c>
      <c r="CG51" s="8">
        <v>5301</v>
      </c>
      <c r="CH51" s="3">
        <v>37759</v>
      </c>
      <c r="CI51" s="3">
        <v>30563</v>
      </c>
      <c r="CJ51" s="3">
        <v>235</v>
      </c>
      <c r="CK51" s="3">
        <v>702</v>
      </c>
      <c r="CL51" s="8">
        <v>6961</v>
      </c>
      <c r="CM51" s="1">
        <v>31802</v>
      </c>
      <c r="CN51" s="3">
        <v>24353</v>
      </c>
      <c r="CO51" s="3">
        <v>482</v>
      </c>
      <c r="CP51" s="3">
        <v>1358</v>
      </c>
      <c r="CQ51" s="8">
        <v>6387</v>
      </c>
      <c r="CR51" s="3">
        <v>29677</v>
      </c>
      <c r="CS51" s="3">
        <v>22487</v>
      </c>
      <c r="CT51" s="3">
        <v>487</v>
      </c>
      <c r="CU51" s="3">
        <v>1408</v>
      </c>
      <c r="CV51" s="8">
        <v>6703</v>
      </c>
      <c r="CW51" s="3">
        <v>28670</v>
      </c>
      <c r="CX51" s="3">
        <v>20119</v>
      </c>
      <c r="CY51" s="3">
        <v>400</v>
      </c>
      <c r="CZ51" s="3">
        <v>1422</v>
      </c>
      <c r="DA51" s="3">
        <v>7447</v>
      </c>
      <c r="DB51" s="3">
        <v>27944</v>
      </c>
      <c r="DC51" s="3">
        <v>19054</v>
      </c>
      <c r="DD51" s="3">
        <v>500</v>
      </c>
      <c r="DE51" s="3">
        <v>1366</v>
      </c>
      <c r="DF51" s="39">
        <v>7717</v>
      </c>
      <c r="DG51" s="39">
        <v>27453</v>
      </c>
      <c r="DH51" s="39">
        <v>19702</v>
      </c>
      <c r="DI51" s="39">
        <v>294</v>
      </c>
      <c r="DJ51" s="39">
        <v>1250</v>
      </c>
      <c r="DK51" s="39">
        <v>6316</v>
      </c>
      <c r="DL51" s="39">
        <v>30620</v>
      </c>
      <c r="DM51" s="39">
        <v>19918</v>
      </c>
      <c r="DN51" s="39">
        <v>1250</v>
      </c>
      <c r="DO51" s="39">
        <v>1526</v>
      </c>
      <c r="DP51" s="39">
        <v>8157</v>
      </c>
      <c r="DQ51" s="39">
        <v>31736</v>
      </c>
      <c r="DR51" s="39">
        <v>19940</v>
      </c>
      <c r="DS51" s="39">
        <v>402</v>
      </c>
      <c r="DT51" s="39">
        <v>3008</v>
      </c>
      <c r="DU51" s="39">
        <v>9850</v>
      </c>
      <c r="DV51" s="118">
        <v>30795</v>
      </c>
      <c r="DW51" s="39">
        <v>18478</v>
      </c>
      <c r="DX51" s="39">
        <v>379</v>
      </c>
      <c r="DY51" s="39">
        <v>1801</v>
      </c>
      <c r="DZ51" s="39">
        <v>9789</v>
      </c>
      <c r="EA51" s="118">
        <v>28842</v>
      </c>
      <c r="EB51" s="39"/>
      <c r="EC51" s="39"/>
      <c r="ED51" s="39"/>
      <c r="EE51" s="39"/>
      <c r="EF51" s="118">
        <v>29832</v>
      </c>
      <c r="EG51" s="39">
        <v>18343</v>
      </c>
      <c r="EH51" s="39">
        <v>783</v>
      </c>
      <c r="EI51" s="39">
        <v>1347</v>
      </c>
      <c r="EJ51" s="39">
        <v>8614</v>
      </c>
      <c r="EK51" s="118">
        <v>29832</v>
      </c>
      <c r="EL51" s="39">
        <v>18343</v>
      </c>
      <c r="EM51" s="39">
        <v>783</v>
      </c>
      <c r="EN51" s="39">
        <v>1347</v>
      </c>
      <c r="EO51" s="39">
        <v>8614</v>
      </c>
      <c r="EP51" s="118">
        <v>26568</v>
      </c>
      <c r="EQ51" s="39">
        <v>18050</v>
      </c>
      <c r="ER51" s="39">
        <v>644</v>
      </c>
      <c r="ES51" s="39">
        <v>2475</v>
      </c>
      <c r="ET51" s="1">
        <v>0</v>
      </c>
      <c r="EU51" s="1">
        <v>0</v>
      </c>
      <c r="EV51" s="1">
        <v>5175</v>
      </c>
      <c r="EW51" s="1">
        <v>1283</v>
      </c>
      <c r="EX51" s="1">
        <v>919</v>
      </c>
      <c r="EY51" s="10">
        <v>53154</v>
      </c>
      <c r="EZ51" s="3">
        <v>40646</v>
      </c>
      <c r="FA51" s="3"/>
      <c r="FB51" s="3">
        <v>3632</v>
      </c>
      <c r="FC51" s="201">
        <f t="shared" si="574"/>
        <v>12508</v>
      </c>
      <c r="FD51" s="174" t="s">
        <v>221</v>
      </c>
      <c r="FE51" s="175" t="s">
        <v>221</v>
      </c>
      <c r="FF51" s="175" t="s">
        <v>221</v>
      </c>
      <c r="FG51" s="175" t="s">
        <v>221</v>
      </c>
      <c r="FH51" s="174" t="s">
        <v>221</v>
      </c>
      <c r="FI51" s="175" t="s">
        <v>221</v>
      </c>
      <c r="FJ51" s="175" t="s">
        <v>221</v>
      </c>
      <c r="FK51" s="175" t="s">
        <v>221</v>
      </c>
      <c r="FL51" s="176" t="s">
        <v>221</v>
      </c>
      <c r="FM51" s="3">
        <v>331780</v>
      </c>
      <c r="FN51" s="3">
        <v>315736</v>
      </c>
      <c r="FO51" s="3">
        <v>1172</v>
      </c>
      <c r="FP51" s="3">
        <v>1602</v>
      </c>
      <c r="FQ51" s="8">
        <v>14872</v>
      </c>
      <c r="FR51" s="3">
        <v>401179</v>
      </c>
      <c r="FS51" s="3">
        <v>374125</v>
      </c>
      <c r="FT51" s="3">
        <v>1917</v>
      </c>
      <c r="FU51" s="3">
        <v>3011</v>
      </c>
      <c r="FV51" s="3">
        <v>25137</v>
      </c>
      <c r="FW51" s="127">
        <v>450105</v>
      </c>
      <c r="FX51" s="3">
        <v>412316</v>
      </c>
      <c r="FY51" s="3">
        <v>3186</v>
      </c>
      <c r="FZ51" s="3">
        <v>6137</v>
      </c>
      <c r="GA51" s="3">
        <v>4779</v>
      </c>
      <c r="GB51" s="10">
        <v>459447</v>
      </c>
      <c r="GC51" s="3">
        <v>421558</v>
      </c>
      <c r="GD51" s="3">
        <v>3120</v>
      </c>
      <c r="GE51" s="3">
        <v>34769</v>
      </c>
      <c r="GF51" s="3">
        <v>5731</v>
      </c>
      <c r="GG51" s="42">
        <v>465110</v>
      </c>
      <c r="GH51" s="40">
        <v>426126</v>
      </c>
      <c r="GI51" s="40">
        <v>3006</v>
      </c>
      <c r="GJ51" s="40">
        <v>35978</v>
      </c>
      <c r="GK51" s="40">
        <v>6630</v>
      </c>
      <c r="GL51" s="10">
        <v>471857</v>
      </c>
      <c r="GM51" s="3">
        <v>431907</v>
      </c>
      <c r="GN51" s="3">
        <v>3702</v>
      </c>
      <c r="GO51" s="3">
        <v>6891</v>
      </c>
      <c r="GP51" s="3">
        <v>31080</v>
      </c>
      <c r="GQ51" s="10">
        <v>478388.7</v>
      </c>
      <c r="GR51" s="3">
        <v>437545.68</v>
      </c>
      <c r="GS51" s="3"/>
      <c r="GT51" s="3">
        <v>6523.8779999999997</v>
      </c>
      <c r="GU51" s="373">
        <f t="shared" si="575"/>
        <v>40843.020000000019</v>
      </c>
      <c r="GV51" s="3">
        <v>486339</v>
      </c>
      <c r="GW51" s="3">
        <v>439445</v>
      </c>
      <c r="GX51" s="3">
        <v>4518</v>
      </c>
      <c r="GY51" s="3">
        <v>6908</v>
      </c>
      <c r="GZ51" s="3">
        <v>38191</v>
      </c>
      <c r="HA51" s="3">
        <v>494906</v>
      </c>
      <c r="HB51" s="3">
        <v>444955</v>
      </c>
      <c r="HC51" s="3">
        <v>4909</v>
      </c>
      <c r="HD51" s="3">
        <v>8016</v>
      </c>
      <c r="HE51" s="3">
        <v>40397</v>
      </c>
      <c r="HF51" s="3">
        <v>509114</v>
      </c>
      <c r="HG51" s="3">
        <v>454358</v>
      </c>
      <c r="HH51" s="3">
        <v>5343</v>
      </c>
      <c r="HI51" s="3">
        <v>9949</v>
      </c>
      <c r="HJ51" s="3">
        <v>41117</v>
      </c>
      <c r="HK51" s="3">
        <v>513066</v>
      </c>
      <c r="HL51" s="3">
        <v>457851</v>
      </c>
      <c r="HM51" s="3">
        <v>4970</v>
      </c>
      <c r="HN51" s="3">
        <v>9975</v>
      </c>
      <c r="HO51" s="3">
        <v>41443</v>
      </c>
      <c r="HP51" s="10">
        <v>515883</v>
      </c>
      <c r="HQ51" s="3">
        <v>461606</v>
      </c>
      <c r="HR51" s="3">
        <v>5250</v>
      </c>
      <c r="HS51" s="3">
        <v>9254</v>
      </c>
      <c r="HT51" s="3">
        <v>42452</v>
      </c>
      <c r="HU51" s="394">
        <v>5188</v>
      </c>
      <c r="HV51" s="1">
        <v>0</v>
      </c>
      <c r="HW51" s="1">
        <v>29981</v>
      </c>
      <c r="HX51" s="1">
        <v>5783</v>
      </c>
      <c r="HY51" s="1">
        <v>1500</v>
      </c>
      <c r="HZ51" s="10">
        <v>526933</v>
      </c>
      <c r="IA51" s="3">
        <v>466384</v>
      </c>
      <c r="IB51" s="3">
        <v>8874</v>
      </c>
      <c r="IC51" s="3">
        <v>11790</v>
      </c>
      <c r="ID51" s="3">
        <v>34529</v>
      </c>
      <c r="IE51" s="399">
        <v>537693</v>
      </c>
      <c r="IF51" s="5"/>
      <c r="IG51" s="5"/>
      <c r="IH51" s="5"/>
      <c r="II51" s="5"/>
      <c r="IJ51" s="399">
        <v>541735</v>
      </c>
      <c r="IK51" s="5">
        <v>475999</v>
      </c>
      <c r="IL51" s="5">
        <v>9009</v>
      </c>
      <c r="IM51" s="5">
        <v>13509</v>
      </c>
      <c r="IN51" s="5">
        <v>47755</v>
      </c>
      <c r="IO51" s="399">
        <v>549364</v>
      </c>
      <c r="IP51" s="5">
        <v>473812</v>
      </c>
      <c r="IQ51" s="5">
        <v>8512</v>
      </c>
      <c r="IR51" s="5">
        <v>13486</v>
      </c>
      <c r="IS51" s="5">
        <v>57618</v>
      </c>
      <c r="IT51" s="1">
        <v>0</v>
      </c>
      <c r="IU51" s="1">
        <v>0</v>
      </c>
      <c r="IV51" s="1">
        <v>30609</v>
      </c>
      <c r="IW51" s="1">
        <v>22018</v>
      </c>
      <c r="IX51" s="1">
        <v>4991</v>
      </c>
      <c r="IY51" s="380" t="s">
        <v>221</v>
      </c>
      <c r="IZ51" s="188" t="s">
        <v>221</v>
      </c>
      <c r="JA51" s="188" t="s">
        <v>221</v>
      </c>
      <c r="JB51" s="188" t="s">
        <v>221</v>
      </c>
      <c r="JC51" s="635" t="s">
        <v>221</v>
      </c>
      <c r="JD51" s="5">
        <v>112899</v>
      </c>
      <c r="JE51" s="5">
        <v>106251</v>
      </c>
      <c r="JF51" s="5">
        <v>507</v>
      </c>
      <c r="JG51" s="5">
        <v>730</v>
      </c>
      <c r="JH51" s="408">
        <v>6141</v>
      </c>
      <c r="JI51" s="5">
        <v>143161</v>
      </c>
      <c r="JJ51" s="5">
        <v>132007</v>
      </c>
      <c r="JK51" s="5">
        <v>828</v>
      </c>
      <c r="JL51" s="5">
        <v>1165</v>
      </c>
      <c r="JM51" s="408">
        <v>10326</v>
      </c>
      <c r="JN51" s="5">
        <v>153637</v>
      </c>
      <c r="JO51" s="5">
        <v>139049</v>
      </c>
      <c r="JP51" s="5">
        <v>1230</v>
      </c>
      <c r="JQ51" s="5">
        <v>2079</v>
      </c>
      <c r="JR51" s="5">
        <v>12509</v>
      </c>
      <c r="JS51" s="5">
        <v>169243</v>
      </c>
      <c r="JT51" s="5">
        <v>152701</v>
      </c>
      <c r="JU51" s="5">
        <v>1151</v>
      </c>
      <c r="JV51" s="5">
        <v>2072</v>
      </c>
      <c r="JW51" s="408">
        <v>15391</v>
      </c>
      <c r="JX51" s="5">
        <v>171156.84599999999</v>
      </c>
      <c r="JY51" s="5">
        <v>154456.01599999997</v>
      </c>
      <c r="JZ51" s="5"/>
      <c r="KA51" s="5">
        <v>2150.9519999999998</v>
      </c>
      <c r="KB51" s="408">
        <v>16700.830000000016</v>
      </c>
      <c r="KC51" s="5">
        <v>172271</v>
      </c>
      <c r="KD51" s="5">
        <v>153198</v>
      </c>
      <c r="KE51" s="5">
        <v>1567</v>
      </c>
      <c r="KF51" s="5">
        <v>2389</v>
      </c>
      <c r="KG51" s="439">
        <v>15845</v>
      </c>
      <c r="KH51" s="439">
        <v>177156</v>
      </c>
      <c r="KI51" s="439">
        <v>155889</v>
      </c>
      <c r="KJ51" s="439">
        <v>1918</v>
      </c>
      <c r="KK51" s="439">
        <v>3029</v>
      </c>
      <c r="KL51" s="439">
        <v>17297</v>
      </c>
      <c r="KM51" s="439">
        <v>184776</v>
      </c>
      <c r="KN51" s="439">
        <v>163016</v>
      </c>
      <c r="KO51" s="439">
        <v>2435</v>
      </c>
      <c r="KP51" s="439">
        <v>2447</v>
      </c>
      <c r="KQ51" s="439">
        <v>17357</v>
      </c>
      <c r="KR51" s="439">
        <v>182223</v>
      </c>
      <c r="KS51" s="439">
        <v>160391</v>
      </c>
      <c r="KT51" s="439">
        <v>1860</v>
      </c>
      <c r="KU51" s="439">
        <v>3100</v>
      </c>
      <c r="KV51" s="439">
        <v>16898</v>
      </c>
      <c r="KW51" s="630">
        <v>188712</v>
      </c>
      <c r="KX51" s="439">
        <v>165598</v>
      </c>
      <c r="KY51" s="439">
        <v>2030</v>
      </c>
      <c r="KZ51" s="439">
        <v>3918</v>
      </c>
      <c r="LA51" s="439">
        <v>18523</v>
      </c>
      <c r="LB51" s="652">
        <v>188486</v>
      </c>
      <c r="LC51" s="653">
        <v>164927</v>
      </c>
      <c r="LD51" s="653">
        <v>3811</v>
      </c>
      <c r="LE51" s="653">
        <v>3030</v>
      </c>
      <c r="LF51" s="653">
        <v>15660</v>
      </c>
      <c r="LG51" s="652">
        <v>186784</v>
      </c>
      <c r="LH51" s="653"/>
      <c r="LI51" s="439"/>
      <c r="LJ51" s="439"/>
      <c r="LK51" s="439"/>
      <c r="LL51" s="652">
        <v>190307</v>
      </c>
      <c r="LM51" s="653">
        <v>166019</v>
      </c>
      <c r="LN51" s="653">
        <v>4060</v>
      </c>
      <c r="LO51" s="653">
        <v>4714</v>
      </c>
      <c r="LP51" s="653">
        <v>16820</v>
      </c>
      <c r="LQ51" s="652">
        <v>189447</v>
      </c>
      <c r="LR51" s="653">
        <v>164366</v>
      </c>
      <c r="LS51" s="653">
        <v>2560</v>
      </c>
      <c r="LT51" s="653">
        <v>4185</v>
      </c>
      <c r="LU51" s="653">
        <v>21097</v>
      </c>
      <c r="LV51" s="1">
        <v>0</v>
      </c>
      <c r="LW51" s="1">
        <v>0</v>
      </c>
      <c r="LX51" s="1">
        <v>11550</v>
      </c>
      <c r="LY51" s="1">
        <v>8255</v>
      </c>
      <c r="LZ51" s="1">
        <v>1292</v>
      </c>
      <c r="MA51" s="10">
        <v>31955</v>
      </c>
      <c r="MB51" s="3">
        <v>30196</v>
      </c>
      <c r="MC51" s="3">
        <v>149</v>
      </c>
      <c r="MD51" s="3">
        <v>239</v>
      </c>
      <c r="ME51" s="8">
        <v>1610</v>
      </c>
      <c r="MF51" s="3">
        <v>33861</v>
      </c>
      <c r="MG51" s="3">
        <v>31383</v>
      </c>
      <c r="MH51" s="3">
        <v>194</v>
      </c>
      <c r="MI51" s="3">
        <v>267</v>
      </c>
      <c r="MJ51" s="8">
        <v>2284</v>
      </c>
      <c r="MK51" s="3">
        <v>46973</v>
      </c>
      <c r="ML51" s="3">
        <v>42736</v>
      </c>
      <c r="MM51" s="3">
        <v>321</v>
      </c>
      <c r="MN51" s="3">
        <v>611</v>
      </c>
      <c r="MO51" s="3">
        <v>3558</v>
      </c>
      <c r="MP51" s="10">
        <v>50746</v>
      </c>
      <c r="MQ51" s="3">
        <v>47010</v>
      </c>
      <c r="MR51" s="3">
        <v>139</v>
      </c>
      <c r="MS51" s="3">
        <v>398</v>
      </c>
      <c r="MT51" s="3">
        <v>3597</v>
      </c>
      <c r="MU51" s="10"/>
      <c r="MV51" s="3"/>
      <c r="MW51" s="3"/>
      <c r="MX51" s="3"/>
      <c r="MY51" s="8"/>
      <c r="MZ51" s="3">
        <v>53296</v>
      </c>
      <c r="NA51" s="3">
        <v>48939</v>
      </c>
      <c r="NB51" s="3">
        <v>215</v>
      </c>
      <c r="NC51" s="3">
        <v>663</v>
      </c>
      <c r="ND51" s="3">
        <v>3657</v>
      </c>
      <c r="NE51" s="3">
        <v>56165</v>
      </c>
      <c r="NF51" s="3">
        <v>51071</v>
      </c>
      <c r="NG51" s="3">
        <v>414</v>
      </c>
      <c r="NH51" s="3">
        <v>825</v>
      </c>
      <c r="NI51" s="3">
        <v>4072</v>
      </c>
      <c r="NJ51" s="3">
        <v>62802</v>
      </c>
      <c r="NK51" s="3">
        <v>56583</v>
      </c>
      <c r="NL51" s="3">
        <v>190</v>
      </c>
      <c r="NM51" s="3">
        <v>404</v>
      </c>
      <c r="NN51" s="3">
        <v>13079</v>
      </c>
      <c r="NO51" s="3">
        <v>62294</v>
      </c>
      <c r="NP51" s="3">
        <v>56589</v>
      </c>
      <c r="NQ51" s="3">
        <v>129</v>
      </c>
      <c r="NR51" s="3">
        <v>586</v>
      </c>
      <c r="NS51" s="3">
        <v>5084</v>
      </c>
      <c r="NT51" s="3">
        <v>65093</v>
      </c>
      <c r="NU51" s="3">
        <v>58806</v>
      </c>
      <c r="NV51" s="3">
        <v>508</v>
      </c>
      <c r="NW51" s="3">
        <v>1276</v>
      </c>
      <c r="NX51" s="3">
        <v>4932</v>
      </c>
      <c r="NY51" s="10">
        <v>62204</v>
      </c>
      <c r="NZ51" s="3">
        <v>57589</v>
      </c>
      <c r="OA51" s="3">
        <v>687</v>
      </c>
      <c r="OB51" s="3">
        <v>647</v>
      </c>
      <c r="OC51" s="3">
        <v>2765</v>
      </c>
      <c r="OD51" s="10">
        <v>70838</v>
      </c>
      <c r="OE51" s="3"/>
      <c r="OF51" s="3"/>
      <c r="OG51" s="3"/>
      <c r="OH51" s="3"/>
      <c r="OI51" s="10">
        <v>69831</v>
      </c>
      <c r="OJ51" s="3">
        <v>63252</v>
      </c>
      <c r="OK51" s="3">
        <v>1310</v>
      </c>
      <c r="OL51" s="3">
        <v>1248</v>
      </c>
      <c r="OM51" s="3">
        <v>4369</v>
      </c>
      <c r="ON51" s="10">
        <v>70944</v>
      </c>
      <c r="OO51" s="3">
        <v>64364</v>
      </c>
      <c r="OP51" s="3">
        <v>225</v>
      </c>
      <c r="OQ51" s="3">
        <v>1289</v>
      </c>
      <c r="OR51" s="3">
        <v>274</v>
      </c>
      <c r="OS51" s="1">
        <v>0</v>
      </c>
      <c r="OT51" s="1">
        <v>0</v>
      </c>
      <c r="OU51" s="1">
        <v>2685</v>
      </c>
      <c r="OV51" s="1">
        <v>2769</v>
      </c>
      <c r="OW51" s="1">
        <v>274</v>
      </c>
      <c r="OX51" s="402">
        <f t="shared" si="576"/>
        <v>84728</v>
      </c>
      <c r="OY51" s="382">
        <f t="shared" si="577"/>
        <v>81442</v>
      </c>
      <c r="OZ51" s="382">
        <f t="shared" si="578"/>
        <v>4161</v>
      </c>
      <c r="PA51" s="382">
        <f t="shared" si="579"/>
        <v>7486</v>
      </c>
      <c r="PB51" s="382">
        <f t="shared" si="580"/>
        <v>4191</v>
      </c>
      <c r="PC51" s="402">
        <f t="shared" si="581"/>
        <v>135873</v>
      </c>
      <c r="PD51" s="382">
        <f t="shared" si="582"/>
        <v>128816</v>
      </c>
      <c r="PE51" s="382">
        <f t="shared" si="583"/>
        <v>635</v>
      </c>
      <c r="PF51" s="382">
        <f t="shared" si="584"/>
        <v>810</v>
      </c>
      <c r="PG51" s="382">
        <f t="shared" si="585"/>
        <v>6422</v>
      </c>
      <c r="PH51" s="10">
        <v>166435</v>
      </c>
      <c r="PI51" s="3">
        <v>155969</v>
      </c>
      <c r="PJ51" s="3">
        <v>962</v>
      </c>
      <c r="PK51" s="3">
        <v>1979</v>
      </c>
      <c r="PL51" s="3">
        <v>9504</v>
      </c>
      <c r="PM51" s="3">
        <v>172009</v>
      </c>
      <c r="PN51" s="3">
        <v>161166</v>
      </c>
      <c r="PO51" s="3">
        <v>882</v>
      </c>
      <c r="PP51" s="3">
        <v>1360</v>
      </c>
      <c r="PQ51" s="3">
        <v>9118</v>
      </c>
      <c r="PR51" s="399"/>
      <c r="PS51" s="5"/>
      <c r="PT51" s="5"/>
      <c r="PU51" s="5"/>
      <c r="PV51" s="5"/>
      <c r="PW51" s="5">
        <v>195277</v>
      </c>
      <c r="PX51" s="5">
        <v>181244</v>
      </c>
      <c r="PY51" s="5">
        <v>1281</v>
      </c>
      <c r="PZ51" s="5">
        <v>2244</v>
      </c>
      <c r="QA51" s="408">
        <v>11115</v>
      </c>
      <c r="QB51" s="5">
        <v>200021</v>
      </c>
      <c r="QC51" s="5">
        <v>184772</v>
      </c>
      <c r="QD51" s="5">
        <v>1571</v>
      </c>
      <c r="QE51" s="5">
        <v>2366</v>
      </c>
      <c r="QF51" s="5">
        <v>11986</v>
      </c>
      <c r="QG51" s="5">
        <v>217018</v>
      </c>
      <c r="QH51" s="5">
        <v>199207</v>
      </c>
      <c r="QI51" s="5">
        <v>1770</v>
      </c>
      <c r="QJ51" s="5">
        <v>3426</v>
      </c>
      <c r="QK51" s="5">
        <v>13079</v>
      </c>
      <c r="QL51" s="399">
        <v>217179</v>
      </c>
      <c r="QM51" s="5">
        <v>200181</v>
      </c>
      <c r="QN51" s="5">
        <v>1346</v>
      </c>
      <c r="QO51" s="5">
        <v>3217</v>
      </c>
      <c r="QP51" s="5">
        <v>13168</v>
      </c>
      <c r="QQ51" s="399">
        <v>228354</v>
      </c>
      <c r="QR51" s="5">
        <v>210873</v>
      </c>
      <c r="QS51" s="5">
        <v>1746</v>
      </c>
      <c r="QT51" s="5">
        <v>3640</v>
      </c>
      <c r="QU51" s="5">
        <v>13248</v>
      </c>
      <c r="QV51" s="399">
        <v>223942</v>
      </c>
      <c r="QW51" s="5">
        <v>207268</v>
      </c>
      <c r="QX51" s="5">
        <v>1999</v>
      </c>
      <c r="QY51" s="5">
        <v>3447</v>
      </c>
      <c r="QZ51" s="5">
        <v>7805</v>
      </c>
      <c r="RA51" s="399">
        <v>241236</v>
      </c>
      <c r="RB51" s="5"/>
      <c r="RC51" s="5"/>
      <c r="RD51" s="5"/>
      <c r="RE51" s="5"/>
      <c r="RF51" s="5">
        <v>244615</v>
      </c>
      <c r="RG51" s="5">
        <v>223045</v>
      </c>
      <c r="RH51" s="5">
        <v>3516</v>
      </c>
      <c r="RI51" s="5">
        <v>5519</v>
      </c>
      <c r="RJ51" s="5">
        <v>14466</v>
      </c>
      <c r="RK51" s="5">
        <v>257890</v>
      </c>
      <c r="RL51" s="5">
        <v>231609</v>
      </c>
      <c r="RM51" s="5">
        <v>2089</v>
      </c>
      <c r="RN51" s="5">
        <v>5041</v>
      </c>
      <c r="RO51" s="5">
        <v>17902</v>
      </c>
      <c r="RP51" s="1">
        <v>0</v>
      </c>
      <c r="RQ51" s="1">
        <v>0</v>
      </c>
      <c r="RR51" s="1">
        <v>6456</v>
      </c>
      <c r="RS51" s="1">
        <v>9877</v>
      </c>
      <c r="RT51" s="1">
        <v>1569</v>
      </c>
      <c r="RU51" s="10">
        <v>52773</v>
      </c>
      <c r="RV51" s="3">
        <v>51246</v>
      </c>
      <c r="RW51" s="3">
        <v>241</v>
      </c>
      <c r="RX51" s="3">
        <v>139</v>
      </c>
      <c r="RY51" s="3">
        <v>1286</v>
      </c>
      <c r="RZ51" s="10">
        <v>73563</v>
      </c>
      <c r="SA51" s="3">
        <v>70574</v>
      </c>
      <c r="SB51" s="3">
        <v>316</v>
      </c>
      <c r="SC51" s="3">
        <v>317</v>
      </c>
      <c r="SD51" s="3">
        <v>2673</v>
      </c>
      <c r="SE51" s="10">
        <v>89367</v>
      </c>
      <c r="SF51" s="3">
        <v>84830</v>
      </c>
      <c r="SG51" s="3">
        <v>399</v>
      </c>
      <c r="SH51" s="3">
        <v>561</v>
      </c>
      <c r="SI51" s="3">
        <v>3814</v>
      </c>
      <c r="SJ51" s="10">
        <v>94844</v>
      </c>
      <c r="SK51" s="3">
        <v>89387</v>
      </c>
      <c r="SL51" s="3">
        <v>658</v>
      </c>
      <c r="SM51" s="3">
        <v>1211</v>
      </c>
      <c r="SN51" s="3">
        <v>4799</v>
      </c>
      <c r="SO51" s="10">
        <v>96740.826000000001</v>
      </c>
      <c r="SP51" s="3">
        <v>91334.672000000006</v>
      </c>
      <c r="SQ51" s="3"/>
      <c r="SR51" s="3">
        <v>994.30799999999999</v>
      </c>
      <c r="SS51" s="3">
        <v>5406.153999999995</v>
      </c>
      <c r="ST51" s="10">
        <v>98736</v>
      </c>
      <c r="SU51" s="3">
        <v>93198</v>
      </c>
      <c r="SV51" s="3">
        <v>843</v>
      </c>
      <c r="SW51" s="3">
        <v>1017</v>
      </c>
      <c r="SX51" s="3">
        <v>4005</v>
      </c>
      <c r="SY51" s="3">
        <v>100633</v>
      </c>
      <c r="SZ51" s="3">
        <v>94896</v>
      </c>
      <c r="TA51" s="3">
        <v>878</v>
      </c>
      <c r="TB51" s="3">
        <v>1026</v>
      </c>
      <c r="TC51" s="3">
        <v>4228</v>
      </c>
      <c r="TD51" s="3">
        <v>111108</v>
      </c>
      <c r="TE51" s="3">
        <v>103042</v>
      </c>
      <c r="TF51" s="3">
        <v>1260</v>
      </c>
      <c r="TG51" s="3">
        <v>2466</v>
      </c>
      <c r="TH51" s="3">
        <v>4768</v>
      </c>
      <c r="TI51" s="3">
        <v>110562</v>
      </c>
      <c r="TJ51" s="3">
        <v>102574</v>
      </c>
      <c r="TK51" s="3">
        <v>950</v>
      </c>
      <c r="TL51" s="3">
        <v>1764</v>
      </c>
      <c r="TM51" s="3">
        <v>5808</v>
      </c>
      <c r="TN51" s="3">
        <v>111002</v>
      </c>
      <c r="TO51" s="3">
        <v>103097</v>
      </c>
      <c r="TP51" s="3">
        <v>956</v>
      </c>
      <c r="TQ51" s="3">
        <v>2046</v>
      </c>
      <c r="TR51" s="3">
        <v>5558</v>
      </c>
      <c r="TS51" s="10">
        <v>109803</v>
      </c>
      <c r="TT51" s="3">
        <v>101781</v>
      </c>
      <c r="TU51" s="3">
        <v>1013</v>
      </c>
      <c r="TV51" s="3">
        <v>2025</v>
      </c>
      <c r="TW51" s="3">
        <v>3708</v>
      </c>
      <c r="TX51" s="10">
        <v>117943</v>
      </c>
      <c r="TY51" s="3"/>
      <c r="TZ51" s="3"/>
      <c r="UA51" s="3"/>
      <c r="UB51" s="3"/>
      <c r="UC51" s="10">
        <v>121231</v>
      </c>
      <c r="UD51" s="3">
        <v>111737</v>
      </c>
      <c r="UE51" s="3">
        <v>1168</v>
      </c>
      <c r="UF51" s="3">
        <v>2594</v>
      </c>
      <c r="UG51" s="3">
        <v>6319</v>
      </c>
      <c r="UH51" s="10">
        <v>127258</v>
      </c>
      <c r="UI51" s="3">
        <v>115492</v>
      </c>
      <c r="UJ51" s="3">
        <v>1180</v>
      </c>
      <c r="UK51" s="3">
        <v>2222</v>
      </c>
      <c r="UL51" s="3">
        <v>8216</v>
      </c>
      <c r="UM51" s="1">
        <v>0</v>
      </c>
      <c r="UN51" s="1">
        <v>0</v>
      </c>
      <c r="UO51" s="1">
        <v>2957</v>
      </c>
      <c r="UP51" s="1">
        <v>4355</v>
      </c>
      <c r="UQ51" s="1">
        <v>1295</v>
      </c>
      <c r="UR51" s="588">
        <f t="shared" si="586"/>
        <v>20377</v>
      </c>
      <c r="US51" s="40">
        <v>12302</v>
      </c>
      <c r="UT51" s="40">
        <v>8075</v>
      </c>
      <c r="UU51" s="588">
        <f t="shared" si="587"/>
        <v>205</v>
      </c>
      <c r="UV51" s="40">
        <v>128</v>
      </c>
      <c r="UW51" s="40">
        <v>77</v>
      </c>
      <c r="UX51" s="42">
        <v>29786</v>
      </c>
      <c r="UY51" s="588">
        <f t="shared" si="588"/>
        <v>17184</v>
      </c>
      <c r="UZ51" s="588">
        <f t="shared" si="589"/>
        <v>12602</v>
      </c>
      <c r="VA51" s="588">
        <f t="shared" si="590"/>
        <v>29631</v>
      </c>
      <c r="VB51" s="40">
        <v>17108</v>
      </c>
      <c r="VC51" s="40">
        <v>12523</v>
      </c>
      <c r="VD51" s="588">
        <f t="shared" si="591"/>
        <v>67</v>
      </c>
      <c r="VE51" s="40">
        <v>38</v>
      </c>
      <c r="VF51" s="40">
        <v>29</v>
      </c>
      <c r="VG51" s="588">
        <f t="shared" si="592"/>
        <v>88</v>
      </c>
      <c r="VH51" s="40">
        <v>38</v>
      </c>
      <c r="VI51" s="40">
        <v>50</v>
      </c>
      <c r="VJ51" s="42">
        <v>54624</v>
      </c>
      <c r="VK51" s="588">
        <f t="shared" si="593"/>
        <v>30487</v>
      </c>
      <c r="VL51" s="588">
        <f t="shared" si="594"/>
        <v>24137</v>
      </c>
      <c r="VM51" s="240">
        <f t="shared" si="595"/>
        <v>53135</v>
      </c>
      <c r="VN51" s="40">
        <v>29680</v>
      </c>
      <c r="VO51" s="40">
        <v>23455</v>
      </c>
      <c r="VP51" s="40">
        <v>807</v>
      </c>
      <c r="VQ51" s="40">
        <v>682</v>
      </c>
      <c r="VR51" s="240">
        <f t="shared" si="596"/>
        <v>141</v>
      </c>
      <c r="VS51" s="40">
        <v>110</v>
      </c>
      <c r="VT51" s="40">
        <v>31</v>
      </c>
      <c r="VU51" s="240">
        <f t="shared" si="597"/>
        <v>261</v>
      </c>
      <c r="VV51" s="40">
        <v>159</v>
      </c>
      <c r="VW51" s="40">
        <v>102</v>
      </c>
      <c r="VX51" s="233">
        <f t="shared" si="598"/>
        <v>1087</v>
      </c>
      <c r="VY51" s="233">
        <f t="shared" si="599"/>
        <v>538</v>
      </c>
      <c r="VZ51" s="233">
        <f t="shared" si="600"/>
        <v>549</v>
      </c>
      <c r="WA51" s="234">
        <f t="shared" si="601"/>
        <v>10</v>
      </c>
      <c r="WB51" s="234">
        <f t="shared" si="602"/>
        <v>4</v>
      </c>
      <c r="WC51" s="234">
        <f t="shared" si="603"/>
        <v>6</v>
      </c>
      <c r="WD51" s="40">
        <v>1077</v>
      </c>
      <c r="WE51" s="40">
        <v>534</v>
      </c>
      <c r="WF51" s="40">
        <v>543</v>
      </c>
      <c r="WG51" s="12">
        <f t="shared" si="604"/>
        <v>52773</v>
      </c>
      <c r="WH51" s="588">
        <f t="shared" si="605"/>
        <v>39262</v>
      </c>
      <c r="WI51" s="588">
        <f t="shared" si="606"/>
        <v>34629</v>
      </c>
      <c r="WJ51" s="11">
        <f t="shared" si="607"/>
        <v>51246</v>
      </c>
      <c r="WK51" s="90">
        <f t="shared" si="608"/>
        <v>71317</v>
      </c>
      <c r="WL51" s="40">
        <v>37977</v>
      </c>
      <c r="WM51" s="40">
        <v>33340</v>
      </c>
      <c r="WN51" s="40">
        <v>1285</v>
      </c>
      <c r="WO51" s="40">
        <v>1289</v>
      </c>
      <c r="WP51" s="11">
        <f t="shared" si="609"/>
        <v>4012</v>
      </c>
      <c r="WQ51" s="90">
        <f t="shared" si="610"/>
        <v>343</v>
      </c>
      <c r="WR51" s="40">
        <v>245</v>
      </c>
      <c r="WS51" s="40">
        <v>98</v>
      </c>
      <c r="WT51" s="11">
        <f t="shared" si="611"/>
        <v>301</v>
      </c>
      <c r="WU51" s="40">
        <v>203</v>
      </c>
      <c r="WV51" s="40">
        <v>98</v>
      </c>
      <c r="WW51" s="9">
        <f t="shared" si="612"/>
        <v>2581</v>
      </c>
      <c r="WX51" s="235">
        <f t="shared" si="613"/>
        <v>837</v>
      </c>
      <c r="WY51" s="235">
        <f t="shared" si="614"/>
        <v>1093</v>
      </c>
      <c r="WZ51" s="236">
        <f t="shared" si="615"/>
        <v>8</v>
      </c>
      <c r="XA51" s="236">
        <f t="shared" si="616"/>
        <v>0</v>
      </c>
      <c r="XB51" s="236">
        <f t="shared" si="617"/>
        <v>8</v>
      </c>
      <c r="XC51" s="589">
        <f t="shared" si="618"/>
        <v>1922</v>
      </c>
      <c r="XD51" s="589">
        <f t="shared" si="619"/>
        <v>837</v>
      </c>
      <c r="XE51" s="589">
        <f t="shared" si="620"/>
        <v>1085</v>
      </c>
      <c r="XF51" s="40">
        <v>602</v>
      </c>
      <c r="XG51" s="40">
        <v>824</v>
      </c>
      <c r="XH51" s="40">
        <v>235</v>
      </c>
      <c r="XI51" s="40">
        <v>261</v>
      </c>
      <c r="XJ51" s="590">
        <v>102012</v>
      </c>
      <c r="XK51" s="40">
        <v>51278</v>
      </c>
      <c r="XL51" s="40">
        <v>50734</v>
      </c>
      <c r="XM51" s="5">
        <f t="shared" si="621"/>
        <v>97433</v>
      </c>
      <c r="XN51" s="5">
        <v>49255</v>
      </c>
      <c r="XO51" s="5">
        <v>48178</v>
      </c>
      <c r="XP51" s="84">
        <f t="shared" si="622"/>
        <v>97082</v>
      </c>
      <c r="XQ51" s="40">
        <v>49081</v>
      </c>
      <c r="XR51" s="40">
        <v>48001</v>
      </c>
      <c r="XS51" s="5">
        <f t="shared" si="623"/>
        <v>441</v>
      </c>
      <c r="XT51" s="40">
        <v>286</v>
      </c>
      <c r="XU51" s="40">
        <v>155</v>
      </c>
      <c r="XV51" s="5">
        <f t="shared" si="624"/>
        <v>543</v>
      </c>
      <c r="XW51" s="40">
        <v>261</v>
      </c>
      <c r="XX51" s="40">
        <v>282</v>
      </c>
      <c r="XY51" s="84">
        <f t="shared" si="625"/>
        <v>4138</v>
      </c>
      <c r="XZ51" s="84">
        <f t="shared" si="626"/>
        <v>1737</v>
      </c>
      <c r="YA51" s="84">
        <f t="shared" si="627"/>
        <v>2401</v>
      </c>
      <c r="YB51" s="587">
        <v>125036</v>
      </c>
      <c r="YC51" s="40">
        <v>118430</v>
      </c>
      <c r="YD51" s="40">
        <v>561</v>
      </c>
      <c r="YE51" s="40">
        <v>749</v>
      </c>
      <c r="YF51" s="5">
        <v>5560</v>
      </c>
      <c r="YG51" s="10">
        <v>128013</v>
      </c>
      <c r="YH51" s="3">
        <v>120969</v>
      </c>
      <c r="YI51" s="3">
        <v>585</v>
      </c>
      <c r="YJ51" s="3">
        <v>6459</v>
      </c>
      <c r="YK51" s="3">
        <v>1175</v>
      </c>
      <c r="YL51" s="10">
        <v>129679</v>
      </c>
      <c r="YM51" s="3">
        <v>122224</v>
      </c>
      <c r="YN51" s="3">
        <v>669</v>
      </c>
      <c r="YO51" s="3">
        <v>6786</v>
      </c>
      <c r="YP51" s="3">
        <v>1436</v>
      </c>
      <c r="YQ51" s="10">
        <v>133787</v>
      </c>
      <c r="YR51" s="3">
        <v>125968</v>
      </c>
      <c r="YS51" s="3">
        <v>871</v>
      </c>
      <c r="YT51" s="3">
        <v>6948</v>
      </c>
      <c r="YU51" s="3">
        <v>1815</v>
      </c>
      <c r="YV51" s="10">
        <v>138201.18</v>
      </c>
      <c r="YW51" s="3">
        <v>129590.03200000001</v>
      </c>
      <c r="YX51" s="3"/>
      <c r="YY51" s="3">
        <v>1552.338</v>
      </c>
      <c r="YZ51" s="3">
        <v>8611.1479999999865</v>
      </c>
      <c r="ZA51" s="3">
        <v>141981</v>
      </c>
      <c r="ZB51" s="3">
        <v>132305</v>
      </c>
      <c r="ZC51" s="3">
        <v>1066</v>
      </c>
      <c r="ZD51" s="3">
        <v>1581</v>
      </c>
      <c r="ZE51" s="1">
        <v>7458</v>
      </c>
      <c r="ZF51" s="1">
        <v>143856</v>
      </c>
      <c r="ZG51" s="1">
        <v>133701</v>
      </c>
      <c r="ZH51" s="1">
        <v>1157</v>
      </c>
      <c r="ZI51" s="1">
        <v>1541</v>
      </c>
      <c r="ZJ51" s="1">
        <v>7914</v>
      </c>
      <c r="ZK51" s="1">
        <v>154216</v>
      </c>
      <c r="ZL51" s="1">
        <v>142624</v>
      </c>
      <c r="ZM51" s="1">
        <v>1580</v>
      </c>
      <c r="ZN51" s="1">
        <v>3022</v>
      </c>
      <c r="ZO51" s="1">
        <v>7498</v>
      </c>
      <c r="ZP51" s="1">
        <v>154885</v>
      </c>
      <c r="ZQ51" s="1">
        <v>143592</v>
      </c>
      <c r="ZR51" s="1">
        <v>1217</v>
      </c>
      <c r="ZS51" s="1">
        <v>2631</v>
      </c>
      <c r="ZT51" s="1">
        <v>8084</v>
      </c>
      <c r="ZU51" s="1">
        <v>163261</v>
      </c>
      <c r="ZV51" s="1">
        <v>152067</v>
      </c>
      <c r="ZW51" s="1">
        <v>1238</v>
      </c>
      <c r="ZX51" s="1">
        <v>2364</v>
      </c>
      <c r="ZY51" s="1">
        <v>8316</v>
      </c>
      <c r="ZZ51" s="394">
        <v>2994</v>
      </c>
      <c r="AAA51" s="1">
        <v>0</v>
      </c>
      <c r="AAB51" s="1">
        <v>4158</v>
      </c>
      <c r="AAC51" s="1">
        <v>934</v>
      </c>
      <c r="AAD51" s="1">
        <v>230</v>
      </c>
      <c r="AAE51" s="50">
        <v>161738</v>
      </c>
      <c r="AAF51" s="1">
        <v>149679</v>
      </c>
      <c r="AAG51" s="1">
        <v>1312</v>
      </c>
      <c r="AAH51" s="1">
        <v>2800</v>
      </c>
      <c r="AAI51" s="1">
        <v>5040</v>
      </c>
      <c r="AAJ51" s="50">
        <v>170398</v>
      </c>
      <c r="AAK51" s="1"/>
      <c r="AAL51" s="1"/>
      <c r="AAM51" s="1"/>
      <c r="AAN51" s="1"/>
      <c r="AAO51" s="68">
        <v>174784</v>
      </c>
      <c r="AAP51" s="37">
        <v>159793</v>
      </c>
      <c r="AAQ51" s="37">
        <v>2206</v>
      </c>
      <c r="AAR51" s="37">
        <v>4271</v>
      </c>
      <c r="AAS51" s="37">
        <v>10097</v>
      </c>
      <c r="AAT51" s="68">
        <v>186946</v>
      </c>
      <c r="AAU51" s="37">
        <v>167245</v>
      </c>
      <c r="AAV51" s="37">
        <v>1864</v>
      </c>
      <c r="AAW51" s="37">
        <v>3752</v>
      </c>
      <c r="AAX51" s="37">
        <v>12174</v>
      </c>
      <c r="AAY51" s="1">
        <v>0</v>
      </c>
      <c r="AAZ51" s="1">
        <v>0</v>
      </c>
      <c r="ABA51" s="1">
        <v>3771</v>
      </c>
      <c r="ABB51" s="1">
        <v>7108</v>
      </c>
      <c r="ABC51" s="1">
        <v>1295</v>
      </c>
      <c r="ABD51" s="10">
        <v>28449</v>
      </c>
      <c r="ABE51" s="3">
        <v>26859</v>
      </c>
      <c r="ABF51" s="3">
        <v>125</v>
      </c>
      <c r="ABG51" s="3">
        <v>226</v>
      </c>
      <c r="ABH51" s="3">
        <v>1465</v>
      </c>
      <c r="ABI51" s="10">
        <v>35669</v>
      </c>
      <c r="ABJ51" s="3">
        <v>33600</v>
      </c>
      <c r="ABK51" s="3">
        <v>162</v>
      </c>
      <c r="ABL51" s="3">
        <v>188</v>
      </c>
      <c r="ABM51" s="3">
        <v>1746</v>
      </c>
      <c r="ABN51" s="10">
        <v>38943</v>
      </c>
      <c r="ABO51" s="3">
        <v>36581</v>
      </c>
      <c r="ABP51" s="3">
        <v>213</v>
      </c>
      <c r="ABQ51" s="3">
        <v>604</v>
      </c>
      <c r="ABR51" s="3">
        <v>2149</v>
      </c>
      <c r="ABS51" s="10">
        <v>41460.353999999999</v>
      </c>
      <c r="ABT51" s="3">
        <v>38255.360000000001</v>
      </c>
      <c r="ABU51" s="3"/>
      <c r="ABV51" s="3">
        <v>558.03</v>
      </c>
      <c r="ABW51" s="8">
        <v>3204.9939999999988</v>
      </c>
      <c r="ABX51" s="1">
        <v>43245</v>
      </c>
      <c r="ABY51" s="1">
        <v>39107</v>
      </c>
      <c r="ABZ51" s="1">
        <v>223</v>
      </c>
      <c r="ACA51" s="1">
        <v>564</v>
      </c>
      <c r="ACB51" s="49">
        <v>3453</v>
      </c>
      <c r="ACC51" s="1">
        <v>43223</v>
      </c>
      <c r="ACD51" s="1">
        <v>38805</v>
      </c>
      <c r="ACE51" s="1">
        <v>279</v>
      </c>
      <c r="ACF51" s="1">
        <v>515</v>
      </c>
      <c r="ACG51" s="1">
        <v>3686</v>
      </c>
      <c r="ACH51" s="1">
        <v>43108</v>
      </c>
      <c r="ACI51" s="1">
        <v>39582</v>
      </c>
      <c r="ACJ51" s="1">
        <v>320</v>
      </c>
      <c r="ACK51" s="1">
        <v>556</v>
      </c>
      <c r="ACL51" s="1">
        <v>2730</v>
      </c>
      <c r="ACM51" s="1">
        <v>44323</v>
      </c>
      <c r="ACN51" s="1">
        <v>41018</v>
      </c>
      <c r="ACO51" s="1">
        <v>267</v>
      </c>
      <c r="ACP51" s="1">
        <v>867</v>
      </c>
      <c r="ACQ51" s="1">
        <v>2276</v>
      </c>
      <c r="ACR51" s="1">
        <v>52259</v>
      </c>
      <c r="ACS51" s="1">
        <v>48970</v>
      </c>
      <c r="ACT51" s="1">
        <v>282</v>
      </c>
      <c r="ACU51" s="1">
        <v>318</v>
      </c>
      <c r="ACV51" s="1">
        <v>2758</v>
      </c>
      <c r="ADB51" s="50">
        <v>51935</v>
      </c>
      <c r="ADC51" s="1">
        <v>47898</v>
      </c>
      <c r="ADD51" s="1">
        <v>299</v>
      </c>
      <c r="ADE51" s="1">
        <v>775</v>
      </c>
      <c r="ADF51" s="1">
        <v>1332</v>
      </c>
      <c r="ADG51" s="50">
        <v>52455</v>
      </c>
      <c r="ADL51" s="50">
        <v>53553</v>
      </c>
      <c r="ADM51" s="1">
        <v>48056</v>
      </c>
      <c r="ADN51" s="1">
        <v>1038</v>
      </c>
      <c r="ADO51" s="1">
        <v>1677</v>
      </c>
      <c r="ADP51" s="1">
        <v>3778</v>
      </c>
      <c r="ADQ51" s="50">
        <v>59688</v>
      </c>
      <c r="ADR51" s="1">
        <v>51753</v>
      </c>
      <c r="ADS51" s="1">
        <v>684</v>
      </c>
      <c r="ADT51" s="1">
        <v>1530</v>
      </c>
      <c r="ADU51" s="1">
        <v>3958</v>
      </c>
      <c r="ADV51" s="1">
        <v>0</v>
      </c>
      <c r="ADW51" s="1">
        <v>0</v>
      </c>
      <c r="ADX51" s="1">
        <v>814</v>
      </c>
      <c r="ADY51" s="1">
        <v>2753</v>
      </c>
      <c r="ADZ51" s="1">
        <v>391</v>
      </c>
    </row>
    <row r="52" spans="1:806" ht="14.1">
      <c r="A52" s="140" t="s">
        <v>50</v>
      </c>
      <c r="B52" s="177" t="s">
        <v>221</v>
      </c>
      <c r="C52" s="178" t="s">
        <v>221</v>
      </c>
      <c r="D52" s="178" t="s">
        <v>221</v>
      </c>
      <c r="E52" s="178" t="s">
        <v>221</v>
      </c>
      <c r="F52" s="179" t="s">
        <v>221</v>
      </c>
      <c r="G52" s="158">
        <v>294862</v>
      </c>
      <c r="H52" s="158">
        <v>270697</v>
      </c>
      <c r="I52" s="158">
        <v>11460</v>
      </c>
      <c r="J52" s="158">
        <v>9868</v>
      </c>
      <c r="K52" s="159">
        <v>12705</v>
      </c>
      <c r="L52" s="158">
        <v>186125</v>
      </c>
      <c r="M52" s="158">
        <v>153166</v>
      </c>
      <c r="N52" s="158">
        <v>9203</v>
      </c>
      <c r="O52" s="158">
        <v>21855</v>
      </c>
      <c r="P52" s="159">
        <v>23756</v>
      </c>
      <c r="Q52" s="158">
        <v>147609</v>
      </c>
      <c r="R52" s="158">
        <v>100490</v>
      </c>
      <c r="S52" s="158">
        <v>8367</v>
      </c>
      <c r="T52" s="158">
        <v>28780</v>
      </c>
      <c r="U52" s="159">
        <v>28798</v>
      </c>
      <c r="V52" s="167">
        <v>134580</v>
      </c>
      <c r="W52" s="167">
        <v>106838</v>
      </c>
      <c r="X52" s="167">
        <v>7794</v>
      </c>
      <c r="Y52" s="167">
        <v>33410</v>
      </c>
      <c r="Z52" s="409">
        <v>19948</v>
      </c>
      <c r="AA52" s="167">
        <v>130426</v>
      </c>
      <c r="AB52" s="167">
        <v>76747</v>
      </c>
      <c r="AC52" s="167">
        <v>8510</v>
      </c>
      <c r="AD52" s="167">
        <v>34372</v>
      </c>
      <c r="AE52" s="167">
        <v>22133</v>
      </c>
      <c r="AF52" s="400">
        <v>125453</v>
      </c>
      <c r="AG52" s="167">
        <v>72167</v>
      </c>
      <c r="AH52" s="167">
        <v>8306</v>
      </c>
      <c r="AI52" s="167">
        <v>33828</v>
      </c>
      <c r="AJ52" s="318">
        <v>23645</v>
      </c>
      <c r="AK52" s="674">
        <v>115028</v>
      </c>
      <c r="AL52" s="674">
        <v>61926</v>
      </c>
      <c r="AM52" s="685">
        <v>6943</v>
      </c>
      <c r="AN52" s="685">
        <v>34520</v>
      </c>
      <c r="AO52" s="674">
        <v>25539</v>
      </c>
      <c r="AP52" s="396">
        <v>116279</v>
      </c>
      <c r="AQ52" s="396">
        <v>60900</v>
      </c>
      <c r="AR52" s="396">
        <v>7935</v>
      </c>
      <c r="AS52" s="396">
        <v>35214</v>
      </c>
      <c r="AT52" s="396">
        <v>24837</v>
      </c>
      <c r="AU52" s="395">
        <v>106804</v>
      </c>
      <c r="AV52" s="396">
        <v>55620</v>
      </c>
      <c r="AW52" s="396">
        <v>8313</v>
      </c>
      <c r="AX52" s="396">
        <v>30089</v>
      </c>
      <c r="AY52" s="396">
        <v>26687</v>
      </c>
      <c r="AZ52" s="1">
        <v>11297</v>
      </c>
      <c r="BA52" s="1">
        <v>0</v>
      </c>
      <c r="BB52" s="1">
        <v>1091</v>
      </c>
      <c r="BC52" s="1">
        <v>1443</v>
      </c>
      <c r="BD52" s="1">
        <v>12856</v>
      </c>
      <c r="BE52" s="395">
        <v>101506</v>
      </c>
      <c r="BF52" s="396">
        <v>53596</v>
      </c>
      <c r="BG52" s="396">
        <v>6584</v>
      </c>
      <c r="BH52" s="396">
        <v>29568</v>
      </c>
      <c r="BI52" s="396">
        <v>26294</v>
      </c>
      <c r="BJ52" s="395">
        <v>108021</v>
      </c>
      <c r="BK52" s="396"/>
      <c r="BL52" s="396"/>
      <c r="BM52" s="396"/>
      <c r="BN52" s="396"/>
      <c r="BO52" s="395">
        <v>98802</v>
      </c>
      <c r="BP52" s="396">
        <v>46734</v>
      </c>
      <c r="BQ52" s="396">
        <v>8092</v>
      </c>
      <c r="BR52" s="396">
        <v>32719</v>
      </c>
      <c r="BS52" s="396">
        <v>23962</v>
      </c>
      <c r="BT52" s="395">
        <v>97955</v>
      </c>
      <c r="BU52" s="396">
        <v>46017</v>
      </c>
      <c r="BV52" s="396">
        <v>6230</v>
      </c>
      <c r="BW52" s="396">
        <v>32846</v>
      </c>
      <c r="BX52" s="394">
        <v>10632</v>
      </c>
      <c r="BY52" s="1">
        <v>0</v>
      </c>
      <c r="BZ52" s="1">
        <v>1384</v>
      </c>
      <c r="CA52" s="1">
        <v>18398</v>
      </c>
      <c r="CB52" s="1">
        <v>12865</v>
      </c>
      <c r="CC52" s="157">
        <v>367210</v>
      </c>
      <c r="CD52" s="158">
        <v>324190</v>
      </c>
      <c r="CE52" s="158">
        <v>33386</v>
      </c>
      <c r="CF52" s="158">
        <v>32846</v>
      </c>
      <c r="CG52" s="159">
        <v>9634</v>
      </c>
      <c r="CH52" s="158">
        <v>332292</v>
      </c>
      <c r="CI52" s="158">
        <v>274317</v>
      </c>
      <c r="CJ52" s="158">
        <v>38740</v>
      </c>
      <c r="CK52" s="158">
        <v>17586</v>
      </c>
      <c r="CL52" s="159">
        <v>19235</v>
      </c>
      <c r="CM52" s="1">
        <v>278618</v>
      </c>
      <c r="CN52" s="158">
        <v>213088</v>
      </c>
      <c r="CO52" s="158">
        <v>32768</v>
      </c>
      <c r="CP52" s="158">
        <v>22940</v>
      </c>
      <c r="CQ52" s="159">
        <v>23145</v>
      </c>
      <c r="CR52" s="158">
        <v>251056</v>
      </c>
      <c r="CS52" s="158">
        <v>199748</v>
      </c>
      <c r="CT52" s="158">
        <v>32144</v>
      </c>
      <c r="CU52" s="158">
        <v>28039</v>
      </c>
      <c r="CV52" s="159">
        <v>19164</v>
      </c>
      <c r="CW52" s="158">
        <v>237275</v>
      </c>
      <c r="CX52" s="158">
        <v>170187</v>
      </c>
      <c r="CY52" s="158">
        <v>30829</v>
      </c>
      <c r="CZ52" s="158">
        <v>27510</v>
      </c>
      <c r="DA52" s="158">
        <v>19143</v>
      </c>
      <c r="DB52" s="158">
        <v>232708</v>
      </c>
      <c r="DC52" s="158">
        <v>165229</v>
      </c>
      <c r="DD52" s="158">
        <v>32062</v>
      </c>
      <c r="DE52" s="158">
        <v>26562</v>
      </c>
      <c r="DF52" s="39">
        <v>18312</v>
      </c>
      <c r="DG52" s="39">
        <v>221608</v>
      </c>
      <c r="DH52" s="39">
        <v>152391</v>
      </c>
      <c r="DI52" s="39">
        <v>30275</v>
      </c>
      <c r="DJ52" s="39">
        <v>29995</v>
      </c>
      <c r="DK52" s="39">
        <v>21743</v>
      </c>
      <c r="DL52" s="39">
        <v>219265</v>
      </c>
      <c r="DM52" s="39">
        <v>150058</v>
      </c>
      <c r="DN52" s="39">
        <v>29642</v>
      </c>
      <c r="DO52" s="39">
        <v>30782</v>
      </c>
      <c r="DP52" s="39">
        <v>21130</v>
      </c>
      <c r="DQ52" s="39">
        <v>210940</v>
      </c>
      <c r="DR52" s="39">
        <v>142966</v>
      </c>
      <c r="DS52" s="39">
        <v>29127</v>
      </c>
      <c r="DT52" s="39">
        <v>29254</v>
      </c>
      <c r="DU52" s="39">
        <v>23970</v>
      </c>
      <c r="DV52" s="118">
        <v>200465</v>
      </c>
      <c r="DW52" s="39">
        <v>134454</v>
      </c>
      <c r="DX52" s="39">
        <v>27861</v>
      </c>
      <c r="DY52" s="39">
        <v>29912</v>
      </c>
      <c r="DZ52" s="39">
        <v>21862</v>
      </c>
      <c r="EA52" s="118">
        <v>207198</v>
      </c>
      <c r="EB52" s="39"/>
      <c r="EC52" s="39"/>
      <c r="ED52" s="39"/>
      <c r="EE52" s="39"/>
      <c r="EF52" s="118">
        <v>192060</v>
      </c>
      <c r="EG52" s="39">
        <v>130363</v>
      </c>
      <c r="EH52" s="39">
        <v>25382</v>
      </c>
      <c r="EI52" s="39">
        <v>28465</v>
      </c>
      <c r="EJ52" s="39">
        <v>20601</v>
      </c>
      <c r="EK52" s="118">
        <v>192060</v>
      </c>
      <c r="EL52" s="39">
        <v>130363</v>
      </c>
      <c r="EM52" s="39">
        <v>25382</v>
      </c>
      <c r="EN52" s="39">
        <v>28465</v>
      </c>
      <c r="EO52" s="39">
        <v>20601</v>
      </c>
      <c r="EP52" s="118">
        <v>174119</v>
      </c>
      <c r="EQ52" s="39">
        <v>112128</v>
      </c>
      <c r="ER52" s="39">
        <v>22251</v>
      </c>
      <c r="ES52" s="39">
        <v>29717</v>
      </c>
      <c r="ET52" s="1">
        <v>3327</v>
      </c>
      <c r="EU52" s="1">
        <v>0</v>
      </c>
      <c r="EV52" s="1">
        <v>2571</v>
      </c>
      <c r="EW52" s="1">
        <v>19747</v>
      </c>
      <c r="EX52" s="1">
        <v>10448</v>
      </c>
      <c r="EY52" s="157">
        <v>376536</v>
      </c>
      <c r="EZ52" s="158">
        <v>298866</v>
      </c>
      <c r="FA52" s="158">
        <v>39931</v>
      </c>
      <c r="FB52" s="158">
        <v>61674</v>
      </c>
      <c r="FC52" s="317">
        <f t="shared" si="574"/>
        <v>37739</v>
      </c>
      <c r="FD52" s="177" t="s">
        <v>221</v>
      </c>
      <c r="FE52" s="178" t="s">
        <v>221</v>
      </c>
      <c r="FF52" s="178" t="s">
        <v>221</v>
      </c>
      <c r="FG52" s="178" t="s">
        <v>221</v>
      </c>
      <c r="FH52" s="177" t="s">
        <v>221</v>
      </c>
      <c r="FI52" s="178" t="s">
        <v>221</v>
      </c>
      <c r="FJ52" s="178" t="s">
        <v>221</v>
      </c>
      <c r="FK52" s="178" t="s">
        <v>221</v>
      </c>
      <c r="FL52" s="179" t="s">
        <v>221</v>
      </c>
      <c r="FM52" s="158">
        <v>2432154</v>
      </c>
      <c r="FN52" s="158">
        <v>2323388</v>
      </c>
      <c r="FO52" s="158">
        <v>71150</v>
      </c>
      <c r="FP52" s="158">
        <v>20271</v>
      </c>
      <c r="FQ52" s="159">
        <v>37616</v>
      </c>
      <c r="FR52" s="158">
        <v>2957461</v>
      </c>
      <c r="FS52" s="158">
        <v>2765088</v>
      </c>
      <c r="FT52" s="158">
        <v>104109</v>
      </c>
      <c r="FU52" s="158">
        <v>47449</v>
      </c>
      <c r="FV52" s="158">
        <v>88264</v>
      </c>
      <c r="FW52" s="160">
        <v>3266181</v>
      </c>
      <c r="FX52" s="158">
        <v>2964542</v>
      </c>
      <c r="FY52" s="158">
        <v>150500</v>
      </c>
      <c r="FZ52" s="158">
        <v>102452</v>
      </c>
      <c r="GA52" s="158">
        <v>79512</v>
      </c>
      <c r="GB52" s="157">
        <v>3317664</v>
      </c>
      <c r="GC52" s="158">
        <v>3048507</v>
      </c>
      <c r="GD52" s="158">
        <v>137740</v>
      </c>
      <c r="GE52" s="158">
        <v>131417</v>
      </c>
      <c r="GF52" s="158">
        <v>85156</v>
      </c>
      <c r="GG52" s="161">
        <v>3333900</v>
      </c>
      <c r="GH52" s="162">
        <v>3069238</v>
      </c>
      <c r="GI52" s="162">
        <v>139937</v>
      </c>
      <c r="GJ52" s="162">
        <v>124725</v>
      </c>
      <c r="GK52" s="162">
        <v>84483</v>
      </c>
      <c r="GL52" s="157">
        <v>3387900</v>
      </c>
      <c r="GM52" s="158">
        <v>3109027</v>
      </c>
      <c r="GN52" s="158">
        <v>149568</v>
      </c>
      <c r="GO52" s="158">
        <v>92978</v>
      </c>
      <c r="GP52" s="158">
        <v>102025</v>
      </c>
      <c r="GQ52" s="157">
        <v>3426856.1919999998</v>
      </c>
      <c r="GR52" s="158">
        <v>3136373.2070000004</v>
      </c>
      <c r="GS52" s="158">
        <v>153163.394</v>
      </c>
      <c r="GT52" s="158">
        <v>98935.76</v>
      </c>
      <c r="GU52" s="412">
        <f t="shared" si="575"/>
        <v>137319.5909999994</v>
      </c>
      <c r="GV52" s="158">
        <v>3460879</v>
      </c>
      <c r="GW52" s="158">
        <v>3093032</v>
      </c>
      <c r="GX52" s="158">
        <v>155247</v>
      </c>
      <c r="GY52" s="158">
        <v>103209</v>
      </c>
      <c r="GZ52" s="158">
        <v>142874</v>
      </c>
      <c r="HA52" s="158">
        <v>3495569</v>
      </c>
      <c r="HB52" s="158">
        <v>3113585</v>
      </c>
      <c r="HC52" s="158">
        <v>157145</v>
      </c>
      <c r="HD52" s="158">
        <v>110558</v>
      </c>
      <c r="HE52" s="158">
        <v>148903</v>
      </c>
      <c r="HF52" s="158">
        <v>3561526</v>
      </c>
      <c r="HG52" s="158">
        <v>3152907</v>
      </c>
      <c r="HH52" s="158">
        <v>167332</v>
      </c>
      <c r="HI52" s="158">
        <v>117253</v>
      </c>
      <c r="HJ52" s="158">
        <v>159147</v>
      </c>
      <c r="HK52" s="158">
        <v>3583453</v>
      </c>
      <c r="HL52" s="158">
        <v>3158534</v>
      </c>
      <c r="HM52" s="158">
        <v>166122</v>
      </c>
      <c r="HN52" s="158">
        <v>122559</v>
      </c>
      <c r="HO52" s="158">
        <v>176807</v>
      </c>
      <c r="HP52" s="157">
        <v>3615585</v>
      </c>
      <c r="HQ52" s="158">
        <v>3177030</v>
      </c>
      <c r="HR52" s="158">
        <v>170641</v>
      </c>
      <c r="HS52" s="158">
        <v>132727</v>
      </c>
      <c r="HT52" s="158">
        <v>183745</v>
      </c>
      <c r="HU52" s="394">
        <v>74901</v>
      </c>
      <c r="HV52" s="1">
        <v>0</v>
      </c>
      <c r="HW52" s="1">
        <v>27386</v>
      </c>
      <c r="HX52" s="1">
        <v>39548</v>
      </c>
      <c r="HY52" s="1">
        <v>41910</v>
      </c>
      <c r="HZ52" s="157">
        <v>3656260</v>
      </c>
      <c r="IA52" s="158">
        <v>3191795</v>
      </c>
      <c r="IB52" s="158">
        <v>178019</v>
      </c>
      <c r="IC52" s="158">
        <v>138378</v>
      </c>
      <c r="ID52" s="158">
        <v>196761</v>
      </c>
      <c r="IE52" s="400">
        <v>3676803</v>
      </c>
      <c r="IF52" s="167"/>
      <c r="IG52" s="167"/>
      <c r="IH52" s="167"/>
      <c r="II52" s="167"/>
      <c r="IJ52" s="400">
        <v>3724423</v>
      </c>
      <c r="IK52" s="167">
        <v>3231055</v>
      </c>
      <c r="IL52" s="167">
        <v>185905</v>
      </c>
      <c r="IM52" s="167">
        <v>149020</v>
      </c>
      <c r="IN52" s="167">
        <v>209775</v>
      </c>
      <c r="IO52" s="400">
        <v>3804265</v>
      </c>
      <c r="IP52" s="167">
        <v>3237425</v>
      </c>
      <c r="IQ52" s="167">
        <v>185338</v>
      </c>
      <c r="IR52" s="167">
        <v>163486</v>
      </c>
      <c r="IS52" s="167">
        <v>353267</v>
      </c>
      <c r="IT52" s="1">
        <v>93356</v>
      </c>
      <c r="IU52" s="1">
        <v>0</v>
      </c>
      <c r="IV52" s="1">
        <v>23822</v>
      </c>
      <c r="IW52" s="1">
        <v>178375</v>
      </c>
      <c r="IX52" s="1">
        <v>57714</v>
      </c>
      <c r="IY52" s="636" t="s">
        <v>221</v>
      </c>
      <c r="IZ52" s="637" t="s">
        <v>221</v>
      </c>
      <c r="JA52" s="637" t="s">
        <v>221</v>
      </c>
      <c r="JB52" s="637" t="s">
        <v>221</v>
      </c>
      <c r="JC52" s="638" t="s">
        <v>221</v>
      </c>
      <c r="JD52" s="167">
        <v>735487</v>
      </c>
      <c r="JE52" s="167">
        <v>693651</v>
      </c>
      <c r="JF52" s="167">
        <v>29467</v>
      </c>
      <c r="JG52" s="167">
        <v>7641</v>
      </c>
      <c r="JH52" s="409">
        <v>12369</v>
      </c>
      <c r="JI52" s="167">
        <v>976375</v>
      </c>
      <c r="JJ52" s="167">
        <v>905052</v>
      </c>
      <c r="JK52" s="167">
        <v>42363</v>
      </c>
      <c r="JL52" s="167">
        <v>16444</v>
      </c>
      <c r="JM52" s="409">
        <v>28960</v>
      </c>
      <c r="JN52" s="167">
        <v>1061247</v>
      </c>
      <c r="JO52" s="167">
        <v>958615</v>
      </c>
      <c r="JP52" s="167">
        <v>51176</v>
      </c>
      <c r="JQ52" s="167">
        <v>24764</v>
      </c>
      <c r="JR52" s="167">
        <v>39248</v>
      </c>
      <c r="JS52" s="167">
        <v>1141344</v>
      </c>
      <c r="JT52" s="167">
        <v>1039141</v>
      </c>
      <c r="JU52" s="167">
        <v>59508</v>
      </c>
      <c r="JV52" s="167">
        <v>32833</v>
      </c>
      <c r="JW52" s="409">
        <v>42695</v>
      </c>
      <c r="JX52" s="167">
        <v>1160034.56</v>
      </c>
      <c r="JY52" s="167">
        <v>1051183.1340000001</v>
      </c>
      <c r="JZ52" s="167">
        <v>62885.726000000002</v>
      </c>
      <c r="KA52" s="167">
        <v>35173.589999999997</v>
      </c>
      <c r="KB52" s="409">
        <v>45965.699999999975</v>
      </c>
      <c r="KC52" s="167">
        <v>1182320</v>
      </c>
      <c r="KD52" s="167">
        <v>1044825</v>
      </c>
      <c r="KE52" s="167">
        <v>66196</v>
      </c>
      <c r="KF52" s="167">
        <v>37198</v>
      </c>
      <c r="KG52" s="631">
        <v>46700</v>
      </c>
      <c r="KH52" s="486">
        <v>1197908</v>
      </c>
      <c r="KI52" s="486">
        <v>1051841</v>
      </c>
      <c r="KJ52" s="486">
        <v>69720</v>
      </c>
      <c r="KK52" s="486">
        <v>39825</v>
      </c>
      <c r="KL52" s="486">
        <v>49385</v>
      </c>
      <c r="KM52" s="486">
        <v>1208764</v>
      </c>
      <c r="KN52" s="486">
        <v>1056433</v>
      </c>
      <c r="KO52" s="486">
        <v>73797</v>
      </c>
      <c r="KP52" s="486">
        <v>39862</v>
      </c>
      <c r="KQ52" s="486">
        <v>51191</v>
      </c>
      <c r="KR52" s="486">
        <v>1247367</v>
      </c>
      <c r="KS52" s="486">
        <v>1085522</v>
      </c>
      <c r="KT52" s="486">
        <v>73374</v>
      </c>
      <c r="KU52" s="486">
        <v>45166</v>
      </c>
      <c r="KV52" s="486">
        <v>58194</v>
      </c>
      <c r="KW52" s="632">
        <v>1232803</v>
      </c>
      <c r="KX52" s="486">
        <v>1077366</v>
      </c>
      <c r="KY52" s="486">
        <v>69241</v>
      </c>
      <c r="KZ52" s="486">
        <v>46987</v>
      </c>
      <c r="LA52" s="486">
        <v>58171</v>
      </c>
      <c r="LB52" s="654">
        <v>1238816</v>
      </c>
      <c r="LC52" s="655">
        <v>1071194</v>
      </c>
      <c r="LD52" s="655">
        <v>73320</v>
      </c>
      <c r="LE52" s="655">
        <v>50289</v>
      </c>
      <c r="LF52" s="655">
        <v>60491</v>
      </c>
      <c r="LG52" s="654">
        <v>1256252</v>
      </c>
      <c r="LH52" s="655"/>
      <c r="LI52" s="486"/>
      <c r="LJ52" s="486"/>
      <c r="LK52" s="486"/>
      <c r="LL52" s="654">
        <v>1242652</v>
      </c>
      <c r="LM52" s="655">
        <v>1066878</v>
      </c>
      <c r="LN52" s="655">
        <v>74497</v>
      </c>
      <c r="LO52" s="655">
        <v>53967</v>
      </c>
      <c r="LP52" s="655">
        <v>66990</v>
      </c>
      <c r="LQ52" s="654">
        <v>1255431</v>
      </c>
      <c r="LR52" s="655">
        <v>1065331</v>
      </c>
      <c r="LS52" s="655">
        <v>69170</v>
      </c>
      <c r="LT52" s="655">
        <v>56141</v>
      </c>
      <c r="LU52" s="655">
        <v>112006</v>
      </c>
      <c r="LV52" s="1">
        <v>18794</v>
      </c>
      <c r="LW52" s="1">
        <v>0</v>
      </c>
      <c r="LX52" s="1">
        <v>10363</v>
      </c>
      <c r="LY52" s="1">
        <v>66281</v>
      </c>
      <c r="LZ52" s="1">
        <v>16568</v>
      </c>
      <c r="MA52" s="157">
        <v>220177</v>
      </c>
      <c r="MB52" s="158">
        <v>210932</v>
      </c>
      <c r="MC52" s="158">
        <v>6033</v>
      </c>
      <c r="MD52" s="158">
        <v>1948</v>
      </c>
      <c r="ME52" s="159">
        <v>3212</v>
      </c>
      <c r="MF52" s="158">
        <v>260711</v>
      </c>
      <c r="MG52" s="158">
        <v>244818</v>
      </c>
      <c r="MH52" s="158">
        <v>8978</v>
      </c>
      <c r="MI52" s="158">
        <v>3332</v>
      </c>
      <c r="MJ52" s="159">
        <v>6915</v>
      </c>
      <c r="MK52" s="158">
        <v>322476</v>
      </c>
      <c r="ML52" s="158">
        <v>297889</v>
      </c>
      <c r="MM52" s="158">
        <v>10880</v>
      </c>
      <c r="MN52" s="158">
        <v>6167</v>
      </c>
      <c r="MO52" s="158">
        <v>10628</v>
      </c>
      <c r="MP52" s="157">
        <v>341679</v>
      </c>
      <c r="MQ52" s="158">
        <v>318722</v>
      </c>
      <c r="MR52" s="158">
        <v>12355</v>
      </c>
      <c r="MS52" s="158">
        <v>7126</v>
      </c>
      <c r="MT52" s="158">
        <v>10602</v>
      </c>
      <c r="MU52" s="157"/>
      <c r="MV52" s="158"/>
      <c r="MW52" s="158"/>
      <c r="MX52" s="158"/>
      <c r="MY52" s="159"/>
      <c r="MZ52" s="157">
        <v>368323</v>
      </c>
      <c r="NA52" s="158">
        <v>336871</v>
      </c>
      <c r="NB52" s="158">
        <v>13247</v>
      </c>
      <c r="NC52" s="158">
        <v>8685</v>
      </c>
      <c r="ND52" s="159">
        <v>12367</v>
      </c>
      <c r="NE52" s="3">
        <v>379309</v>
      </c>
      <c r="NF52" s="3">
        <v>344715</v>
      </c>
      <c r="NG52" s="3">
        <v>15264</v>
      </c>
      <c r="NH52" s="3">
        <v>9335</v>
      </c>
      <c r="NI52" s="3">
        <v>13328</v>
      </c>
      <c r="NJ52" s="3">
        <v>402829</v>
      </c>
      <c r="NK52" s="3">
        <v>364082</v>
      </c>
      <c r="NL52" s="3">
        <v>18226</v>
      </c>
      <c r="NM52" s="3">
        <v>10502</v>
      </c>
      <c r="NN52" s="3">
        <v>68006</v>
      </c>
      <c r="NO52" s="3">
        <v>411400</v>
      </c>
      <c r="NP52" s="3">
        <v>373688</v>
      </c>
      <c r="NQ52" s="3">
        <v>13490</v>
      </c>
      <c r="NR52" s="3">
        <v>10810</v>
      </c>
      <c r="NS52" s="3">
        <v>16497</v>
      </c>
      <c r="NT52" s="3">
        <v>420412</v>
      </c>
      <c r="NU52" s="3">
        <v>382233</v>
      </c>
      <c r="NV52" s="3">
        <v>14878</v>
      </c>
      <c r="NW52" s="3">
        <v>11660</v>
      </c>
      <c r="NX52" s="3">
        <v>16080</v>
      </c>
      <c r="NY52" s="10">
        <v>433324</v>
      </c>
      <c r="NZ52" s="3">
        <v>388949</v>
      </c>
      <c r="OA52" s="3">
        <v>18526</v>
      </c>
      <c r="OB52" s="3">
        <v>12994</v>
      </c>
      <c r="OC52" s="3">
        <v>17497</v>
      </c>
      <c r="OD52" s="10">
        <v>438602</v>
      </c>
      <c r="OE52" s="3"/>
      <c r="OF52" s="3"/>
      <c r="OG52" s="3"/>
      <c r="OH52" s="3"/>
      <c r="OI52" s="10">
        <v>438381</v>
      </c>
      <c r="OJ52" s="3">
        <v>389563</v>
      </c>
      <c r="OK52" s="3">
        <v>16520</v>
      </c>
      <c r="OL52" s="3">
        <v>15788</v>
      </c>
      <c r="OM52" s="3">
        <v>21872</v>
      </c>
      <c r="ON52" s="10">
        <v>461115</v>
      </c>
      <c r="OO52" s="3">
        <v>408634</v>
      </c>
      <c r="OP52" s="3">
        <v>15461</v>
      </c>
      <c r="OQ52" s="3">
        <v>14603</v>
      </c>
      <c r="OR52" s="3">
        <v>4427</v>
      </c>
      <c r="OS52" s="1">
        <v>7261</v>
      </c>
      <c r="OT52" s="1">
        <v>0</v>
      </c>
      <c r="OU52" s="1">
        <v>3112</v>
      </c>
      <c r="OV52" s="1">
        <v>19652</v>
      </c>
      <c r="OW52" s="1">
        <v>4427</v>
      </c>
      <c r="OX52" s="402">
        <f t="shared" si="576"/>
        <v>648398</v>
      </c>
      <c r="OY52" s="382">
        <f t="shared" si="577"/>
        <v>574043</v>
      </c>
      <c r="OZ52" s="382">
        <f t="shared" si="578"/>
        <v>16052</v>
      </c>
      <c r="PA52" s="382">
        <f t="shared" si="579"/>
        <v>56777</v>
      </c>
      <c r="PB52" s="382">
        <f t="shared" si="580"/>
        <v>25028</v>
      </c>
      <c r="PC52" s="402">
        <f t="shared" si="581"/>
        <v>1039984</v>
      </c>
      <c r="PD52" s="382">
        <f t="shared" si="582"/>
        <v>979965</v>
      </c>
      <c r="PE52" s="382">
        <f t="shared" si="583"/>
        <v>24985</v>
      </c>
      <c r="PF52" s="382">
        <f t="shared" si="584"/>
        <v>13277</v>
      </c>
      <c r="PG52" s="382">
        <f t="shared" si="585"/>
        <v>35034</v>
      </c>
      <c r="PH52" s="157">
        <v>1156378</v>
      </c>
      <c r="PI52" s="158">
        <v>1078341</v>
      </c>
      <c r="PJ52" s="158">
        <v>32327</v>
      </c>
      <c r="PK52" s="158">
        <v>21254</v>
      </c>
      <c r="PL52" s="158">
        <v>45710</v>
      </c>
      <c r="PM52" s="158">
        <v>1248893</v>
      </c>
      <c r="PN52" s="158">
        <v>1153969</v>
      </c>
      <c r="PO52" s="158">
        <v>31539</v>
      </c>
      <c r="PP52" s="158">
        <v>20965</v>
      </c>
      <c r="PQ52" s="158">
        <v>51935</v>
      </c>
      <c r="PR52" s="400"/>
      <c r="PS52" s="167"/>
      <c r="PT52" s="167"/>
      <c r="PU52" s="167"/>
      <c r="PV52" s="167"/>
      <c r="PW52" s="167">
        <v>1390411</v>
      </c>
      <c r="PX52" s="167">
        <v>1270551</v>
      </c>
      <c r="PY52" s="167">
        <v>37948</v>
      </c>
      <c r="PZ52" s="167">
        <v>27522</v>
      </c>
      <c r="QA52" s="409">
        <v>61295</v>
      </c>
      <c r="QB52" s="167">
        <v>1427078</v>
      </c>
      <c r="QC52" s="167">
        <v>1300841</v>
      </c>
      <c r="QD52" s="167">
        <v>40158</v>
      </c>
      <c r="QE52" s="167">
        <v>29678</v>
      </c>
      <c r="QF52" s="167">
        <v>64685</v>
      </c>
      <c r="QG52" s="167">
        <v>1510923</v>
      </c>
      <c r="QH52" s="167">
        <v>1372515</v>
      </c>
      <c r="QI52" s="167">
        <v>44481</v>
      </c>
      <c r="QJ52" s="167">
        <v>32746</v>
      </c>
      <c r="QK52" s="167">
        <v>68006</v>
      </c>
      <c r="QL52" s="400">
        <v>1523858</v>
      </c>
      <c r="QM52" s="167">
        <v>1381178</v>
      </c>
      <c r="QN52" s="167">
        <v>40989</v>
      </c>
      <c r="QO52" s="167">
        <v>33131</v>
      </c>
      <c r="QP52" s="167">
        <v>78088</v>
      </c>
      <c r="QQ52" s="400">
        <v>1580587</v>
      </c>
      <c r="QR52" s="167">
        <v>1422900</v>
      </c>
      <c r="QS52" s="167">
        <v>46242</v>
      </c>
      <c r="QT52" s="167">
        <v>39879</v>
      </c>
      <c r="QU52" s="167">
        <v>83391</v>
      </c>
      <c r="QV52" s="400">
        <v>1635854</v>
      </c>
      <c r="QW52" s="167">
        <v>1465136</v>
      </c>
      <c r="QX52" s="167">
        <v>49032</v>
      </c>
      <c r="QY52" s="167">
        <v>42476</v>
      </c>
      <c r="QZ52" s="167">
        <v>91137</v>
      </c>
      <c r="RA52" s="400">
        <v>1636678</v>
      </c>
      <c r="RB52" s="167"/>
      <c r="RC52" s="167"/>
      <c r="RD52" s="167"/>
      <c r="RE52" s="167"/>
      <c r="RF52" s="167">
        <v>1696760</v>
      </c>
      <c r="RG52" s="167">
        <v>1513433</v>
      </c>
      <c r="RH52" s="167">
        <v>49928</v>
      </c>
      <c r="RI52" s="167">
        <v>48516</v>
      </c>
      <c r="RJ52" s="167">
        <v>100088</v>
      </c>
      <c r="RK52" s="167">
        <v>1787593</v>
      </c>
      <c r="RL52" s="167">
        <v>1565730</v>
      </c>
      <c r="RM52" s="167">
        <v>50899</v>
      </c>
      <c r="RN52" s="167">
        <v>53409</v>
      </c>
      <c r="RO52" s="167">
        <v>159081</v>
      </c>
      <c r="RP52" s="1">
        <v>59879</v>
      </c>
      <c r="RQ52" s="1">
        <v>0</v>
      </c>
      <c r="RR52" s="1">
        <v>6329</v>
      </c>
      <c r="RS52" s="1">
        <v>72320</v>
      </c>
      <c r="RT52" s="1">
        <v>20553</v>
      </c>
      <c r="RU52" s="157">
        <v>375603</v>
      </c>
      <c r="RV52" s="158">
        <v>363111</v>
      </c>
      <c r="RW52" s="158">
        <v>6802</v>
      </c>
      <c r="RX52" s="158">
        <v>2161</v>
      </c>
      <c r="RY52" s="158">
        <v>5690</v>
      </c>
      <c r="RZ52" s="157">
        <v>530268</v>
      </c>
      <c r="SA52" s="158">
        <v>504486</v>
      </c>
      <c r="SB52" s="158">
        <v>10489</v>
      </c>
      <c r="SC52" s="158">
        <v>6074</v>
      </c>
      <c r="SD52" s="158">
        <v>15293</v>
      </c>
      <c r="SE52" s="157">
        <v>618605</v>
      </c>
      <c r="SF52" s="158">
        <v>578243</v>
      </c>
      <c r="SG52" s="158">
        <v>13795</v>
      </c>
      <c r="SH52" s="158">
        <v>9422</v>
      </c>
      <c r="SI52" s="158">
        <v>21533</v>
      </c>
      <c r="SJ52" s="157">
        <v>649278</v>
      </c>
      <c r="SK52" s="158">
        <v>608533</v>
      </c>
      <c r="SL52" s="158">
        <v>16497</v>
      </c>
      <c r="SM52" s="158">
        <v>11346</v>
      </c>
      <c r="SN52" s="158">
        <v>24248</v>
      </c>
      <c r="SO52" s="157">
        <v>661790.20799999998</v>
      </c>
      <c r="SP52" s="158">
        <v>618343.02</v>
      </c>
      <c r="SQ52" s="158">
        <v>16010.783000000001</v>
      </c>
      <c r="SR52" s="158">
        <v>12366.97</v>
      </c>
      <c r="SS52" s="158">
        <v>27436.404999999962</v>
      </c>
      <c r="ST52" s="157">
        <v>672040</v>
      </c>
      <c r="SU52" s="158">
        <v>622418</v>
      </c>
      <c r="SV52" s="158">
        <v>15486</v>
      </c>
      <c r="SW52" s="158">
        <v>12025</v>
      </c>
      <c r="SX52" s="158">
        <v>24606</v>
      </c>
      <c r="SY52" s="158">
        <v>690713</v>
      </c>
      <c r="SZ52" s="158">
        <v>639557</v>
      </c>
      <c r="TA52" s="158">
        <v>15357</v>
      </c>
      <c r="TB52" s="158">
        <v>12922</v>
      </c>
      <c r="TC52" s="158">
        <v>25994</v>
      </c>
      <c r="TD52" s="3">
        <v>736544</v>
      </c>
      <c r="TE52" s="158">
        <v>680105</v>
      </c>
      <c r="TF52" s="158">
        <v>16293</v>
      </c>
      <c r="TG52" s="158">
        <v>13260</v>
      </c>
      <c r="TH52" s="158">
        <v>29560</v>
      </c>
      <c r="TI52" s="158">
        <v>742544</v>
      </c>
      <c r="TJ52" s="158">
        <v>678914</v>
      </c>
      <c r="TK52" s="158">
        <v>18078</v>
      </c>
      <c r="TL52" s="158">
        <v>15670</v>
      </c>
      <c r="TM52" s="158">
        <v>34197</v>
      </c>
      <c r="TN52" s="158">
        <v>758503</v>
      </c>
      <c r="TO52" s="158">
        <v>691356</v>
      </c>
      <c r="TP52" s="158">
        <v>20366</v>
      </c>
      <c r="TQ52" s="158">
        <v>18379</v>
      </c>
      <c r="TR52" s="158">
        <v>33135</v>
      </c>
      <c r="TS52" s="157">
        <v>782676</v>
      </c>
      <c r="TT52" s="158">
        <v>709464</v>
      </c>
      <c r="TU52" s="158">
        <v>18717</v>
      </c>
      <c r="TV52" s="158">
        <v>19506</v>
      </c>
      <c r="TW52" s="158">
        <v>40456</v>
      </c>
      <c r="TX52" s="157">
        <v>775533</v>
      </c>
      <c r="TY52" s="158"/>
      <c r="TZ52" s="158"/>
      <c r="UA52" s="158"/>
      <c r="UB52" s="158"/>
      <c r="UC52" s="157">
        <v>829878</v>
      </c>
      <c r="UD52" s="158">
        <v>750696</v>
      </c>
      <c r="UE52" s="158">
        <v>21581</v>
      </c>
      <c r="UF52" s="158">
        <v>21167</v>
      </c>
      <c r="UG52" s="158">
        <v>42865</v>
      </c>
      <c r="UH52" s="157">
        <v>876467</v>
      </c>
      <c r="UI52" s="158">
        <v>772225</v>
      </c>
      <c r="UJ52" s="158">
        <v>22163</v>
      </c>
      <c r="UK52" s="158">
        <v>26153</v>
      </c>
      <c r="UL52" s="158">
        <v>76176</v>
      </c>
      <c r="UM52" s="1">
        <v>28342</v>
      </c>
      <c r="UN52" s="1">
        <v>0</v>
      </c>
      <c r="UO52" s="1">
        <v>2196</v>
      </c>
      <c r="UP52" s="1">
        <v>35490</v>
      </c>
      <c r="UQ52" s="1">
        <v>16126</v>
      </c>
      <c r="UR52" s="591">
        <f t="shared" si="586"/>
        <v>143380</v>
      </c>
      <c r="US52" s="162">
        <v>86634</v>
      </c>
      <c r="UT52" s="162">
        <v>56746</v>
      </c>
      <c r="UU52" s="591">
        <f t="shared" si="587"/>
        <v>1663</v>
      </c>
      <c r="UV52" s="162">
        <v>1065</v>
      </c>
      <c r="UW52" s="162">
        <v>598</v>
      </c>
      <c r="UX52" s="161">
        <v>40332</v>
      </c>
      <c r="UY52" s="591">
        <f t="shared" si="588"/>
        <v>22736</v>
      </c>
      <c r="UZ52" s="591">
        <f t="shared" si="589"/>
        <v>17596</v>
      </c>
      <c r="VA52" s="591">
        <f t="shared" si="590"/>
        <v>40139</v>
      </c>
      <c r="VB52" s="162">
        <v>22625</v>
      </c>
      <c r="VC52" s="162">
        <v>17514</v>
      </c>
      <c r="VD52" s="591">
        <f t="shared" si="591"/>
        <v>10</v>
      </c>
      <c r="VE52" s="162">
        <v>10</v>
      </c>
      <c r="VF52" s="162">
        <v>0</v>
      </c>
      <c r="VG52" s="591">
        <f t="shared" si="592"/>
        <v>183</v>
      </c>
      <c r="VH52" s="162">
        <v>101</v>
      </c>
      <c r="VI52" s="162">
        <v>82</v>
      </c>
      <c r="VJ52" s="161">
        <v>401076</v>
      </c>
      <c r="VK52" s="591">
        <f t="shared" si="593"/>
        <v>228324</v>
      </c>
      <c r="VL52" s="591">
        <f t="shared" si="594"/>
        <v>172752</v>
      </c>
      <c r="VM52" s="255">
        <f t="shared" si="595"/>
        <v>386603</v>
      </c>
      <c r="VN52" s="162">
        <v>220638</v>
      </c>
      <c r="VO52" s="162">
        <v>165965</v>
      </c>
      <c r="VP52" s="162">
        <v>7686</v>
      </c>
      <c r="VQ52" s="162">
        <v>6787</v>
      </c>
      <c r="VR52" s="255">
        <f t="shared" si="596"/>
        <v>6455</v>
      </c>
      <c r="VS52" s="162">
        <v>3149</v>
      </c>
      <c r="VT52" s="162">
        <v>3306</v>
      </c>
      <c r="VU52" s="255">
        <f t="shared" si="597"/>
        <v>2343</v>
      </c>
      <c r="VV52" s="162">
        <v>1258</v>
      </c>
      <c r="VW52" s="162">
        <v>1085</v>
      </c>
      <c r="VX52" s="246">
        <f t="shared" si="598"/>
        <v>5675</v>
      </c>
      <c r="VY52" s="246">
        <f t="shared" si="599"/>
        <v>3279</v>
      </c>
      <c r="VZ52" s="246">
        <f t="shared" si="600"/>
        <v>2396</v>
      </c>
      <c r="WA52" s="247">
        <f t="shared" si="601"/>
        <v>189</v>
      </c>
      <c r="WB52" s="247">
        <f t="shared" si="602"/>
        <v>96</v>
      </c>
      <c r="WC52" s="247">
        <f t="shared" si="603"/>
        <v>93</v>
      </c>
      <c r="WD52" s="162">
        <v>5486</v>
      </c>
      <c r="WE52" s="162">
        <v>3183</v>
      </c>
      <c r="WF52" s="162">
        <v>2303</v>
      </c>
      <c r="WG52" s="163">
        <f t="shared" si="604"/>
        <v>428221</v>
      </c>
      <c r="WH52" s="591">
        <f t="shared" si="605"/>
        <v>291005</v>
      </c>
      <c r="WI52" s="591">
        <f t="shared" si="606"/>
        <v>257965</v>
      </c>
      <c r="WJ52" s="164">
        <f t="shared" si="607"/>
        <v>363111</v>
      </c>
      <c r="WK52" s="165">
        <f t="shared" si="608"/>
        <v>525301</v>
      </c>
      <c r="WL52" s="162">
        <v>278948</v>
      </c>
      <c r="WM52" s="162">
        <v>246353</v>
      </c>
      <c r="WN52" s="162">
        <v>12057</v>
      </c>
      <c r="WO52" s="162">
        <v>11612</v>
      </c>
      <c r="WP52" s="164">
        <f t="shared" si="609"/>
        <v>10019</v>
      </c>
      <c r="WQ52" s="165">
        <f t="shared" si="610"/>
        <v>9611</v>
      </c>
      <c r="WR52" s="162">
        <v>4368</v>
      </c>
      <c r="WS52" s="162">
        <v>5243</v>
      </c>
      <c r="WT52" s="164">
        <f t="shared" si="611"/>
        <v>3732</v>
      </c>
      <c r="WU52" s="162">
        <v>1992</v>
      </c>
      <c r="WV52" s="162">
        <v>1740</v>
      </c>
      <c r="WW52" s="166">
        <f t="shared" si="612"/>
        <v>21816</v>
      </c>
      <c r="WX52" s="248">
        <f t="shared" si="613"/>
        <v>5697</v>
      </c>
      <c r="WY52" s="248">
        <f t="shared" si="614"/>
        <v>4629</v>
      </c>
      <c r="WZ52" s="249">
        <f t="shared" si="615"/>
        <v>95</v>
      </c>
      <c r="XA52" s="249">
        <f t="shared" si="616"/>
        <v>61</v>
      </c>
      <c r="XB52" s="249">
        <f t="shared" si="617"/>
        <v>34</v>
      </c>
      <c r="XC52" s="592">
        <f t="shared" si="618"/>
        <v>10231</v>
      </c>
      <c r="XD52" s="592">
        <f t="shared" si="619"/>
        <v>5636</v>
      </c>
      <c r="XE52" s="592">
        <f t="shared" si="620"/>
        <v>4595</v>
      </c>
      <c r="XF52" s="162">
        <v>477</v>
      </c>
      <c r="XG52" s="162">
        <v>594</v>
      </c>
      <c r="XH52" s="162">
        <v>5159</v>
      </c>
      <c r="XI52" s="162">
        <v>4001</v>
      </c>
      <c r="XJ52" s="593">
        <v>779273</v>
      </c>
      <c r="XK52" s="162">
        <v>389432</v>
      </c>
      <c r="XL52" s="162">
        <v>389841</v>
      </c>
      <c r="XM52" s="167">
        <f t="shared" si="621"/>
        <v>735147</v>
      </c>
      <c r="XN52" s="167">
        <v>367942</v>
      </c>
      <c r="XO52" s="167">
        <v>367205</v>
      </c>
      <c r="XP52" s="168">
        <f t="shared" si="622"/>
        <v>729088</v>
      </c>
      <c r="XQ52" s="162">
        <v>364780</v>
      </c>
      <c r="XR52" s="162">
        <v>364308</v>
      </c>
      <c r="XS52" s="167">
        <f t="shared" si="623"/>
        <v>16007</v>
      </c>
      <c r="XT52" s="162">
        <v>7142</v>
      </c>
      <c r="XU52" s="162">
        <v>8865</v>
      </c>
      <c r="XV52" s="167">
        <f t="shared" si="624"/>
        <v>9945</v>
      </c>
      <c r="XW52" s="162">
        <v>5074</v>
      </c>
      <c r="XX52" s="162">
        <v>4871</v>
      </c>
      <c r="XY52" s="168">
        <f t="shared" si="625"/>
        <v>28119</v>
      </c>
      <c r="XZ52" s="168">
        <f t="shared" si="626"/>
        <v>14348</v>
      </c>
      <c r="YA52" s="168">
        <f t="shared" si="627"/>
        <v>13771</v>
      </c>
      <c r="YB52" s="594">
        <v>926417</v>
      </c>
      <c r="YC52" s="162">
        <v>856080</v>
      </c>
      <c r="YD52" s="162">
        <v>20659</v>
      </c>
      <c r="YE52" s="162">
        <v>14798</v>
      </c>
      <c r="YF52" s="167">
        <v>41307</v>
      </c>
      <c r="YG52" s="157">
        <v>949549</v>
      </c>
      <c r="YH52" s="158">
        <v>883830</v>
      </c>
      <c r="YI52" s="158">
        <v>22247</v>
      </c>
      <c r="YJ52" s="158">
        <v>43472</v>
      </c>
      <c r="YK52" s="158">
        <v>15736</v>
      </c>
      <c r="YL52" s="157">
        <v>954584</v>
      </c>
      <c r="YM52" s="158">
        <v>889666</v>
      </c>
      <c r="YN52" s="158">
        <v>23218</v>
      </c>
      <c r="YO52" s="158">
        <v>41700</v>
      </c>
      <c r="YP52" s="158">
        <v>15914</v>
      </c>
      <c r="YQ52" s="157">
        <v>976533</v>
      </c>
      <c r="YR52" s="158">
        <v>905783</v>
      </c>
      <c r="YS52" s="158">
        <v>25864</v>
      </c>
      <c r="YT52" s="158">
        <v>44886</v>
      </c>
      <c r="YU52" s="158">
        <v>17219</v>
      </c>
      <c r="YV52" s="157">
        <v>996488.70400000003</v>
      </c>
      <c r="YW52" s="158">
        <v>924079.29099999997</v>
      </c>
      <c r="YX52" s="158">
        <v>24498.427000000003</v>
      </c>
      <c r="YY52" s="158">
        <v>18630.759999999998</v>
      </c>
      <c r="YZ52" s="158">
        <v>47910.986000000055</v>
      </c>
      <c r="ZA52" s="158">
        <v>1022088</v>
      </c>
      <c r="ZB52" s="158">
        <v>933680</v>
      </c>
      <c r="ZC52" s="158">
        <v>24701</v>
      </c>
      <c r="ZD52" s="158">
        <v>18837</v>
      </c>
      <c r="ZE52" s="1">
        <v>48928</v>
      </c>
      <c r="ZF52" s="1">
        <v>1047769</v>
      </c>
      <c r="ZG52" s="1">
        <v>956126</v>
      </c>
      <c r="ZH52" s="1">
        <v>24894</v>
      </c>
      <c r="ZI52" s="1">
        <v>20343</v>
      </c>
      <c r="ZJ52" s="1">
        <v>51357</v>
      </c>
      <c r="ZK52" s="1">
        <v>1108094</v>
      </c>
      <c r="ZL52" s="1">
        <v>1008433</v>
      </c>
      <c r="ZM52" s="1">
        <v>26255</v>
      </c>
      <c r="ZN52" s="1">
        <v>22244</v>
      </c>
      <c r="ZO52" s="1">
        <v>55149</v>
      </c>
      <c r="ZP52" s="1">
        <v>1112458</v>
      </c>
      <c r="ZQ52" s="1">
        <v>1007490</v>
      </c>
      <c r="ZR52" s="1">
        <v>27499</v>
      </c>
      <c r="ZS52" s="1">
        <v>22321</v>
      </c>
      <c r="ZT52" s="1">
        <v>61591</v>
      </c>
      <c r="ZU52" s="1">
        <v>1160175</v>
      </c>
      <c r="ZV52" s="1">
        <v>1040667</v>
      </c>
      <c r="ZW52" s="1">
        <v>31364</v>
      </c>
      <c r="ZX52" s="1">
        <v>28219</v>
      </c>
      <c r="ZY52" s="1">
        <v>67311</v>
      </c>
      <c r="ZZ52" s="394">
        <v>43497</v>
      </c>
      <c r="AAA52" s="1">
        <v>0</v>
      </c>
      <c r="AAB52" s="1">
        <v>5325</v>
      </c>
      <c r="AAC52" s="1">
        <v>12979</v>
      </c>
      <c r="AAD52" s="1">
        <v>5510</v>
      </c>
      <c r="AAE52" s="50">
        <v>1202530</v>
      </c>
      <c r="AAF52" s="1">
        <v>1076187</v>
      </c>
      <c r="AAG52" s="1">
        <v>30506</v>
      </c>
      <c r="AAH52" s="1">
        <v>29482</v>
      </c>
      <c r="AAI52" s="1">
        <v>73640</v>
      </c>
      <c r="AAJ52" s="50">
        <v>1198076</v>
      </c>
      <c r="AAK52" s="1"/>
      <c r="AAL52" s="1"/>
      <c r="AAM52" s="1"/>
      <c r="AAN52" s="1"/>
      <c r="AAO52" s="68">
        <v>1258379</v>
      </c>
      <c r="AAP52" s="37">
        <v>1123870</v>
      </c>
      <c r="AAQ52" s="37">
        <v>33408</v>
      </c>
      <c r="AAR52" s="37">
        <v>32728</v>
      </c>
      <c r="AAS52" s="37">
        <v>78216</v>
      </c>
      <c r="AAT52" s="68">
        <v>1326478</v>
      </c>
      <c r="AAU52" s="37">
        <v>1157096</v>
      </c>
      <c r="AAV52" s="37">
        <v>35438</v>
      </c>
      <c r="AAW52" s="37">
        <v>38806</v>
      </c>
      <c r="AAX52" s="37">
        <v>124629</v>
      </c>
      <c r="AAY52" s="1">
        <v>52618</v>
      </c>
      <c r="AAZ52" s="1">
        <v>0</v>
      </c>
      <c r="ABA52" s="1">
        <v>3217</v>
      </c>
      <c r="ABB52" s="1">
        <v>52668</v>
      </c>
      <c r="ABC52" s="1">
        <v>16126</v>
      </c>
      <c r="ABD52" s="157">
        <v>249005</v>
      </c>
      <c r="ABE52" s="158">
        <v>230661</v>
      </c>
      <c r="ABF52" s="158">
        <v>5518</v>
      </c>
      <c r="ABG52" s="158">
        <v>3871</v>
      </c>
      <c r="ABH52" s="158">
        <v>12826</v>
      </c>
      <c r="ABI52" s="157">
        <v>307812</v>
      </c>
      <c r="ABJ52" s="158">
        <v>277837</v>
      </c>
      <c r="ABK52" s="158">
        <v>6864</v>
      </c>
      <c r="ABL52" s="158">
        <v>5376</v>
      </c>
      <c r="ABM52" s="158">
        <v>19774</v>
      </c>
      <c r="ABN52" s="157">
        <v>327255</v>
      </c>
      <c r="ABO52" s="158">
        <v>297250</v>
      </c>
      <c r="ABP52" s="158">
        <v>9367</v>
      </c>
      <c r="ABQ52" s="158">
        <v>5873</v>
      </c>
      <c r="ABR52" s="158">
        <v>20638</v>
      </c>
      <c r="ABS52" s="157">
        <v>334698.49600000004</v>
      </c>
      <c r="ABT52" s="158">
        <v>305736.27100000001</v>
      </c>
      <c r="ABU52" s="158">
        <v>8487.6440000000002</v>
      </c>
      <c r="ABV52" s="158">
        <v>6263.79</v>
      </c>
      <c r="ABW52" s="159">
        <v>20474.581000000035</v>
      </c>
      <c r="ABX52" s="2">
        <v>350048</v>
      </c>
      <c r="ABY52" s="2">
        <v>311262</v>
      </c>
      <c r="ABZ52" s="2">
        <v>9215</v>
      </c>
      <c r="ACA52" s="2">
        <v>6812</v>
      </c>
      <c r="ACB52" s="137">
        <v>24322</v>
      </c>
      <c r="ACC52" s="1">
        <v>357056</v>
      </c>
      <c r="ACD52" s="1">
        <v>316569</v>
      </c>
      <c r="ACE52" s="1">
        <v>9537</v>
      </c>
      <c r="ACF52" s="1">
        <v>7421</v>
      </c>
      <c r="ACG52" s="1">
        <v>25363</v>
      </c>
      <c r="ACH52" s="1">
        <v>371550</v>
      </c>
      <c r="ACI52" s="1">
        <v>328328</v>
      </c>
      <c r="ACJ52" s="1">
        <v>9962</v>
      </c>
      <c r="ACK52" s="1">
        <v>8984</v>
      </c>
      <c r="ACL52" s="1">
        <v>25589</v>
      </c>
      <c r="ACM52" s="1">
        <v>369914</v>
      </c>
      <c r="ACN52" s="1">
        <v>328576</v>
      </c>
      <c r="ACO52" s="1">
        <v>9421</v>
      </c>
      <c r="ACP52" s="1">
        <v>6651</v>
      </c>
      <c r="ACQ52" s="1">
        <v>27394</v>
      </c>
      <c r="ACR52" s="1">
        <v>401672</v>
      </c>
      <c r="ACS52" s="1">
        <v>349311</v>
      </c>
      <c r="ACT52" s="1">
        <v>10998</v>
      </c>
      <c r="ACU52" s="1">
        <v>9840</v>
      </c>
      <c r="ACV52" s="1">
        <v>34176</v>
      </c>
      <c r="ADB52" s="50">
        <v>419854</v>
      </c>
      <c r="ADC52" s="1">
        <v>366723</v>
      </c>
      <c r="ADD52" s="1">
        <v>11789</v>
      </c>
      <c r="ADE52" s="1">
        <v>9976</v>
      </c>
      <c r="ADF52" s="1">
        <v>33184</v>
      </c>
      <c r="ADG52" s="50">
        <v>422543</v>
      </c>
      <c r="ADL52" s="50">
        <v>428501</v>
      </c>
      <c r="ADM52" s="1">
        <v>373174</v>
      </c>
      <c r="ADN52" s="1">
        <v>11827</v>
      </c>
      <c r="ADO52" s="1">
        <v>11561</v>
      </c>
      <c r="ADP52" s="1">
        <v>35351</v>
      </c>
      <c r="ADQ52" s="50">
        <v>450011</v>
      </c>
      <c r="ADR52" s="1">
        <v>384871</v>
      </c>
      <c r="ADS52" s="1">
        <v>13275</v>
      </c>
      <c r="ADT52" s="1">
        <v>12653</v>
      </c>
      <c r="ADU52" s="1">
        <v>48453</v>
      </c>
      <c r="ADV52" s="1">
        <v>24276</v>
      </c>
      <c r="ADW52" s="1">
        <v>0</v>
      </c>
      <c r="ADX52" s="1">
        <v>1021</v>
      </c>
      <c r="ADY52" s="1">
        <v>17178</v>
      </c>
      <c r="ADZ52" s="1">
        <v>5978</v>
      </c>
    </row>
    <row r="53" spans="1:806">
      <c r="A53" s="141" t="s">
        <v>51</v>
      </c>
      <c r="B53" s="174" t="s">
        <v>221</v>
      </c>
      <c r="C53" s="175" t="s">
        <v>221</v>
      </c>
      <c r="D53" s="175" t="s">
        <v>221</v>
      </c>
      <c r="E53" s="175" t="s">
        <v>221</v>
      </c>
      <c r="F53" s="176" t="s">
        <v>221</v>
      </c>
      <c r="G53" s="181">
        <f>SUM(G55:G63)</f>
        <v>3152991</v>
      </c>
      <c r="H53" s="181">
        <f t="shared" ref="H53:U53" si="628">SUM(H55:H63)</f>
        <v>2429289</v>
      </c>
      <c r="I53" s="181">
        <f t="shared" si="628"/>
        <v>360710</v>
      </c>
      <c r="J53" s="181">
        <f t="shared" si="628"/>
        <v>509379</v>
      </c>
      <c r="K53" s="182">
        <f t="shared" si="628"/>
        <v>362992</v>
      </c>
      <c r="L53" s="181">
        <f>SUM(L55:L63)</f>
        <v>2368466</v>
      </c>
      <c r="M53" s="181">
        <f t="shared" si="628"/>
        <v>1530108</v>
      </c>
      <c r="N53" s="181">
        <f t="shared" si="628"/>
        <v>253587</v>
      </c>
      <c r="O53" s="181">
        <f t="shared" si="628"/>
        <v>640469</v>
      </c>
      <c r="P53" s="182">
        <f t="shared" si="628"/>
        <v>584771</v>
      </c>
      <c r="Q53" s="181">
        <f>SUM(Q55:Q63)</f>
        <v>2049790</v>
      </c>
      <c r="R53" s="181">
        <f t="shared" si="628"/>
        <v>956054</v>
      </c>
      <c r="S53" s="181">
        <f t="shared" si="628"/>
        <v>226126</v>
      </c>
      <c r="T53" s="181">
        <f t="shared" si="628"/>
        <v>675829</v>
      </c>
      <c r="U53" s="182">
        <f t="shared" si="628"/>
        <v>600930</v>
      </c>
      <c r="V53" s="253">
        <f>SUM(V55:V63)</f>
        <v>2033419</v>
      </c>
      <c r="W53" s="253">
        <f t="shared" ref="W53:Z53" si="629">SUM(W55:W63)</f>
        <v>1173172</v>
      </c>
      <c r="X53" s="253">
        <f t="shared" si="629"/>
        <v>239051</v>
      </c>
      <c r="Y53" s="253">
        <f t="shared" si="629"/>
        <v>753711</v>
      </c>
      <c r="Z53" s="397">
        <f t="shared" si="629"/>
        <v>621196</v>
      </c>
      <c r="AA53" s="253">
        <f>SUM(AA55:AA63)</f>
        <v>1994230</v>
      </c>
      <c r="AB53" s="253">
        <f t="shared" ref="AB53:AC53" si="630">SUM(AB55:AB63)</f>
        <v>758848</v>
      </c>
      <c r="AC53" s="253">
        <f t="shared" si="630"/>
        <v>232293</v>
      </c>
      <c r="AD53" s="253">
        <f t="shared" ref="AD53" si="631">SUM(AD55:AD63)</f>
        <v>774073</v>
      </c>
      <c r="AE53" s="253">
        <f t="shared" ref="AE53:AP53" si="632">SUM(AE55:AE63)</f>
        <v>660634</v>
      </c>
      <c r="AF53" s="532">
        <f t="shared" si="632"/>
        <v>1984169</v>
      </c>
      <c r="AG53" s="397">
        <f t="shared" si="632"/>
        <v>738948</v>
      </c>
      <c r="AH53" s="397">
        <f t="shared" si="632"/>
        <v>236076</v>
      </c>
      <c r="AI53" s="397">
        <f t="shared" si="632"/>
        <v>780552</v>
      </c>
      <c r="AJ53" s="397">
        <f t="shared" si="632"/>
        <v>670548</v>
      </c>
      <c r="AK53" s="397">
        <f t="shared" si="632"/>
        <v>1968650</v>
      </c>
      <c r="AL53" s="253">
        <f t="shared" si="632"/>
        <v>688742</v>
      </c>
      <c r="AM53" s="253">
        <f t="shared" si="632"/>
        <v>218662</v>
      </c>
      <c r="AN53" s="253">
        <f t="shared" si="632"/>
        <v>812043</v>
      </c>
      <c r="AO53" s="253">
        <f t="shared" si="632"/>
        <v>707930</v>
      </c>
      <c r="AP53" s="397">
        <f t="shared" si="632"/>
        <v>1936152</v>
      </c>
      <c r="AQ53" s="397">
        <f t="shared" ref="AQ53:AU53" si="633">SUM(AQ55:AQ63)</f>
        <v>656272</v>
      </c>
      <c r="AR53" s="397">
        <f t="shared" si="633"/>
        <v>214819</v>
      </c>
      <c r="AS53" s="397">
        <f t="shared" si="633"/>
        <v>793542</v>
      </c>
      <c r="AT53" s="253">
        <f t="shared" si="633"/>
        <v>715084</v>
      </c>
      <c r="AU53" s="535">
        <f t="shared" si="633"/>
        <v>1880906</v>
      </c>
      <c r="AV53" s="253">
        <f t="shared" ref="AV53:DK53" si="634">SUM(AV55:AV63)</f>
        <v>625622</v>
      </c>
      <c r="AW53" s="253">
        <f t="shared" si="634"/>
        <v>209013</v>
      </c>
      <c r="AX53" s="253">
        <f t="shared" si="634"/>
        <v>796175</v>
      </c>
      <c r="AY53" s="253">
        <f t="shared" si="634"/>
        <v>673568</v>
      </c>
      <c r="AZ53" s="253">
        <f t="shared" si="634"/>
        <v>239153</v>
      </c>
      <c r="BA53" s="253">
        <f t="shared" si="634"/>
        <v>799</v>
      </c>
      <c r="BB53" s="253">
        <f t="shared" si="634"/>
        <v>12736</v>
      </c>
      <c r="BC53" s="253">
        <f t="shared" si="634"/>
        <v>55966</v>
      </c>
      <c r="BD53" s="253">
        <f t="shared" si="634"/>
        <v>364914</v>
      </c>
      <c r="BE53" s="535">
        <f t="shared" si="634"/>
        <v>1823670</v>
      </c>
      <c r="BF53" s="253">
        <f t="shared" si="634"/>
        <v>593484</v>
      </c>
      <c r="BG53" s="253">
        <f t="shared" si="634"/>
        <v>214422</v>
      </c>
      <c r="BH53" s="253">
        <f t="shared" si="634"/>
        <v>760342</v>
      </c>
      <c r="BI53" s="253">
        <f t="shared" si="634"/>
        <v>663263</v>
      </c>
      <c r="BJ53" s="535">
        <f t="shared" si="634"/>
        <v>1798425</v>
      </c>
      <c r="BK53" s="253">
        <f t="shared" si="634"/>
        <v>0</v>
      </c>
      <c r="BL53" s="253">
        <f t="shared" si="634"/>
        <v>0</v>
      </c>
      <c r="BM53" s="253">
        <f t="shared" si="634"/>
        <v>0</v>
      </c>
      <c r="BN53" s="253">
        <f t="shared" si="634"/>
        <v>0</v>
      </c>
      <c r="BO53" s="535">
        <f t="shared" si="634"/>
        <v>1747236</v>
      </c>
      <c r="BP53" s="535">
        <f t="shared" si="634"/>
        <v>539069</v>
      </c>
      <c r="BQ53" s="535">
        <f t="shared" si="634"/>
        <v>203142</v>
      </c>
      <c r="BR53" s="535">
        <f t="shared" si="634"/>
        <v>751198</v>
      </c>
      <c r="BS53" s="535">
        <f t="shared" si="634"/>
        <v>672995</v>
      </c>
      <c r="BT53" s="535">
        <f t="shared" si="634"/>
        <v>1799433</v>
      </c>
      <c r="BU53" s="535">
        <f t="shared" si="634"/>
        <v>511960</v>
      </c>
      <c r="BV53" s="535">
        <f t="shared" si="634"/>
        <v>186668</v>
      </c>
      <c r="BW53" s="535">
        <f t="shared" si="634"/>
        <v>781244</v>
      </c>
      <c r="BX53" s="535">
        <f t="shared" si="634"/>
        <v>262828</v>
      </c>
      <c r="BY53" s="535">
        <f t="shared" si="634"/>
        <v>0</v>
      </c>
      <c r="BZ53" s="535">
        <f t="shared" si="634"/>
        <v>20531</v>
      </c>
      <c r="CA53" s="535">
        <f t="shared" si="634"/>
        <v>284708</v>
      </c>
      <c r="CB53" s="535">
        <f t="shared" si="634"/>
        <v>476663</v>
      </c>
      <c r="CC53" s="535">
        <f t="shared" si="634"/>
        <v>4822826</v>
      </c>
      <c r="CD53" s="535">
        <f t="shared" si="634"/>
        <v>3741432</v>
      </c>
      <c r="CE53" s="535">
        <f t="shared" si="634"/>
        <v>774856</v>
      </c>
      <c r="CF53" s="535"/>
      <c r="CG53" s="535">
        <f t="shared" si="634"/>
        <v>306538</v>
      </c>
      <c r="CH53" s="535">
        <f t="shared" si="634"/>
        <v>4226213</v>
      </c>
      <c r="CI53" s="535">
        <f t="shared" si="634"/>
        <v>2917410</v>
      </c>
      <c r="CJ53" s="535">
        <f t="shared" si="634"/>
        <v>744066</v>
      </c>
      <c r="CK53" s="535">
        <f t="shared" si="634"/>
        <v>615288</v>
      </c>
      <c r="CL53" s="535">
        <f t="shared" si="634"/>
        <v>564737</v>
      </c>
      <c r="CM53" s="535">
        <f t="shared" si="634"/>
        <v>3148722</v>
      </c>
      <c r="CN53" s="535">
        <f t="shared" si="634"/>
        <v>1929605</v>
      </c>
      <c r="CO53" s="535">
        <f t="shared" si="634"/>
        <v>531146</v>
      </c>
      <c r="CP53" s="535">
        <f t="shared" si="634"/>
        <v>540588</v>
      </c>
      <c r="CQ53" s="535">
        <f t="shared" si="634"/>
        <v>474849</v>
      </c>
      <c r="CR53" s="535">
        <f t="shared" si="634"/>
        <v>2836713</v>
      </c>
      <c r="CS53" s="535">
        <f t="shared" si="634"/>
        <v>1880214</v>
      </c>
      <c r="CT53" s="535">
        <f t="shared" si="634"/>
        <v>500233</v>
      </c>
      <c r="CU53" s="535">
        <f t="shared" si="634"/>
        <v>563803</v>
      </c>
      <c r="CV53" s="535">
        <f t="shared" si="634"/>
        <v>456266</v>
      </c>
      <c r="CW53" s="535">
        <f t="shared" si="634"/>
        <v>2732382</v>
      </c>
      <c r="CX53" s="535">
        <f t="shared" si="634"/>
        <v>1494669</v>
      </c>
      <c r="CY53" s="535">
        <f t="shared" si="634"/>
        <v>487288</v>
      </c>
      <c r="CZ53" s="535">
        <f t="shared" si="634"/>
        <v>582601</v>
      </c>
      <c r="DA53" s="535">
        <f t="shared" si="634"/>
        <v>491289</v>
      </c>
      <c r="DB53" s="535">
        <f t="shared" si="634"/>
        <v>2673205</v>
      </c>
      <c r="DC53" s="535">
        <f t="shared" si="634"/>
        <v>1441964</v>
      </c>
      <c r="DD53" s="535">
        <f t="shared" si="634"/>
        <v>476007</v>
      </c>
      <c r="DE53" s="535">
        <f t="shared" si="634"/>
        <v>585154</v>
      </c>
      <c r="DF53" s="535">
        <f t="shared" si="634"/>
        <v>499513</v>
      </c>
      <c r="DG53" s="535">
        <f t="shared" si="634"/>
        <v>2582542</v>
      </c>
      <c r="DH53" s="535">
        <f t="shared" si="634"/>
        <v>1354398</v>
      </c>
      <c r="DI53" s="535">
        <f t="shared" si="634"/>
        <v>446759</v>
      </c>
      <c r="DJ53" s="535">
        <f t="shared" si="634"/>
        <v>599809</v>
      </c>
      <c r="DK53" s="535">
        <f t="shared" si="634"/>
        <v>506248</v>
      </c>
      <c r="DL53" s="182">
        <f t="shared" ref="DL53:EJ53" si="635">SUM(DL55:DL63)</f>
        <v>2543994</v>
      </c>
      <c r="DM53" s="182">
        <f t="shared" si="635"/>
        <v>1299807</v>
      </c>
      <c r="DN53" s="182">
        <f t="shared" si="635"/>
        <v>447613</v>
      </c>
      <c r="DO53" s="182">
        <f t="shared" si="635"/>
        <v>620768</v>
      </c>
      <c r="DP53" s="182">
        <f t="shared" si="635"/>
        <v>503320</v>
      </c>
      <c r="DQ53" s="181">
        <f t="shared" si="635"/>
        <v>2475817</v>
      </c>
      <c r="DR53" s="181">
        <f t="shared" si="635"/>
        <v>1249232</v>
      </c>
      <c r="DS53" s="181">
        <f t="shared" si="635"/>
        <v>439011</v>
      </c>
      <c r="DT53" s="181">
        <f t="shared" si="635"/>
        <v>603153</v>
      </c>
      <c r="DU53" s="181">
        <f t="shared" si="635"/>
        <v>493645</v>
      </c>
      <c r="DV53" s="377">
        <f t="shared" si="635"/>
        <v>2445562</v>
      </c>
      <c r="DW53" s="365">
        <f t="shared" si="635"/>
        <v>1201397</v>
      </c>
      <c r="DX53" s="365">
        <f t="shared" si="635"/>
        <v>444692</v>
      </c>
      <c r="DY53" s="365">
        <f t="shared" si="635"/>
        <v>610062</v>
      </c>
      <c r="DZ53" s="365">
        <f t="shared" si="635"/>
        <v>500688</v>
      </c>
      <c r="EA53" s="377">
        <f t="shared" si="635"/>
        <v>2295551</v>
      </c>
      <c r="EB53" s="365">
        <f t="shared" si="635"/>
        <v>0</v>
      </c>
      <c r="EC53" s="365">
        <f t="shared" si="635"/>
        <v>0</v>
      </c>
      <c r="ED53" s="365">
        <f t="shared" si="635"/>
        <v>0</v>
      </c>
      <c r="EE53" s="365">
        <f t="shared" si="635"/>
        <v>0</v>
      </c>
      <c r="EF53" s="377">
        <f t="shared" si="635"/>
        <v>2255276</v>
      </c>
      <c r="EG53" s="365">
        <f t="shared" si="635"/>
        <v>1106918</v>
      </c>
      <c r="EH53" s="365">
        <f t="shared" si="635"/>
        <v>408420</v>
      </c>
      <c r="EI53" s="365">
        <f t="shared" si="635"/>
        <v>579045</v>
      </c>
      <c r="EJ53" s="365">
        <f t="shared" si="635"/>
        <v>476371</v>
      </c>
      <c r="EK53" s="377">
        <f t="shared" ref="EK53:EX53" si="636">SUM(EK55:EK63)</f>
        <v>2255276</v>
      </c>
      <c r="EL53" s="365">
        <f t="shared" si="636"/>
        <v>1106918</v>
      </c>
      <c r="EM53" s="365">
        <f t="shared" si="636"/>
        <v>408420</v>
      </c>
      <c r="EN53" s="365">
        <f t="shared" si="636"/>
        <v>579045</v>
      </c>
      <c r="EO53" s="365">
        <f t="shared" si="636"/>
        <v>476371</v>
      </c>
      <c r="EP53" s="377">
        <f t="shared" si="636"/>
        <v>2086615</v>
      </c>
      <c r="EQ53" s="365">
        <f t="shared" si="636"/>
        <v>937254</v>
      </c>
      <c r="ER53" s="365">
        <f t="shared" si="636"/>
        <v>347747</v>
      </c>
      <c r="ES53" s="365">
        <f t="shared" si="636"/>
        <v>565138</v>
      </c>
      <c r="ET53" s="365">
        <f t="shared" si="636"/>
        <v>158893</v>
      </c>
      <c r="EU53" s="365">
        <f t="shared" si="636"/>
        <v>0</v>
      </c>
      <c r="EV53" s="365">
        <f t="shared" si="636"/>
        <v>16644</v>
      </c>
      <c r="EW53" s="365">
        <f t="shared" si="636"/>
        <v>258546</v>
      </c>
      <c r="EX53" s="365">
        <f t="shared" si="636"/>
        <v>312947</v>
      </c>
      <c r="EY53" s="377">
        <f t="shared" ref="EY53:FC53" si="637">SUM(EY55:EY63)</f>
        <v>4799943</v>
      </c>
      <c r="EZ53" s="181">
        <f t="shared" si="637"/>
        <v>2943350</v>
      </c>
      <c r="FA53" s="181">
        <f t="shared" si="637"/>
        <v>723014</v>
      </c>
      <c r="FB53" s="181">
        <f t="shared" si="637"/>
        <v>1336073</v>
      </c>
      <c r="FC53" s="181">
        <f t="shared" si="637"/>
        <v>1133579</v>
      </c>
      <c r="FD53" s="174" t="s">
        <v>221</v>
      </c>
      <c r="FE53" s="175" t="s">
        <v>221</v>
      </c>
      <c r="FF53" s="175" t="s">
        <v>221</v>
      </c>
      <c r="FG53" s="175" t="s">
        <v>221</v>
      </c>
      <c r="FH53" s="256" t="s">
        <v>221</v>
      </c>
      <c r="FI53" s="175" t="s">
        <v>221</v>
      </c>
      <c r="FJ53" s="175" t="s">
        <v>221</v>
      </c>
      <c r="FK53" s="175" t="s">
        <v>221</v>
      </c>
      <c r="FL53" s="176" t="s">
        <v>221</v>
      </c>
      <c r="FM53" s="181">
        <f>SUM(FM55:FM63)</f>
        <v>25568811</v>
      </c>
      <c r="FN53" s="181">
        <f t="shared" ref="FN53:FQ53" si="638">SUM(FN55:FN63)</f>
        <v>22380192</v>
      </c>
      <c r="FO53" s="181">
        <f t="shared" si="638"/>
        <v>2136798</v>
      </c>
      <c r="FP53" s="181">
        <f t="shared" si="638"/>
        <v>1028293</v>
      </c>
      <c r="FQ53" s="182">
        <f t="shared" si="638"/>
        <v>1051821</v>
      </c>
      <c r="FR53" s="181">
        <f>SUM(FR55:FR63)</f>
        <v>29233508</v>
      </c>
      <c r="FS53" s="181">
        <f t="shared" ref="FS53:GK53" si="639">SUM(FS55:FS63)</f>
        <v>24358708</v>
      </c>
      <c r="FT53" s="181">
        <f t="shared" si="639"/>
        <v>2580614</v>
      </c>
      <c r="FU53" s="181">
        <f t="shared" si="639"/>
        <v>1635095</v>
      </c>
      <c r="FV53" s="181">
        <f t="shared" si="639"/>
        <v>2294186</v>
      </c>
      <c r="FW53" s="181">
        <f>SUM(FW55:FW63)</f>
        <v>31556071</v>
      </c>
      <c r="FX53" s="181">
        <f t="shared" si="639"/>
        <v>24407771</v>
      </c>
      <c r="FY53" s="181">
        <f t="shared" si="639"/>
        <v>3267596</v>
      </c>
      <c r="FZ53" s="181"/>
      <c r="GA53" s="182">
        <f t="shared" si="639"/>
        <v>2302189</v>
      </c>
      <c r="GB53" s="181">
        <f>SUM(GB55:GB63)</f>
        <v>31876632</v>
      </c>
      <c r="GC53" s="181">
        <f t="shared" si="639"/>
        <v>25725914</v>
      </c>
      <c r="GD53" s="181">
        <f t="shared" si="639"/>
        <v>3075896</v>
      </c>
      <c r="GE53" s="181">
        <f t="shared" si="639"/>
        <v>3074822</v>
      </c>
      <c r="GF53" s="182">
        <f t="shared" si="639"/>
        <v>2369229</v>
      </c>
      <c r="GG53" s="181">
        <f>SUM(GG55:GG63)</f>
        <v>32322829</v>
      </c>
      <c r="GH53" s="181">
        <f t="shared" si="639"/>
        <v>26151525</v>
      </c>
      <c r="GI53" s="181">
        <f t="shared" si="639"/>
        <v>3157415</v>
      </c>
      <c r="GJ53" s="181">
        <f t="shared" si="639"/>
        <v>3013889</v>
      </c>
      <c r="GK53" s="181">
        <f t="shared" si="639"/>
        <v>2397141</v>
      </c>
      <c r="GL53" s="181">
        <f t="shared" ref="GL53:HJ53" si="640">SUM(GL55:GL63)</f>
        <v>32461707</v>
      </c>
      <c r="GM53" s="181">
        <f t="shared" si="640"/>
        <v>26083419</v>
      </c>
      <c r="GN53" s="181">
        <f t="shared" si="640"/>
        <v>3228877</v>
      </c>
      <c r="GO53" s="181">
        <f t="shared" si="640"/>
        <v>2560693</v>
      </c>
      <c r="GP53" s="181">
        <f t="shared" si="640"/>
        <v>2754434</v>
      </c>
      <c r="GQ53" s="181">
        <f t="shared" si="640"/>
        <v>32830665.380000003</v>
      </c>
      <c r="GR53" s="181">
        <f t="shared" si="640"/>
        <v>26272943.955000002</v>
      </c>
      <c r="GS53" s="181">
        <f t="shared" si="640"/>
        <v>3275036.5630000001</v>
      </c>
      <c r="GT53" s="181">
        <f t="shared" si="640"/>
        <v>2653741.3220000002</v>
      </c>
      <c r="GU53" s="182">
        <f t="shared" si="640"/>
        <v>3282684.8619999993</v>
      </c>
      <c r="GV53" s="182">
        <f t="shared" si="640"/>
        <v>33158125</v>
      </c>
      <c r="GW53" s="181">
        <f t="shared" si="640"/>
        <v>24949135</v>
      </c>
      <c r="GX53" s="181">
        <f t="shared" si="640"/>
        <v>3345138</v>
      </c>
      <c r="GY53" s="181">
        <f t="shared" si="640"/>
        <v>2771206</v>
      </c>
      <c r="GZ53" s="181">
        <f t="shared" si="640"/>
        <v>3387808</v>
      </c>
      <c r="HA53" s="181">
        <f t="shared" si="640"/>
        <v>33503927</v>
      </c>
      <c r="HB53" s="181">
        <f t="shared" si="640"/>
        <v>25039751</v>
      </c>
      <c r="HC53" s="181">
        <f t="shared" si="640"/>
        <v>3413436</v>
      </c>
      <c r="HD53" s="181">
        <f t="shared" si="640"/>
        <v>2884957</v>
      </c>
      <c r="HE53" s="181">
        <f t="shared" si="640"/>
        <v>3527944</v>
      </c>
      <c r="HF53" s="181">
        <f t="shared" si="640"/>
        <v>34156246</v>
      </c>
      <c r="HG53" s="181">
        <f t="shared" si="640"/>
        <v>25126120</v>
      </c>
      <c r="HH53" s="181">
        <f t="shared" si="640"/>
        <v>3586743</v>
      </c>
      <c r="HI53" s="181">
        <f t="shared" si="640"/>
        <v>3097424</v>
      </c>
      <c r="HJ53" s="181">
        <f t="shared" si="640"/>
        <v>3794863</v>
      </c>
      <c r="HK53" s="181">
        <f t="shared" ref="HK53:IX53" si="641">SUM(HK55:HK63)</f>
        <v>34471991</v>
      </c>
      <c r="HL53" s="181">
        <f t="shared" si="641"/>
        <v>25170565</v>
      </c>
      <c r="HM53" s="181">
        <f t="shared" si="641"/>
        <v>3630268</v>
      </c>
      <c r="HN53" s="181">
        <f t="shared" si="641"/>
        <v>3221672</v>
      </c>
      <c r="HO53" s="181">
        <f t="shared" si="641"/>
        <v>3700212</v>
      </c>
      <c r="HP53" s="251">
        <f t="shared" si="641"/>
        <v>34673031</v>
      </c>
      <c r="HQ53" s="181">
        <f t="shared" si="641"/>
        <v>25146450</v>
      </c>
      <c r="HR53" s="181">
        <f t="shared" si="641"/>
        <v>3688819</v>
      </c>
      <c r="HS53" s="181">
        <f t="shared" si="641"/>
        <v>3327293</v>
      </c>
      <c r="HT53" s="181">
        <f t="shared" si="641"/>
        <v>3779355</v>
      </c>
      <c r="HU53" s="365">
        <f t="shared" si="641"/>
        <v>2129204</v>
      </c>
      <c r="HV53" s="365">
        <f t="shared" si="641"/>
        <v>4851</v>
      </c>
      <c r="HW53" s="365">
        <f t="shared" si="641"/>
        <v>71602</v>
      </c>
      <c r="HX53" s="365">
        <f t="shared" si="641"/>
        <v>342226</v>
      </c>
      <c r="HY53" s="365">
        <f t="shared" si="641"/>
        <v>1231472</v>
      </c>
      <c r="HZ53" s="251">
        <f t="shared" si="641"/>
        <v>35135688</v>
      </c>
      <c r="IA53" s="181">
        <f t="shared" si="641"/>
        <v>25231454</v>
      </c>
      <c r="IB53" s="181">
        <f t="shared" si="641"/>
        <v>3791013</v>
      </c>
      <c r="IC53" s="181">
        <f t="shared" si="641"/>
        <v>3527542</v>
      </c>
      <c r="ID53" s="181">
        <f t="shared" si="641"/>
        <v>4157557</v>
      </c>
      <c r="IE53" s="535">
        <f t="shared" si="641"/>
        <v>35229010</v>
      </c>
      <c r="IF53" s="253">
        <f t="shared" si="641"/>
        <v>0</v>
      </c>
      <c r="IG53" s="253">
        <f t="shared" si="641"/>
        <v>0</v>
      </c>
      <c r="IH53" s="253">
        <f t="shared" si="641"/>
        <v>0</v>
      </c>
      <c r="II53" s="253">
        <f t="shared" si="641"/>
        <v>0</v>
      </c>
      <c r="IJ53" s="251">
        <f t="shared" si="641"/>
        <v>35391895</v>
      </c>
      <c r="IK53" s="181">
        <f t="shared" si="641"/>
        <v>25147734</v>
      </c>
      <c r="IL53" s="181">
        <f t="shared" si="641"/>
        <v>3919586</v>
      </c>
      <c r="IM53" s="181">
        <f t="shared" si="641"/>
        <v>3688276</v>
      </c>
      <c r="IN53" s="181">
        <f t="shared" si="641"/>
        <v>4334380</v>
      </c>
      <c r="IO53" s="251">
        <f t="shared" si="641"/>
        <v>36466114</v>
      </c>
      <c r="IP53" s="181">
        <f t="shared" si="641"/>
        <v>25165488</v>
      </c>
      <c r="IQ53" s="181">
        <f t="shared" si="641"/>
        <v>3722704</v>
      </c>
      <c r="IR53" s="181">
        <f t="shared" si="641"/>
        <v>3990444</v>
      </c>
      <c r="IS53" s="181">
        <f t="shared" si="641"/>
        <v>7042794</v>
      </c>
      <c r="IT53" s="181">
        <f t="shared" si="641"/>
        <v>2345266</v>
      </c>
      <c r="IU53" s="181">
        <f t="shared" si="641"/>
        <v>0</v>
      </c>
      <c r="IV53" s="181">
        <f t="shared" si="641"/>
        <v>98381</v>
      </c>
      <c r="IW53" s="181">
        <f t="shared" si="641"/>
        <v>2706216</v>
      </c>
      <c r="IX53" s="181">
        <f t="shared" si="641"/>
        <v>1892931</v>
      </c>
      <c r="IY53" s="639" t="s">
        <v>221</v>
      </c>
      <c r="IZ53" s="188" t="s">
        <v>221</v>
      </c>
      <c r="JA53" s="188" t="s">
        <v>221</v>
      </c>
      <c r="JB53" s="188" t="s">
        <v>221</v>
      </c>
      <c r="JC53" s="635" t="s">
        <v>221</v>
      </c>
      <c r="JD53" s="253">
        <f>SUM(JD55:JD63)</f>
        <v>7118189</v>
      </c>
      <c r="JE53" s="253">
        <f t="shared" ref="JE53:JH53" si="642">SUM(JE55:JE63)</f>
        <v>6094768</v>
      </c>
      <c r="JF53" s="253">
        <f t="shared" si="642"/>
        <v>742501</v>
      </c>
      <c r="JG53" s="253">
        <f t="shared" si="642"/>
        <v>347471</v>
      </c>
      <c r="JH53" s="397">
        <f t="shared" si="642"/>
        <v>280920</v>
      </c>
      <c r="JI53" s="253">
        <f>SUM(JI55:JI63)</f>
        <v>8399505</v>
      </c>
      <c r="JJ53" s="253">
        <f t="shared" ref="JJ53:TI53" si="643">SUM(JJ55:JJ63)</f>
        <v>6837398</v>
      </c>
      <c r="JK53" s="253">
        <f t="shared" si="643"/>
        <v>941380</v>
      </c>
      <c r="JL53" s="253">
        <f t="shared" si="643"/>
        <v>568120</v>
      </c>
      <c r="JM53" s="397">
        <f t="shared" si="643"/>
        <v>620727</v>
      </c>
      <c r="JN53" s="253">
        <f t="shared" si="643"/>
        <v>8458012</v>
      </c>
      <c r="JO53" s="253">
        <f t="shared" si="643"/>
        <v>6445022</v>
      </c>
      <c r="JP53" s="253">
        <f t="shared" si="643"/>
        <v>991480</v>
      </c>
      <c r="JQ53" s="253">
        <f t="shared" si="643"/>
        <v>687677</v>
      </c>
      <c r="JR53" s="253">
        <f t="shared" si="643"/>
        <v>713971</v>
      </c>
      <c r="JS53" s="253">
        <f t="shared" si="643"/>
        <v>9135202</v>
      </c>
      <c r="JT53" s="253">
        <f t="shared" si="643"/>
        <v>7211154</v>
      </c>
      <c r="JU53" s="253">
        <f t="shared" si="643"/>
        <v>1164860</v>
      </c>
      <c r="JV53" s="253">
        <f t="shared" si="643"/>
        <v>835565</v>
      </c>
      <c r="JW53" s="397">
        <f t="shared" si="643"/>
        <v>759188</v>
      </c>
      <c r="JX53" s="253">
        <f t="shared" si="643"/>
        <v>9229012.0029999986</v>
      </c>
      <c r="JY53" s="253">
        <f t="shared" si="643"/>
        <v>7257927.5260000005</v>
      </c>
      <c r="JZ53" s="253">
        <f t="shared" si="643"/>
        <v>1178605.5969999998</v>
      </c>
      <c r="KA53" s="253">
        <f t="shared" si="643"/>
        <v>872785.42200000002</v>
      </c>
      <c r="KB53" s="397">
        <f t="shared" si="643"/>
        <v>792478.87999999919</v>
      </c>
      <c r="KC53" s="397">
        <f t="shared" si="643"/>
        <v>9300602</v>
      </c>
      <c r="KD53" s="397">
        <f t="shared" si="643"/>
        <v>6794611</v>
      </c>
      <c r="KE53" s="397">
        <f t="shared" si="643"/>
        <v>1206314</v>
      </c>
      <c r="KF53" s="397">
        <f t="shared" si="643"/>
        <v>910910</v>
      </c>
      <c r="KG53" s="397">
        <f t="shared" si="643"/>
        <v>824557</v>
      </c>
      <c r="KH53" s="397">
        <f t="shared" si="643"/>
        <v>9382819</v>
      </c>
      <c r="KI53" s="397">
        <f t="shared" si="643"/>
        <v>6801114</v>
      </c>
      <c r="KJ53" s="397">
        <f t="shared" si="643"/>
        <v>1228523</v>
      </c>
      <c r="KK53" s="397">
        <f t="shared" si="643"/>
        <v>949630</v>
      </c>
      <c r="KL53" s="397">
        <f t="shared" si="643"/>
        <v>864182</v>
      </c>
      <c r="KM53" s="397">
        <f t="shared" si="643"/>
        <v>9480561</v>
      </c>
      <c r="KN53" s="397">
        <f t="shared" si="643"/>
        <v>6767987</v>
      </c>
      <c r="KO53" s="397">
        <f t="shared" si="643"/>
        <v>1265241</v>
      </c>
      <c r="KP53" s="397">
        <f t="shared" si="643"/>
        <v>1005756</v>
      </c>
      <c r="KQ53" s="253">
        <f t="shared" si="643"/>
        <v>931024</v>
      </c>
      <c r="KR53" s="397">
        <f t="shared" si="643"/>
        <v>9486570</v>
      </c>
      <c r="KS53" s="397">
        <f t="shared" si="643"/>
        <v>6718347</v>
      </c>
      <c r="KT53" s="397">
        <f t="shared" si="643"/>
        <v>1268776</v>
      </c>
      <c r="KU53" s="397">
        <f t="shared" si="643"/>
        <v>1054069</v>
      </c>
      <c r="KV53" s="253">
        <f t="shared" si="643"/>
        <v>944244</v>
      </c>
      <c r="KW53" s="535">
        <f t="shared" si="643"/>
        <v>9499781</v>
      </c>
      <c r="KX53" s="253">
        <f t="shared" si="643"/>
        <v>6667511</v>
      </c>
      <c r="KY53" s="253">
        <f t="shared" si="643"/>
        <v>1297452</v>
      </c>
      <c r="KZ53" s="253">
        <f t="shared" si="643"/>
        <v>1074955</v>
      </c>
      <c r="LA53" s="253">
        <f t="shared" si="643"/>
        <v>968941</v>
      </c>
      <c r="LB53" s="656">
        <f t="shared" si="643"/>
        <v>9514940</v>
      </c>
      <c r="LC53" s="665">
        <f t="shared" si="643"/>
        <v>6646957</v>
      </c>
      <c r="LD53" s="665">
        <f t="shared" si="643"/>
        <v>1282571</v>
      </c>
      <c r="LE53" s="665">
        <f t="shared" si="643"/>
        <v>1121716</v>
      </c>
      <c r="LF53" s="665">
        <f t="shared" si="643"/>
        <v>987258</v>
      </c>
      <c r="LG53" s="666">
        <f t="shared" si="643"/>
        <v>9513200</v>
      </c>
      <c r="LH53" s="665">
        <f t="shared" si="643"/>
        <v>0</v>
      </c>
      <c r="LI53" s="181">
        <f t="shared" si="643"/>
        <v>0</v>
      </c>
      <c r="LJ53" s="181">
        <f t="shared" si="643"/>
        <v>0</v>
      </c>
      <c r="LK53" s="181">
        <f t="shared" si="643"/>
        <v>0</v>
      </c>
      <c r="LL53" s="666">
        <f t="shared" si="643"/>
        <v>9402701</v>
      </c>
      <c r="LM53" s="665">
        <f>SUM(LM55:LM63)</f>
        <v>6509409</v>
      </c>
      <c r="LN53" s="181">
        <f t="shared" si="643"/>
        <v>1312078</v>
      </c>
      <c r="LO53" s="181">
        <f t="shared" si="643"/>
        <v>1140200</v>
      </c>
      <c r="LP53" s="181">
        <f t="shared" si="643"/>
        <v>983737</v>
      </c>
      <c r="LQ53" s="181">
        <f t="shared" si="643"/>
        <v>9517809</v>
      </c>
      <c r="LR53" s="181">
        <f t="shared" si="643"/>
        <v>6364552</v>
      </c>
      <c r="LS53" s="181">
        <f t="shared" si="643"/>
        <v>1238291</v>
      </c>
      <c r="LT53" s="181">
        <f t="shared" si="643"/>
        <v>1230560</v>
      </c>
      <c r="LU53" s="181">
        <v>1753867</v>
      </c>
      <c r="LV53" s="181">
        <f t="shared" si="643"/>
        <v>341100</v>
      </c>
      <c r="LW53" s="181">
        <f t="shared" si="643"/>
        <v>0</v>
      </c>
      <c r="LX53" s="181">
        <f t="shared" si="643"/>
        <v>34270</v>
      </c>
      <c r="LY53" s="181">
        <f t="shared" si="643"/>
        <v>793297</v>
      </c>
      <c r="LZ53" s="181">
        <f t="shared" si="643"/>
        <v>585200</v>
      </c>
      <c r="MA53" s="251">
        <f>SUM(MA55:MA63)</f>
        <v>2063777</v>
      </c>
      <c r="MB53" s="181">
        <f t="shared" si="643"/>
        <v>1798991</v>
      </c>
      <c r="MC53" s="181">
        <f t="shared" si="643"/>
        <v>178713</v>
      </c>
      <c r="MD53" s="181">
        <f t="shared" si="643"/>
        <v>85878</v>
      </c>
      <c r="ME53" s="182">
        <f t="shared" si="643"/>
        <v>86073</v>
      </c>
      <c r="MF53" s="181">
        <f>SUM(MF55:MF63)</f>
        <v>2359176</v>
      </c>
      <c r="MG53" s="181">
        <f t="shared" si="643"/>
        <v>1963592</v>
      </c>
      <c r="MH53" s="181">
        <f t="shared" si="643"/>
        <v>226606</v>
      </c>
      <c r="MI53" s="181">
        <f t="shared" si="643"/>
        <v>130245</v>
      </c>
      <c r="MJ53" s="182">
        <f t="shared" si="643"/>
        <v>168978</v>
      </c>
      <c r="MK53" s="181">
        <f>SUM(MK55:MK63)</f>
        <v>2739867</v>
      </c>
      <c r="ML53" s="181">
        <f t="shared" si="643"/>
        <v>2135312</v>
      </c>
      <c r="MM53" s="181">
        <f t="shared" si="643"/>
        <v>282877</v>
      </c>
      <c r="MN53" s="181">
        <f t="shared" si="643"/>
        <v>197547</v>
      </c>
      <c r="MO53" s="181">
        <f t="shared" si="643"/>
        <v>234136</v>
      </c>
      <c r="MP53" s="181">
        <f>SUM(MP55:MP63)</f>
        <v>2845332</v>
      </c>
      <c r="MQ53" s="181">
        <f t="shared" si="643"/>
        <v>2306518</v>
      </c>
      <c r="MR53" s="181">
        <f t="shared" si="643"/>
        <v>308916</v>
      </c>
      <c r="MS53" s="181">
        <f t="shared" si="643"/>
        <v>218035</v>
      </c>
      <c r="MT53" s="181">
        <f t="shared" si="643"/>
        <v>229898</v>
      </c>
      <c r="MU53" s="181">
        <f>SUM(MU55:MU63)</f>
        <v>0</v>
      </c>
      <c r="MV53" s="181">
        <f t="shared" si="643"/>
        <v>0</v>
      </c>
      <c r="MW53" s="181">
        <f t="shared" si="643"/>
        <v>0</v>
      </c>
      <c r="MX53" s="181">
        <f t="shared" si="643"/>
        <v>0</v>
      </c>
      <c r="MY53" s="182">
        <f t="shared" si="643"/>
        <v>0</v>
      </c>
      <c r="MZ53" s="182">
        <f t="shared" si="643"/>
        <v>2923458</v>
      </c>
      <c r="NA53" s="182">
        <f t="shared" si="643"/>
        <v>2239688</v>
      </c>
      <c r="NB53" s="182">
        <f t="shared" si="643"/>
        <v>310155</v>
      </c>
      <c r="NC53" s="182">
        <f t="shared" si="643"/>
        <v>236453</v>
      </c>
      <c r="ND53" s="182">
        <f t="shared" si="643"/>
        <v>246221</v>
      </c>
      <c r="NE53" s="182">
        <f t="shared" si="643"/>
        <v>2992218</v>
      </c>
      <c r="NF53" s="182">
        <f t="shared" si="643"/>
        <v>2277926</v>
      </c>
      <c r="NG53" s="182">
        <f t="shared" si="643"/>
        <v>318075</v>
      </c>
      <c r="NH53" s="182">
        <f t="shared" si="643"/>
        <v>246258</v>
      </c>
      <c r="NI53" s="182">
        <f t="shared" si="643"/>
        <v>264887</v>
      </c>
      <c r="NJ53" s="182">
        <f t="shared" si="643"/>
        <v>3084769</v>
      </c>
      <c r="NK53" s="182">
        <f t="shared" si="643"/>
        <v>2308970</v>
      </c>
      <c r="NL53" s="182">
        <f t="shared" si="643"/>
        <v>338975</v>
      </c>
      <c r="NM53" s="364">
        <f t="shared" si="643"/>
        <v>272728</v>
      </c>
      <c r="NN53" s="364">
        <f t="shared" si="643"/>
        <v>2017504</v>
      </c>
      <c r="NO53" s="182">
        <f t="shared" si="643"/>
        <v>3121673</v>
      </c>
      <c r="NP53" s="182">
        <f t="shared" si="643"/>
        <v>2325928</v>
      </c>
      <c r="NQ53" s="182">
        <f t="shared" si="643"/>
        <v>344611</v>
      </c>
      <c r="NR53" s="364">
        <f t="shared" si="643"/>
        <v>284082</v>
      </c>
      <c r="NS53" s="364">
        <f t="shared" si="643"/>
        <v>295321</v>
      </c>
      <c r="NT53" s="365">
        <f t="shared" si="643"/>
        <v>3165163</v>
      </c>
      <c r="NU53" s="365">
        <f t="shared" si="643"/>
        <v>2337844</v>
      </c>
      <c r="NV53" s="365">
        <f t="shared" si="643"/>
        <v>359158</v>
      </c>
      <c r="NW53" s="365">
        <f t="shared" si="643"/>
        <v>295952</v>
      </c>
      <c r="NX53" s="365">
        <f t="shared" si="643"/>
        <v>314264</v>
      </c>
      <c r="NY53" s="377">
        <f t="shared" ref="NY53:OW53" si="644">SUM(NY55:NY63)</f>
        <v>3240598</v>
      </c>
      <c r="NZ53" s="365">
        <f t="shared" si="644"/>
        <v>2376378</v>
      </c>
      <c r="OA53" s="365">
        <f t="shared" si="644"/>
        <v>358128</v>
      </c>
      <c r="OB53" s="365">
        <f t="shared" si="644"/>
        <v>324277</v>
      </c>
      <c r="OC53" s="364">
        <f t="shared" si="644"/>
        <v>329938</v>
      </c>
      <c r="OD53" s="377">
        <f t="shared" si="644"/>
        <v>3233367</v>
      </c>
      <c r="OE53" s="365">
        <f t="shared" si="644"/>
        <v>0</v>
      </c>
      <c r="OF53" s="365">
        <f t="shared" si="644"/>
        <v>0</v>
      </c>
      <c r="OG53" s="365">
        <f t="shared" si="644"/>
        <v>0</v>
      </c>
      <c r="OH53" s="365">
        <f t="shared" si="644"/>
        <v>0</v>
      </c>
      <c r="OI53" s="377">
        <f t="shared" si="644"/>
        <v>3229352</v>
      </c>
      <c r="OJ53" s="365">
        <f t="shared" si="644"/>
        <v>2338871</v>
      </c>
      <c r="OK53" s="365">
        <f t="shared" si="644"/>
        <v>372054</v>
      </c>
      <c r="OL53" s="365">
        <f t="shared" si="644"/>
        <v>351836</v>
      </c>
      <c r="OM53" s="365">
        <f t="shared" si="644"/>
        <v>326200</v>
      </c>
      <c r="ON53" s="377">
        <f t="shared" si="644"/>
        <v>3375224</v>
      </c>
      <c r="OO53" s="365">
        <f t="shared" si="644"/>
        <v>2359244</v>
      </c>
      <c r="OP53" s="365">
        <f t="shared" si="644"/>
        <v>367399</v>
      </c>
      <c r="OQ53" s="365">
        <f t="shared" si="644"/>
        <v>392627</v>
      </c>
      <c r="OR53" s="365">
        <f t="shared" si="644"/>
        <v>180509</v>
      </c>
      <c r="OS53" s="365">
        <f t="shared" si="644"/>
        <v>139991</v>
      </c>
      <c r="OT53" s="365">
        <f t="shared" si="644"/>
        <v>0</v>
      </c>
      <c r="OU53" s="365">
        <f t="shared" si="644"/>
        <v>9455</v>
      </c>
      <c r="OV53" s="365">
        <f t="shared" si="644"/>
        <v>262268</v>
      </c>
      <c r="OW53" s="365">
        <f t="shared" si="644"/>
        <v>181587</v>
      </c>
      <c r="OX53" s="377">
        <f t="shared" si="643"/>
        <v>8329460</v>
      </c>
      <c r="OY53" s="365">
        <f t="shared" si="643"/>
        <v>5950390</v>
      </c>
      <c r="OZ53" s="365">
        <f t="shared" si="643"/>
        <v>468990</v>
      </c>
      <c r="PA53" s="365">
        <f t="shared" si="643"/>
        <v>1237298</v>
      </c>
      <c r="PB53" s="365">
        <f t="shared" si="643"/>
        <v>824319</v>
      </c>
      <c r="PC53" s="377">
        <f t="shared" si="643"/>
        <v>12196075</v>
      </c>
      <c r="PD53" s="365">
        <f t="shared" si="643"/>
        <v>10322340</v>
      </c>
      <c r="PE53" s="365">
        <f t="shared" si="643"/>
        <v>772943</v>
      </c>
      <c r="PF53" s="365">
        <f t="shared" si="643"/>
        <v>476032</v>
      </c>
      <c r="PG53" s="365">
        <f t="shared" si="643"/>
        <v>1100792</v>
      </c>
      <c r="PH53" s="181">
        <f>SUM(PH55:PH63)</f>
        <v>12340278</v>
      </c>
      <c r="PI53" s="181">
        <f t="shared" si="643"/>
        <v>10051501</v>
      </c>
      <c r="PJ53" s="181">
        <f t="shared" si="643"/>
        <v>910216</v>
      </c>
      <c r="PK53" s="181">
        <f t="shared" si="643"/>
        <v>705567</v>
      </c>
      <c r="PL53" s="182">
        <f t="shared" si="643"/>
        <v>1378561</v>
      </c>
      <c r="PM53" s="181">
        <f>SUM(PM55:PM63)</f>
        <v>14150055</v>
      </c>
      <c r="PN53" s="181">
        <f t="shared" si="643"/>
        <v>11247577</v>
      </c>
      <c r="PO53" s="181">
        <f t="shared" si="643"/>
        <v>987699</v>
      </c>
      <c r="PP53" s="181">
        <f t="shared" si="643"/>
        <v>723284</v>
      </c>
      <c r="PQ53" s="181">
        <f t="shared" si="643"/>
        <v>1540943</v>
      </c>
      <c r="PR53" s="253">
        <f>SUM(PR55:PR63)</f>
        <v>0</v>
      </c>
      <c r="PS53" s="253">
        <f t="shared" si="643"/>
        <v>0</v>
      </c>
      <c r="PT53" s="253">
        <f t="shared" si="643"/>
        <v>0</v>
      </c>
      <c r="PU53" s="253">
        <f t="shared" si="643"/>
        <v>0</v>
      </c>
      <c r="PV53" s="397">
        <f t="shared" si="643"/>
        <v>0</v>
      </c>
      <c r="PW53" s="397">
        <f t="shared" si="643"/>
        <v>15407662</v>
      </c>
      <c r="PX53" s="397">
        <f t="shared" si="643"/>
        <v>12005757</v>
      </c>
      <c r="PY53" s="397">
        <f t="shared" si="643"/>
        <v>1107854</v>
      </c>
      <c r="PZ53" s="397">
        <f t="shared" si="643"/>
        <v>883382</v>
      </c>
      <c r="QA53" s="397">
        <f t="shared" si="643"/>
        <v>1770105</v>
      </c>
      <c r="QB53" s="397">
        <f t="shared" si="643"/>
        <v>15763442</v>
      </c>
      <c r="QC53" s="397">
        <f t="shared" si="643"/>
        <v>12197718</v>
      </c>
      <c r="QD53" s="397">
        <f t="shared" si="643"/>
        <v>1149297</v>
      </c>
      <c r="QE53" s="397">
        <f t="shared" si="643"/>
        <v>934744</v>
      </c>
      <c r="QF53" s="253">
        <f t="shared" si="643"/>
        <v>1867946</v>
      </c>
      <c r="QG53" s="532">
        <f t="shared" si="643"/>
        <v>16450193</v>
      </c>
      <c r="QH53" s="397">
        <f t="shared" si="643"/>
        <v>12568435</v>
      </c>
      <c r="QI53" s="397">
        <f t="shared" si="643"/>
        <v>1253007</v>
      </c>
      <c r="QJ53" s="397">
        <f t="shared" si="643"/>
        <v>1037588</v>
      </c>
      <c r="QK53" s="253">
        <f t="shared" si="643"/>
        <v>2017504</v>
      </c>
      <c r="QL53" s="532">
        <f t="shared" si="643"/>
        <v>16783721</v>
      </c>
      <c r="QM53" s="397">
        <f t="shared" si="643"/>
        <v>12724461</v>
      </c>
      <c r="QN53" s="397">
        <f t="shared" si="643"/>
        <v>1273248</v>
      </c>
      <c r="QO53" s="397">
        <f t="shared" si="643"/>
        <v>1090276</v>
      </c>
      <c r="QP53" s="253">
        <f t="shared" si="643"/>
        <v>2024694</v>
      </c>
      <c r="QQ53" s="535">
        <f t="shared" si="643"/>
        <v>17182384</v>
      </c>
      <c r="QR53" s="253">
        <f t="shared" si="643"/>
        <v>12986306</v>
      </c>
      <c r="QS53" s="253">
        <f t="shared" si="643"/>
        <v>1337601</v>
      </c>
      <c r="QT53" s="253">
        <f t="shared" si="643"/>
        <v>1131022</v>
      </c>
      <c r="QU53" s="253">
        <f t="shared" si="643"/>
        <v>2063001</v>
      </c>
      <c r="QV53" s="535">
        <f t="shared" si="643"/>
        <v>17638170</v>
      </c>
      <c r="QW53" s="253">
        <f t="shared" si="643"/>
        <v>13219748</v>
      </c>
      <c r="QX53" s="253">
        <f t="shared" si="643"/>
        <v>1382848</v>
      </c>
      <c r="QY53" s="253">
        <f t="shared" si="643"/>
        <v>1221312</v>
      </c>
      <c r="QZ53" s="253">
        <f t="shared" si="643"/>
        <v>2302392</v>
      </c>
      <c r="RA53" s="535">
        <f t="shared" si="643"/>
        <v>17946426</v>
      </c>
      <c r="RB53" s="253">
        <f t="shared" si="643"/>
        <v>0</v>
      </c>
      <c r="RC53" s="253">
        <f t="shared" si="643"/>
        <v>0</v>
      </c>
      <c r="RD53" s="253">
        <f t="shared" si="643"/>
        <v>0</v>
      </c>
      <c r="RE53" s="253">
        <f t="shared" si="643"/>
        <v>0</v>
      </c>
      <c r="RF53" s="535">
        <f t="shared" si="643"/>
        <v>18170811</v>
      </c>
      <c r="RG53" s="253">
        <f t="shared" si="643"/>
        <v>13463785</v>
      </c>
      <c r="RH53" s="253">
        <f t="shared" si="643"/>
        <v>1456724</v>
      </c>
      <c r="RI53" s="253">
        <f t="shared" si="643"/>
        <v>1369274</v>
      </c>
      <c r="RJ53" s="253">
        <f t="shared" si="643"/>
        <v>2441161</v>
      </c>
      <c r="RK53" s="535">
        <f t="shared" si="643"/>
        <v>19541703</v>
      </c>
      <c r="RL53" s="253">
        <f t="shared" si="643"/>
        <v>14020157</v>
      </c>
      <c r="RM53" s="253">
        <f t="shared" si="643"/>
        <v>1507730</v>
      </c>
      <c r="RN53" s="253">
        <f t="shared" si="643"/>
        <v>1599552</v>
      </c>
      <c r="RO53" s="253">
        <f t="shared" si="643"/>
        <v>3760596</v>
      </c>
      <c r="RP53" s="253">
        <f t="shared" si="643"/>
        <v>1754976</v>
      </c>
      <c r="RQ53" s="253">
        <f t="shared" si="643"/>
        <v>0</v>
      </c>
      <c r="RR53" s="253">
        <f t="shared" si="643"/>
        <v>35684</v>
      </c>
      <c r="RS53" s="253">
        <f t="shared" si="643"/>
        <v>1290252</v>
      </c>
      <c r="RT53" s="253">
        <f t="shared" si="643"/>
        <v>679684</v>
      </c>
      <c r="RU53" s="181">
        <f>SUM(RU55:RU63)</f>
        <v>4654518</v>
      </c>
      <c r="RV53" s="181">
        <f t="shared" si="643"/>
        <v>4151399</v>
      </c>
      <c r="RW53" s="181">
        <f t="shared" si="643"/>
        <v>264048</v>
      </c>
      <c r="RX53" s="181">
        <f t="shared" si="643"/>
        <v>123436</v>
      </c>
      <c r="RY53" s="182">
        <f t="shared" si="643"/>
        <v>239071</v>
      </c>
      <c r="RZ53" s="181">
        <f>SUM(RZ55:RZ63)</f>
        <v>5890760</v>
      </c>
      <c r="SA53" s="181">
        <f t="shared" si="643"/>
        <v>5000014</v>
      </c>
      <c r="SB53" s="181">
        <f t="shared" si="643"/>
        <v>349980</v>
      </c>
      <c r="SC53" s="181">
        <f t="shared" si="643"/>
        <v>209649</v>
      </c>
      <c r="SD53" s="181">
        <f t="shared" si="643"/>
        <v>540766</v>
      </c>
      <c r="SE53" s="251"/>
      <c r="SF53" s="181"/>
      <c r="SG53" s="181"/>
      <c r="SH53" s="181"/>
      <c r="SI53" s="181"/>
      <c r="SJ53" s="181">
        <f>SUM(SJ55:SJ63)</f>
        <v>7126702</v>
      </c>
      <c r="SK53" s="181">
        <f t="shared" si="643"/>
        <v>5791320</v>
      </c>
      <c r="SL53" s="181">
        <f t="shared" si="643"/>
        <v>497318</v>
      </c>
      <c r="SM53" s="181">
        <f t="shared" si="643"/>
        <v>400675</v>
      </c>
      <c r="SN53" s="181">
        <f t="shared" si="643"/>
        <v>838064</v>
      </c>
      <c r="SO53" s="181">
        <f>SUM(SO55:SO63)</f>
        <v>7229800.2679999992</v>
      </c>
      <c r="SP53" s="181">
        <f t="shared" si="643"/>
        <v>5866325.6270000003</v>
      </c>
      <c r="SQ53" s="181">
        <f t="shared" si="643"/>
        <v>503368.30700000003</v>
      </c>
      <c r="SR53" s="181">
        <f t="shared" si="643"/>
        <v>405950.50800000003</v>
      </c>
      <c r="SS53" s="181">
        <f t="shared" si="643"/>
        <v>860106.33400000003</v>
      </c>
      <c r="ST53" s="181">
        <f>SUM(ST55:ST63)</f>
        <v>7365584</v>
      </c>
      <c r="SU53" s="181">
        <f t="shared" si="643"/>
        <v>5719129</v>
      </c>
      <c r="SV53" s="181">
        <f t="shared" si="643"/>
        <v>512462</v>
      </c>
      <c r="SW53" s="181">
        <f t="shared" si="643"/>
        <v>424478</v>
      </c>
      <c r="SX53" s="181">
        <f t="shared" si="643"/>
        <v>884647</v>
      </c>
      <c r="SY53" s="181">
        <f t="shared" si="643"/>
        <v>7508569</v>
      </c>
      <c r="SZ53" s="181">
        <f t="shared" si="643"/>
        <v>5793333</v>
      </c>
      <c r="TA53" s="181">
        <f t="shared" si="643"/>
        <v>531281</v>
      </c>
      <c r="TB53" s="181">
        <f t="shared" si="643"/>
        <v>450688</v>
      </c>
      <c r="TC53" s="181">
        <f t="shared" si="643"/>
        <v>922649</v>
      </c>
      <c r="TD53" s="181">
        <f t="shared" si="643"/>
        <v>7837201</v>
      </c>
      <c r="TE53" s="181">
        <f t="shared" si="643"/>
        <v>5962576</v>
      </c>
      <c r="TF53" s="181">
        <f t="shared" si="643"/>
        <v>582092</v>
      </c>
      <c r="TG53" s="181">
        <f t="shared" si="643"/>
        <v>509548</v>
      </c>
      <c r="TH53" s="181">
        <f t="shared" si="643"/>
        <v>992972</v>
      </c>
      <c r="TI53" s="181">
        <f t="shared" si="643"/>
        <v>8030513</v>
      </c>
      <c r="TJ53" s="181">
        <f t="shared" ref="TJ53:UQ53" si="645">SUM(TJ55:TJ63)</f>
        <v>6056664</v>
      </c>
      <c r="TK53" s="181">
        <f t="shared" si="645"/>
        <v>597858</v>
      </c>
      <c r="TL53" s="181">
        <f t="shared" si="645"/>
        <v>531720</v>
      </c>
      <c r="TM53" s="181">
        <f t="shared" si="645"/>
        <v>1065097</v>
      </c>
      <c r="TN53" s="181">
        <f t="shared" si="645"/>
        <v>8191733</v>
      </c>
      <c r="TO53" s="181">
        <f t="shared" si="645"/>
        <v>6185157</v>
      </c>
      <c r="TP53" s="181">
        <f t="shared" si="645"/>
        <v>623679</v>
      </c>
      <c r="TQ53" s="181">
        <f t="shared" si="645"/>
        <v>549308</v>
      </c>
      <c r="TR53" s="181">
        <f t="shared" si="645"/>
        <v>1058363</v>
      </c>
      <c r="TS53" s="251">
        <f t="shared" si="645"/>
        <v>8338676</v>
      </c>
      <c r="TT53" s="181">
        <f t="shared" si="645"/>
        <v>6237414</v>
      </c>
      <c r="TU53" s="181">
        <f t="shared" si="645"/>
        <v>642604</v>
      </c>
      <c r="TV53" s="181">
        <f t="shared" si="645"/>
        <v>593038</v>
      </c>
      <c r="TW53" s="181">
        <f t="shared" si="645"/>
        <v>1105319</v>
      </c>
      <c r="TX53" s="251">
        <f t="shared" si="645"/>
        <v>8493559</v>
      </c>
      <c r="TY53" s="181">
        <f t="shared" si="645"/>
        <v>0</v>
      </c>
      <c r="TZ53" s="181">
        <f t="shared" si="645"/>
        <v>0</v>
      </c>
      <c r="UA53" s="181">
        <f t="shared" si="645"/>
        <v>0</v>
      </c>
      <c r="UB53" s="181">
        <f t="shared" si="645"/>
        <v>0</v>
      </c>
      <c r="UC53" s="251">
        <f t="shared" si="645"/>
        <v>8649682</v>
      </c>
      <c r="UD53" s="181">
        <f t="shared" si="645"/>
        <v>6403175</v>
      </c>
      <c r="UE53" s="181">
        <f t="shared" si="645"/>
        <v>681495</v>
      </c>
      <c r="UF53" s="181">
        <f t="shared" si="645"/>
        <v>657733</v>
      </c>
      <c r="UG53" s="181">
        <f t="shared" si="645"/>
        <v>1179996</v>
      </c>
      <c r="UH53" s="251">
        <f t="shared" si="645"/>
        <v>9250662</v>
      </c>
      <c r="UI53" s="181">
        <f t="shared" si="645"/>
        <v>6646102</v>
      </c>
      <c r="UJ53" s="181">
        <f t="shared" si="645"/>
        <v>694629</v>
      </c>
      <c r="UK53" s="181">
        <f t="shared" si="645"/>
        <v>766877</v>
      </c>
      <c r="UL53" s="181">
        <f t="shared" si="645"/>
        <v>1790209</v>
      </c>
      <c r="UM53" s="181">
        <f t="shared" si="645"/>
        <v>834542</v>
      </c>
      <c r="UN53" s="181">
        <f t="shared" si="645"/>
        <v>0</v>
      </c>
      <c r="UO53" s="181">
        <f t="shared" si="645"/>
        <v>17097</v>
      </c>
      <c r="UP53" s="181">
        <f t="shared" si="645"/>
        <v>612333</v>
      </c>
      <c r="UQ53" s="181">
        <f t="shared" si="645"/>
        <v>499175</v>
      </c>
      <c r="UR53" s="173">
        <f t="shared" ref="UR53:WZ53" si="646">SUM(UR55:UR63)</f>
        <v>2077020</v>
      </c>
      <c r="US53" s="173">
        <f t="shared" si="646"/>
        <v>1313092</v>
      </c>
      <c r="UT53" s="173">
        <f t="shared" si="646"/>
        <v>763928</v>
      </c>
      <c r="UU53" s="173">
        <f t="shared" si="646"/>
        <v>60821</v>
      </c>
      <c r="UV53" s="173">
        <f t="shared" si="646"/>
        <v>32057</v>
      </c>
      <c r="UW53" s="173">
        <f t="shared" si="646"/>
        <v>28764</v>
      </c>
      <c r="UX53" s="195">
        <f t="shared" si="646"/>
        <v>2901083</v>
      </c>
      <c r="UY53" s="173">
        <f t="shared" si="646"/>
        <v>1771312</v>
      </c>
      <c r="UZ53" s="173">
        <f t="shared" si="646"/>
        <v>1129771</v>
      </c>
      <c r="VA53" s="173">
        <f t="shared" si="646"/>
        <v>2806036</v>
      </c>
      <c r="VB53" s="173">
        <f t="shared" si="646"/>
        <v>1723308</v>
      </c>
      <c r="VC53" s="173">
        <f t="shared" si="646"/>
        <v>1082728</v>
      </c>
      <c r="VD53" s="173">
        <f t="shared" si="646"/>
        <v>83248</v>
      </c>
      <c r="VE53" s="173">
        <f t="shared" si="646"/>
        <v>40793</v>
      </c>
      <c r="VF53" s="173">
        <f t="shared" si="646"/>
        <v>42455</v>
      </c>
      <c r="VG53" s="173">
        <f t="shared" si="646"/>
        <v>11799</v>
      </c>
      <c r="VH53" s="173">
        <f t="shared" si="646"/>
        <v>7211</v>
      </c>
      <c r="VI53" s="173">
        <f t="shared" si="646"/>
        <v>4588</v>
      </c>
      <c r="VJ53" s="195">
        <f t="shared" si="646"/>
        <v>5156117</v>
      </c>
      <c r="VK53" s="173">
        <f t="shared" si="646"/>
        <v>2986058</v>
      </c>
      <c r="VL53" s="173">
        <f t="shared" si="646"/>
        <v>2170059</v>
      </c>
      <c r="VM53" s="181">
        <f t="shared" si="646"/>
        <v>4693626</v>
      </c>
      <c r="VN53" s="173">
        <f t="shared" si="646"/>
        <v>2742688</v>
      </c>
      <c r="VO53" s="173">
        <f t="shared" si="646"/>
        <v>1950938</v>
      </c>
      <c r="VP53" s="173">
        <f t="shared" si="646"/>
        <v>243370</v>
      </c>
      <c r="VQ53" s="173">
        <f t="shared" si="646"/>
        <v>219121</v>
      </c>
      <c r="VR53" s="181">
        <f t="shared" si="646"/>
        <v>207883</v>
      </c>
      <c r="VS53" s="173">
        <f t="shared" si="646"/>
        <v>98883</v>
      </c>
      <c r="VT53" s="173">
        <f t="shared" si="646"/>
        <v>109000</v>
      </c>
      <c r="VU53" s="181">
        <f t="shared" si="646"/>
        <v>97089</v>
      </c>
      <c r="VV53" s="173">
        <f t="shared" si="646"/>
        <v>54155</v>
      </c>
      <c r="VW53" s="173">
        <f t="shared" si="646"/>
        <v>42934</v>
      </c>
      <c r="VX53" s="173">
        <f t="shared" si="646"/>
        <v>157519</v>
      </c>
      <c r="VY53" s="173">
        <f t="shared" si="646"/>
        <v>90332</v>
      </c>
      <c r="VZ53" s="173">
        <f t="shared" si="646"/>
        <v>67187</v>
      </c>
      <c r="WA53" s="173">
        <f t="shared" si="646"/>
        <v>4622</v>
      </c>
      <c r="WB53" s="173">
        <f t="shared" si="646"/>
        <v>2778</v>
      </c>
      <c r="WC53" s="173">
        <f t="shared" si="646"/>
        <v>1844</v>
      </c>
      <c r="WD53" s="173">
        <f t="shared" si="646"/>
        <v>152897</v>
      </c>
      <c r="WE53" s="173">
        <f t="shared" si="646"/>
        <v>87554</v>
      </c>
      <c r="WF53" s="173">
        <f t="shared" si="646"/>
        <v>65343</v>
      </c>
      <c r="WG53" s="251">
        <f t="shared" si="646"/>
        <v>6265683</v>
      </c>
      <c r="WH53" s="173">
        <f t="shared" si="646"/>
        <v>4090480</v>
      </c>
      <c r="WI53" s="173">
        <f t="shared" si="646"/>
        <v>3567111</v>
      </c>
      <c r="WJ53" s="181">
        <f t="shared" si="646"/>
        <v>4151399</v>
      </c>
      <c r="WK53" s="181">
        <f t="shared" si="646"/>
        <v>6697255</v>
      </c>
      <c r="WL53" s="173">
        <f t="shared" si="646"/>
        <v>3616188</v>
      </c>
      <c r="WM53" s="173">
        <f t="shared" si="646"/>
        <v>3081067</v>
      </c>
      <c r="WN53" s="173">
        <f t="shared" si="646"/>
        <v>474292</v>
      </c>
      <c r="WO53" s="173">
        <f t="shared" si="646"/>
        <v>486044</v>
      </c>
      <c r="WP53" s="181">
        <f t="shared" si="646"/>
        <v>290277</v>
      </c>
      <c r="WQ53" s="181">
        <f t="shared" si="646"/>
        <v>392325</v>
      </c>
      <c r="WR53" s="173">
        <f t="shared" si="646"/>
        <v>171774</v>
      </c>
      <c r="WS53" s="173">
        <f t="shared" si="646"/>
        <v>220551</v>
      </c>
      <c r="WT53" s="181">
        <f t="shared" si="646"/>
        <v>203659</v>
      </c>
      <c r="WU53" s="173">
        <f t="shared" si="646"/>
        <v>102472</v>
      </c>
      <c r="WV53" s="173">
        <f t="shared" si="646"/>
        <v>101187</v>
      </c>
      <c r="WW53" s="182">
        <f t="shared" si="646"/>
        <v>738246</v>
      </c>
      <c r="WX53" s="252">
        <f t="shared" si="646"/>
        <v>200046</v>
      </c>
      <c r="WY53" s="252">
        <f t="shared" si="646"/>
        <v>164306</v>
      </c>
      <c r="WZ53" s="252">
        <f t="shared" si="646"/>
        <v>7191</v>
      </c>
      <c r="XA53" s="252">
        <f t="shared" ref="XA53:YU53" si="647">SUM(XA55:XA63)</f>
        <v>2253</v>
      </c>
      <c r="XB53" s="252">
        <f t="shared" si="647"/>
        <v>4938</v>
      </c>
      <c r="XC53" s="252">
        <f t="shared" si="647"/>
        <v>357161</v>
      </c>
      <c r="XD53" s="252">
        <f t="shared" si="647"/>
        <v>197793</v>
      </c>
      <c r="XE53" s="252">
        <f t="shared" si="647"/>
        <v>159368</v>
      </c>
      <c r="XF53" s="173">
        <f t="shared" si="647"/>
        <v>4279</v>
      </c>
      <c r="XG53" s="173">
        <f t="shared" si="647"/>
        <v>4556</v>
      </c>
      <c r="XH53" s="173">
        <f t="shared" si="647"/>
        <v>193514</v>
      </c>
      <c r="XI53" s="173">
        <f t="shared" si="647"/>
        <v>154812</v>
      </c>
      <c r="XJ53" s="218">
        <f t="shared" si="647"/>
        <v>9836899</v>
      </c>
      <c r="XK53" s="173">
        <f t="shared" si="647"/>
        <v>4924960</v>
      </c>
      <c r="XL53" s="173">
        <f t="shared" si="647"/>
        <v>4911939</v>
      </c>
      <c r="XM53" s="253">
        <f t="shared" si="647"/>
        <v>8358748</v>
      </c>
      <c r="XN53" s="253">
        <f t="shared" si="647"/>
        <v>4225795</v>
      </c>
      <c r="XO53" s="253">
        <f t="shared" si="647"/>
        <v>4132953</v>
      </c>
      <c r="XP53" s="253">
        <f t="shared" si="647"/>
        <v>8159676</v>
      </c>
      <c r="XQ53" s="173">
        <f t="shared" si="647"/>
        <v>4133721</v>
      </c>
      <c r="XR53" s="173">
        <f t="shared" si="647"/>
        <v>4025955</v>
      </c>
      <c r="XS53" s="253">
        <f t="shared" si="647"/>
        <v>546337</v>
      </c>
      <c r="XT53" s="173">
        <f t="shared" si="647"/>
        <v>226970</v>
      </c>
      <c r="XU53" s="173">
        <f t="shared" si="647"/>
        <v>319367</v>
      </c>
      <c r="XV53" s="253">
        <f t="shared" si="647"/>
        <v>345787</v>
      </c>
      <c r="XW53" s="173">
        <f t="shared" si="647"/>
        <v>155663</v>
      </c>
      <c r="XX53" s="173">
        <f t="shared" si="647"/>
        <v>190124</v>
      </c>
      <c r="XY53" s="253">
        <f t="shared" si="647"/>
        <v>931814</v>
      </c>
      <c r="XZ53" s="173">
        <f t="shared" si="647"/>
        <v>472195</v>
      </c>
      <c r="YA53" s="173">
        <f t="shared" si="647"/>
        <v>459619</v>
      </c>
      <c r="YB53" s="251">
        <f t="shared" si="647"/>
        <v>11410188</v>
      </c>
      <c r="YC53" s="181">
        <f t="shared" si="647"/>
        <v>9112265</v>
      </c>
      <c r="YD53" s="181">
        <f t="shared" si="647"/>
        <v>704822</v>
      </c>
      <c r="YE53" s="181">
        <f t="shared" si="647"/>
        <v>525737</v>
      </c>
      <c r="YF53" s="181">
        <f t="shared" si="647"/>
        <v>1306807</v>
      </c>
      <c r="YG53" s="251">
        <f t="shared" si="647"/>
        <v>11633026</v>
      </c>
      <c r="YH53" s="181">
        <f t="shared" si="647"/>
        <v>9570230</v>
      </c>
      <c r="YI53" s="181">
        <f t="shared" si="647"/>
        <v>725351</v>
      </c>
      <c r="YJ53" s="181">
        <f t="shared" si="647"/>
        <v>1337445</v>
      </c>
      <c r="YK53" s="181">
        <f t="shared" si="647"/>
        <v>548411</v>
      </c>
      <c r="YL53" s="251">
        <f t="shared" si="647"/>
        <v>11918726</v>
      </c>
      <c r="YM53" s="181">
        <f t="shared" si="647"/>
        <v>9829391</v>
      </c>
      <c r="YN53" s="181">
        <f t="shared" si="647"/>
        <v>751503</v>
      </c>
      <c r="YO53" s="181">
        <f t="shared" si="647"/>
        <v>1337832</v>
      </c>
      <c r="YP53" s="181">
        <f t="shared" si="647"/>
        <v>560180</v>
      </c>
      <c r="YQ53" s="251">
        <f t="shared" si="647"/>
        <v>12028740</v>
      </c>
      <c r="YR53" s="365">
        <f t="shared" si="647"/>
        <v>9826160</v>
      </c>
      <c r="YS53" s="365">
        <f t="shared" si="647"/>
        <v>764565</v>
      </c>
      <c r="YT53" s="365">
        <f>SUM(YT55:YT63)</f>
        <v>1438015</v>
      </c>
      <c r="YU53" s="364">
        <f t="shared" si="647"/>
        <v>605090</v>
      </c>
      <c r="YV53" s="181">
        <f>SUM(YV55:YV63)</f>
        <v>12224952.989</v>
      </c>
      <c r="YW53" s="181">
        <f>SUM(YW55:YW63)</f>
        <v>9976490.1530000009</v>
      </c>
      <c r="YX53" s="181">
        <f>SUM(YX55:YX63)</f>
        <v>777324.90600000008</v>
      </c>
      <c r="YY53" s="181">
        <f>SUM(YY55:YY63)</f>
        <v>615020.2300000001</v>
      </c>
      <c r="YZ53" s="181">
        <f>SUM(YZ55:YZ63)</f>
        <v>1471137.9300000004</v>
      </c>
      <c r="ZA53" s="181">
        <f t="shared" ref="ZA53:ABC53" si="648">SUM(ZA55:ZA63)</f>
        <v>12484204</v>
      </c>
      <c r="ZB53" s="181">
        <f t="shared" si="648"/>
        <v>9766069</v>
      </c>
      <c r="ZC53" s="181">
        <f t="shared" si="648"/>
        <v>797699</v>
      </c>
      <c r="ZD53" s="181">
        <f t="shared" si="648"/>
        <v>646929</v>
      </c>
      <c r="ZE53" s="181">
        <f t="shared" si="648"/>
        <v>1523884</v>
      </c>
      <c r="ZF53" s="181">
        <f t="shared" si="648"/>
        <v>12771224</v>
      </c>
      <c r="ZG53" s="181">
        <f t="shared" si="648"/>
        <v>9919792</v>
      </c>
      <c r="ZH53" s="181">
        <f t="shared" si="648"/>
        <v>831222</v>
      </c>
      <c r="ZI53" s="181">
        <f t="shared" si="648"/>
        <v>688486</v>
      </c>
      <c r="ZJ53" s="181">
        <f t="shared" si="648"/>
        <v>1603059</v>
      </c>
      <c r="ZK53" s="365">
        <f t="shared" si="648"/>
        <v>13365424</v>
      </c>
      <c r="ZL53" s="365">
        <f t="shared" si="648"/>
        <v>10259465</v>
      </c>
      <c r="ZM53" s="365">
        <f t="shared" si="648"/>
        <v>914032</v>
      </c>
      <c r="ZN53" s="365">
        <f t="shared" si="648"/>
        <v>764860</v>
      </c>
      <c r="ZO53" s="365">
        <f t="shared" si="648"/>
        <v>1724927</v>
      </c>
      <c r="ZP53" s="365">
        <f t="shared" si="648"/>
        <v>13662048</v>
      </c>
      <c r="ZQ53" s="365">
        <f t="shared" si="648"/>
        <v>10398533</v>
      </c>
      <c r="ZR53" s="365">
        <f t="shared" si="648"/>
        <v>928637</v>
      </c>
      <c r="ZS53" s="365">
        <f t="shared" si="648"/>
        <v>806194</v>
      </c>
      <c r="ZT53" s="365">
        <f t="shared" si="648"/>
        <v>1751574</v>
      </c>
      <c r="ZU53" s="365">
        <f t="shared" si="648"/>
        <v>14017221</v>
      </c>
      <c r="ZV53" s="365">
        <f t="shared" si="648"/>
        <v>10648462</v>
      </c>
      <c r="ZW53" s="365">
        <f t="shared" si="648"/>
        <v>978443</v>
      </c>
      <c r="ZX53" s="365">
        <f t="shared" si="648"/>
        <v>835070</v>
      </c>
      <c r="ZY53" s="365">
        <f t="shared" si="648"/>
        <v>1772911</v>
      </c>
      <c r="ZZ53" s="365">
        <f t="shared" si="648"/>
        <v>1392362</v>
      </c>
      <c r="AAA53" s="365">
        <f t="shared" si="648"/>
        <v>1188</v>
      </c>
      <c r="AAB53" s="365">
        <f t="shared" si="648"/>
        <v>15742</v>
      </c>
      <c r="AAC53" s="365">
        <f t="shared" si="648"/>
        <v>125793</v>
      </c>
      <c r="AAD53" s="365">
        <f t="shared" si="648"/>
        <v>236961</v>
      </c>
      <c r="AAE53" s="377">
        <f t="shared" si="648"/>
        <v>14397572</v>
      </c>
      <c r="AAF53" s="365">
        <f t="shared" si="648"/>
        <v>10843370</v>
      </c>
      <c r="AAG53" s="365">
        <f t="shared" si="648"/>
        <v>1024720</v>
      </c>
      <c r="AAH53" s="365">
        <f t="shared" si="648"/>
        <v>897035</v>
      </c>
      <c r="AAI53" s="365">
        <f t="shared" si="648"/>
        <v>1972454</v>
      </c>
      <c r="AAJ53" s="377">
        <f t="shared" si="648"/>
        <v>14713059</v>
      </c>
      <c r="AAK53" s="365">
        <f t="shared" si="648"/>
        <v>0</v>
      </c>
      <c r="AAL53" s="365">
        <f t="shared" si="648"/>
        <v>0</v>
      </c>
      <c r="AAM53" s="365">
        <f t="shared" si="648"/>
        <v>0</v>
      </c>
      <c r="AAN53" s="365">
        <f t="shared" si="648"/>
        <v>0</v>
      </c>
      <c r="AAO53" s="377">
        <f t="shared" si="648"/>
        <v>14941459</v>
      </c>
      <c r="AAP53" s="377">
        <f t="shared" si="648"/>
        <v>11124914</v>
      </c>
      <c r="AAQ53" s="377">
        <f t="shared" si="648"/>
        <v>1084670</v>
      </c>
      <c r="AAR53" s="377">
        <f t="shared" si="648"/>
        <v>1017438</v>
      </c>
      <c r="AAS53" s="377">
        <f t="shared" si="648"/>
        <v>2114961</v>
      </c>
      <c r="AAT53" s="377">
        <f t="shared" si="648"/>
        <v>16166479</v>
      </c>
      <c r="AAU53" s="377">
        <f t="shared" si="648"/>
        <v>11660913</v>
      </c>
      <c r="AAV53" s="377">
        <f t="shared" si="648"/>
        <v>1140331</v>
      </c>
      <c r="AAW53" s="377">
        <f t="shared" si="648"/>
        <v>1206925</v>
      </c>
      <c r="AAX53" s="377">
        <f t="shared" si="648"/>
        <v>3168373</v>
      </c>
      <c r="AAY53" s="377">
        <f t="shared" si="648"/>
        <v>1611165</v>
      </c>
      <c r="AAZ53" s="377">
        <f t="shared" si="648"/>
        <v>0</v>
      </c>
      <c r="ABA53" s="377">
        <f t="shared" si="648"/>
        <v>26229</v>
      </c>
      <c r="ABB53" s="377">
        <f t="shared" si="648"/>
        <v>1027984</v>
      </c>
      <c r="ABC53" s="377">
        <f t="shared" si="648"/>
        <v>499175</v>
      </c>
      <c r="ABD53" s="181">
        <f t="shared" ref="ABD53:ADN53" si="649">SUM(ABD55:ABD63)</f>
        <v>3946139</v>
      </c>
      <c r="ABE53" s="181">
        <f t="shared" si="649"/>
        <v>3358734</v>
      </c>
      <c r="ABF53" s="181">
        <f t="shared" si="649"/>
        <v>196357</v>
      </c>
      <c r="ABG53" s="181">
        <f t="shared" si="649"/>
        <v>136138</v>
      </c>
      <c r="ABH53" s="181">
        <f t="shared" si="649"/>
        <v>391048</v>
      </c>
      <c r="ABI53" s="181">
        <f t="shared" si="649"/>
        <v>4607234</v>
      </c>
      <c r="ABJ53" s="181">
        <f t="shared" si="649"/>
        <v>3727880</v>
      </c>
      <c r="ABK53" s="181">
        <f t="shared" si="649"/>
        <v>241252</v>
      </c>
      <c r="ABL53" s="181">
        <f t="shared" si="649"/>
        <v>173987</v>
      </c>
      <c r="ABM53" s="181">
        <f t="shared" si="649"/>
        <v>532654</v>
      </c>
      <c r="ABN53" s="251">
        <f t="shared" si="649"/>
        <v>4902038</v>
      </c>
      <c r="ABO53" s="181">
        <f t="shared" si="649"/>
        <v>4034840</v>
      </c>
      <c r="ABP53" s="181">
        <f t="shared" si="649"/>
        <v>267247</v>
      </c>
      <c r="ABQ53" s="181">
        <f t="shared" si="649"/>
        <v>204415</v>
      </c>
      <c r="ABR53" s="181">
        <f t="shared" si="649"/>
        <v>599951</v>
      </c>
      <c r="ABS53" s="251">
        <f t="shared" si="649"/>
        <v>4995152.7209999999</v>
      </c>
      <c r="ABT53" s="181">
        <f t="shared" si="649"/>
        <v>4110164.5260000005</v>
      </c>
      <c r="ABU53" s="181">
        <f t="shared" si="649"/>
        <v>273956.59899999999</v>
      </c>
      <c r="ABV53" s="181">
        <f t="shared" si="649"/>
        <v>209069.72200000001</v>
      </c>
      <c r="ABW53" s="182">
        <f t="shared" si="649"/>
        <v>611031.5959999999</v>
      </c>
      <c r="ABX53" s="181">
        <f t="shared" si="649"/>
        <v>5118620</v>
      </c>
      <c r="ABY53" s="181">
        <f t="shared" si="649"/>
        <v>4046940</v>
      </c>
      <c r="ABZ53" s="181">
        <f t="shared" si="649"/>
        <v>285237</v>
      </c>
      <c r="ACA53" s="181">
        <f t="shared" si="649"/>
        <v>222451</v>
      </c>
      <c r="ACB53" s="364">
        <f t="shared" si="649"/>
        <v>639237</v>
      </c>
      <c r="ACC53" s="364">
        <f t="shared" si="649"/>
        <v>5262655</v>
      </c>
      <c r="ACD53" s="364">
        <f t="shared" si="649"/>
        <v>4126459</v>
      </c>
      <c r="ACE53" s="364">
        <f t="shared" si="649"/>
        <v>299941</v>
      </c>
      <c r="ACF53" s="364">
        <f t="shared" si="649"/>
        <v>237798</v>
      </c>
      <c r="ACG53" s="364">
        <f t="shared" si="649"/>
        <v>680410</v>
      </c>
      <c r="ACH53" s="364">
        <f t="shared" si="649"/>
        <v>5528223</v>
      </c>
      <c r="ACI53" s="364">
        <f t="shared" si="649"/>
        <v>4296889</v>
      </c>
      <c r="ACJ53" s="364">
        <f t="shared" si="649"/>
        <v>331940</v>
      </c>
      <c r="ACK53" s="364">
        <f t="shared" si="649"/>
        <v>255312</v>
      </c>
      <c r="ACL53" s="364">
        <f t="shared" si="649"/>
        <v>731955</v>
      </c>
      <c r="ACM53" s="364">
        <f t="shared" si="649"/>
        <v>5631535</v>
      </c>
      <c r="ACN53" s="364">
        <f t="shared" si="649"/>
        <v>4341869</v>
      </c>
      <c r="ACO53" s="364">
        <f t="shared" si="649"/>
        <v>330779</v>
      </c>
      <c r="ACP53" s="364">
        <f t="shared" si="649"/>
        <v>274474</v>
      </c>
      <c r="ACQ53" s="364">
        <f t="shared" si="649"/>
        <v>776964</v>
      </c>
      <c r="ACR53" s="364">
        <f t="shared" si="649"/>
        <v>5825488</v>
      </c>
      <c r="ACS53" s="364">
        <f t="shared" si="649"/>
        <v>4463305</v>
      </c>
      <c r="ACT53" s="364">
        <f t="shared" si="649"/>
        <v>354764</v>
      </c>
      <c r="ACU53" s="364">
        <f t="shared" si="649"/>
        <v>285762</v>
      </c>
      <c r="ACV53" s="365">
        <f t="shared" si="649"/>
        <v>812546</v>
      </c>
      <c r="ACW53" s="365"/>
      <c r="ACX53" s="365"/>
      <c r="ACY53" s="365"/>
      <c r="ACZ53" s="365"/>
      <c r="ADA53" s="365"/>
      <c r="ADB53" s="364">
        <f t="shared" si="649"/>
        <v>6058896</v>
      </c>
      <c r="ADC53" s="364">
        <f t="shared" si="649"/>
        <v>4605956</v>
      </c>
      <c r="ADD53" s="364">
        <f t="shared" si="649"/>
        <v>382116</v>
      </c>
      <c r="ADE53" s="364">
        <f t="shared" si="649"/>
        <v>303997</v>
      </c>
      <c r="ADF53" s="365">
        <f t="shared" si="649"/>
        <v>867135</v>
      </c>
      <c r="ADG53" s="609">
        <f t="shared" si="649"/>
        <v>6219500</v>
      </c>
      <c r="ADH53" s="364">
        <f t="shared" si="649"/>
        <v>0</v>
      </c>
      <c r="ADI53" s="364">
        <f t="shared" si="649"/>
        <v>0</v>
      </c>
      <c r="ADJ53" s="364">
        <f t="shared" si="649"/>
        <v>0</v>
      </c>
      <c r="ADK53" s="365">
        <f t="shared" si="649"/>
        <v>0</v>
      </c>
      <c r="ADL53" s="609">
        <f t="shared" si="649"/>
        <v>6291777</v>
      </c>
      <c r="ADM53" s="609">
        <f t="shared" si="649"/>
        <v>4721739</v>
      </c>
      <c r="ADN53" s="609">
        <f t="shared" si="649"/>
        <v>403175</v>
      </c>
      <c r="ADO53" s="609">
        <f t="shared" ref="ADO53:ADZ53" si="650">SUM(ADO55:ADO63)</f>
        <v>359705</v>
      </c>
      <c r="ADP53" s="609">
        <f t="shared" si="650"/>
        <v>934965</v>
      </c>
      <c r="ADQ53" s="609">
        <f t="shared" si="650"/>
        <v>6915817</v>
      </c>
      <c r="ADR53" s="609">
        <f t="shared" si="650"/>
        <v>5014811</v>
      </c>
      <c r="ADS53" s="609">
        <f t="shared" si="650"/>
        <v>445702</v>
      </c>
      <c r="ADT53" s="609">
        <f t="shared" si="650"/>
        <v>440048</v>
      </c>
      <c r="ADU53" s="609">
        <f t="shared" si="650"/>
        <v>1378164</v>
      </c>
      <c r="ADV53" s="609">
        <f t="shared" si="650"/>
        <v>780443</v>
      </c>
      <c r="ADW53" s="609">
        <f t="shared" si="650"/>
        <v>0</v>
      </c>
      <c r="ADX53" s="609">
        <f t="shared" si="650"/>
        <v>9132</v>
      </c>
      <c r="ADY53" s="609">
        <f t="shared" si="650"/>
        <v>415651</v>
      </c>
      <c r="ADZ53" s="609">
        <f t="shared" si="650"/>
        <v>172938</v>
      </c>
    </row>
    <row r="54" spans="1:806" ht="15.6">
      <c r="A54" s="141" t="s">
        <v>150</v>
      </c>
      <c r="B54" s="174" t="s">
        <v>221</v>
      </c>
      <c r="C54" s="175" t="s">
        <v>221</v>
      </c>
      <c r="D54" s="175" t="s">
        <v>221</v>
      </c>
      <c r="E54" s="175" t="s">
        <v>221</v>
      </c>
      <c r="F54" s="176" t="s">
        <v>221</v>
      </c>
      <c r="G54" s="145"/>
      <c r="H54" s="145"/>
      <c r="I54" s="145"/>
      <c r="J54" s="145"/>
      <c r="K54" s="221"/>
      <c r="L54" s="145"/>
      <c r="M54" s="145"/>
      <c r="N54" s="145"/>
      <c r="O54" s="145"/>
      <c r="P54" s="221"/>
      <c r="Q54" s="145"/>
      <c r="R54" s="145"/>
      <c r="S54" s="145"/>
      <c r="T54" s="145"/>
      <c r="U54" s="221"/>
      <c r="V54" s="229"/>
      <c r="W54" s="229"/>
      <c r="X54" s="229"/>
      <c r="Y54" s="229"/>
      <c r="Z54" s="405"/>
      <c r="AA54" s="229"/>
      <c r="AB54" s="229"/>
      <c r="AC54" s="229"/>
      <c r="AD54" s="229"/>
      <c r="AE54" s="229"/>
      <c r="AF54" s="398">
        <v>0</v>
      </c>
      <c r="AG54" s="229">
        <v>0</v>
      </c>
      <c r="AH54" s="229"/>
      <c r="AI54" s="229"/>
      <c r="AJ54" s="394">
        <v>0</v>
      </c>
      <c r="AK54" s="394"/>
      <c r="AL54" s="394"/>
      <c r="AM54" s="685"/>
      <c r="AN54" s="685"/>
      <c r="AO54" s="394"/>
      <c r="AP54" s="394">
        <v>0</v>
      </c>
      <c r="AQ54" s="394">
        <v>0</v>
      </c>
      <c r="AR54" s="394">
        <v>0</v>
      </c>
      <c r="AS54" s="394">
        <v>0</v>
      </c>
      <c r="AT54" s="394">
        <v>0</v>
      </c>
      <c r="AU54" s="393">
        <v>0</v>
      </c>
      <c r="AV54" s="394">
        <v>0</v>
      </c>
      <c r="AW54" s="394">
        <v>0</v>
      </c>
      <c r="AX54" s="394">
        <v>0</v>
      </c>
      <c r="AY54" s="394">
        <v>0</v>
      </c>
      <c r="BE54" s="393"/>
      <c r="BF54" s="394"/>
      <c r="BG54" s="394"/>
      <c r="BH54" s="394"/>
      <c r="BI54" s="394"/>
      <c r="BJ54" s="393"/>
      <c r="BK54" s="394"/>
      <c r="BL54" s="394"/>
      <c r="BM54" s="394"/>
      <c r="BN54" s="394"/>
      <c r="BO54" s="393"/>
      <c r="BP54" s="394"/>
      <c r="BQ54" s="394"/>
      <c r="BR54" s="394"/>
      <c r="BS54" s="394"/>
      <c r="BT54" s="393"/>
      <c r="BU54" s="394"/>
      <c r="BV54" s="394"/>
      <c r="BW54" s="394"/>
      <c r="BX54" s="394"/>
      <c r="CC54" s="143"/>
      <c r="CD54" s="145"/>
      <c r="CE54" s="145"/>
      <c r="CF54" s="145"/>
      <c r="CG54" s="221"/>
      <c r="CH54" s="145"/>
      <c r="CI54" s="145"/>
      <c r="CJ54" s="145"/>
      <c r="CK54" s="145"/>
      <c r="CL54" s="221"/>
      <c r="CN54" s="145"/>
      <c r="CO54" s="145"/>
      <c r="CP54" s="145"/>
      <c r="CQ54" s="221"/>
      <c r="CR54" s="145"/>
      <c r="CS54" s="145"/>
      <c r="CT54" s="145"/>
      <c r="CU54" s="145"/>
      <c r="CV54" s="221"/>
      <c r="CW54" s="145"/>
      <c r="CX54" s="145"/>
      <c r="CY54" s="145"/>
      <c r="CZ54" s="145"/>
      <c r="DA54" s="145"/>
      <c r="DB54" s="145">
        <v>0</v>
      </c>
      <c r="DC54" s="145">
        <v>0</v>
      </c>
      <c r="DD54" s="145"/>
      <c r="DE54" s="145"/>
      <c r="DF54" s="145">
        <v>0</v>
      </c>
      <c r="DG54" s="145"/>
      <c r="DH54" s="145"/>
      <c r="DI54" s="145"/>
      <c r="DJ54" s="145"/>
      <c r="DK54" s="145"/>
      <c r="DL54" s="145">
        <v>0</v>
      </c>
      <c r="DM54" s="145">
        <v>0</v>
      </c>
      <c r="DN54" s="145">
        <v>0</v>
      </c>
      <c r="DO54" s="145">
        <v>0</v>
      </c>
      <c r="DP54" s="145">
        <v>0</v>
      </c>
      <c r="DQ54" s="145"/>
      <c r="DR54" s="145"/>
      <c r="DS54" s="145"/>
      <c r="DT54" s="145"/>
      <c r="DU54" s="145"/>
      <c r="DV54" s="143"/>
      <c r="DW54" s="145"/>
      <c r="DX54" s="145"/>
      <c r="DY54" s="145"/>
      <c r="DZ54" s="145"/>
      <c r="EA54" s="143"/>
      <c r="EB54" s="145"/>
      <c r="EC54" s="145"/>
      <c r="ED54" s="145"/>
      <c r="EE54" s="145"/>
      <c r="EF54" s="143"/>
      <c r="EG54" s="145"/>
      <c r="EH54" s="145"/>
      <c r="EI54" s="145"/>
      <c r="EJ54" s="145"/>
      <c r="EK54" s="143"/>
      <c r="EL54" s="145"/>
      <c r="EM54" s="145"/>
      <c r="EN54" s="145"/>
      <c r="EO54" s="145"/>
      <c r="EP54" s="143"/>
      <c r="EQ54" s="145"/>
      <c r="ER54" s="145"/>
      <c r="ES54" s="145"/>
      <c r="EY54" s="143"/>
      <c r="EZ54" s="145"/>
      <c r="FA54" s="145"/>
      <c r="FB54" s="145"/>
      <c r="FC54" s="181"/>
      <c r="FD54" s="174" t="s">
        <v>221</v>
      </c>
      <c r="FE54" s="175" t="s">
        <v>221</v>
      </c>
      <c r="FF54" s="175" t="s">
        <v>221</v>
      </c>
      <c r="FG54" s="175" t="s">
        <v>221</v>
      </c>
      <c r="FH54" s="174" t="s">
        <v>221</v>
      </c>
      <c r="FI54" s="175" t="s">
        <v>221</v>
      </c>
      <c r="FJ54" s="175" t="s">
        <v>221</v>
      </c>
      <c r="FK54" s="175" t="s">
        <v>221</v>
      </c>
      <c r="FL54" s="176" t="s">
        <v>221</v>
      </c>
      <c r="FM54" s="145"/>
      <c r="FN54" s="145"/>
      <c r="FO54" s="145"/>
      <c r="FP54" s="145"/>
      <c r="FQ54" s="221"/>
      <c r="FR54" s="145"/>
      <c r="FS54" s="145"/>
      <c r="FT54" s="145"/>
      <c r="FU54" s="145"/>
      <c r="FV54" s="145"/>
      <c r="FW54" s="222"/>
      <c r="FX54" s="145"/>
      <c r="FY54" s="145"/>
      <c r="FZ54" s="145"/>
      <c r="GA54" s="145"/>
      <c r="GB54" s="143"/>
      <c r="GC54" s="145"/>
      <c r="GD54" s="145"/>
      <c r="GE54" s="145"/>
      <c r="GF54" s="145"/>
      <c r="GG54" s="143"/>
      <c r="GH54" s="145"/>
      <c r="GI54" s="145"/>
      <c r="GJ54" s="145"/>
      <c r="GK54" s="145"/>
      <c r="GL54" s="143"/>
      <c r="GM54" s="145"/>
      <c r="GN54" s="145"/>
      <c r="GO54" s="145"/>
      <c r="GP54" s="145"/>
      <c r="GQ54" s="143"/>
      <c r="GR54" s="145"/>
      <c r="GS54" s="145"/>
      <c r="GT54" s="145"/>
      <c r="GU54" s="182"/>
      <c r="GV54" s="145"/>
      <c r="GW54" s="145"/>
      <c r="GX54" s="145"/>
      <c r="GY54" s="145"/>
      <c r="GZ54" s="181"/>
      <c r="HA54" s="181">
        <v>0</v>
      </c>
      <c r="HB54" s="181">
        <v>0</v>
      </c>
      <c r="HC54" s="181"/>
      <c r="HD54" s="181"/>
      <c r="HE54" s="181">
        <v>0</v>
      </c>
      <c r="HF54" s="181"/>
      <c r="HG54" s="181"/>
      <c r="HH54" s="181"/>
      <c r="HI54" s="181"/>
      <c r="HJ54" s="181"/>
      <c r="HK54" s="181">
        <v>0</v>
      </c>
      <c r="HL54" s="181">
        <v>0</v>
      </c>
      <c r="HM54" s="181">
        <v>0</v>
      </c>
      <c r="HN54" s="181">
        <v>0</v>
      </c>
      <c r="HO54" s="181">
        <v>0</v>
      </c>
      <c r="HP54" s="251"/>
      <c r="HQ54" s="181"/>
      <c r="HR54" s="181"/>
      <c r="HS54" s="181"/>
      <c r="HT54" s="181"/>
      <c r="HU54" s="394"/>
      <c r="HZ54" s="251"/>
      <c r="IA54" s="181"/>
      <c r="IB54" s="181"/>
      <c r="IC54" s="181"/>
      <c r="ID54" s="181"/>
      <c r="IE54" s="535"/>
      <c r="IF54" s="253"/>
      <c r="IG54" s="253"/>
      <c r="IH54" s="253"/>
      <c r="II54" s="253"/>
      <c r="IJ54" s="535"/>
      <c r="IK54" s="253"/>
      <c r="IL54" s="253"/>
      <c r="IM54" s="253"/>
      <c r="IN54" s="253"/>
      <c r="IO54" s="535"/>
      <c r="IP54" s="253"/>
      <c r="IQ54" s="253"/>
      <c r="IR54" s="253"/>
      <c r="IS54" s="253"/>
      <c r="IY54" s="380" t="s">
        <v>221</v>
      </c>
      <c r="IZ54" s="188" t="s">
        <v>221</v>
      </c>
      <c r="JA54" s="188" t="s">
        <v>221</v>
      </c>
      <c r="JB54" s="188" t="s">
        <v>221</v>
      </c>
      <c r="JC54" s="635" t="s">
        <v>221</v>
      </c>
      <c r="JD54" s="229"/>
      <c r="JE54" s="229"/>
      <c r="JF54" s="229"/>
      <c r="JG54" s="229"/>
      <c r="JH54" s="405"/>
      <c r="JI54" s="229"/>
      <c r="JJ54" s="229"/>
      <c r="JK54" s="229"/>
      <c r="JL54" s="229"/>
      <c r="JM54" s="405"/>
      <c r="JN54" s="229"/>
      <c r="JO54" s="229"/>
      <c r="JP54" s="229"/>
      <c r="JQ54" s="229"/>
      <c r="JR54" s="229"/>
      <c r="JS54" s="229"/>
      <c r="JT54" s="229"/>
      <c r="JU54" s="229"/>
      <c r="JV54" s="229"/>
      <c r="JW54" s="405"/>
      <c r="JX54" s="229"/>
      <c r="JY54" s="229"/>
      <c r="JZ54" s="229"/>
      <c r="KA54" s="229"/>
      <c r="KB54" s="405"/>
      <c r="KC54" s="229"/>
      <c r="KD54" s="229"/>
      <c r="KE54" s="229"/>
      <c r="KF54" s="229"/>
      <c r="KG54" s="439"/>
      <c r="KH54" s="439">
        <v>0</v>
      </c>
      <c r="KI54" s="439"/>
      <c r="KJ54" s="439"/>
      <c r="KK54" s="439"/>
      <c r="KL54" s="439">
        <v>0</v>
      </c>
      <c r="KM54" s="439"/>
      <c r="KN54" s="439"/>
      <c r="KO54" s="439"/>
      <c r="KP54" s="439"/>
      <c r="KQ54" s="439"/>
      <c r="KR54" s="439">
        <v>0</v>
      </c>
      <c r="KS54" s="439"/>
      <c r="KT54" s="439"/>
      <c r="KU54" s="439"/>
      <c r="KV54" s="439">
        <v>0</v>
      </c>
      <c r="KW54" s="630"/>
      <c r="KX54" s="439"/>
      <c r="KY54" s="439"/>
      <c r="KZ54" s="439"/>
      <c r="LA54" s="439"/>
      <c r="LB54" s="652"/>
      <c r="LC54" s="653"/>
      <c r="LD54" s="653"/>
      <c r="LE54" s="653"/>
      <c r="LF54" s="653"/>
      <c r="LG54" s="652"/>
      <c r="LH54" s="653"/>
      <c r="LI54" s="439"/>
      <c r="LJ54" s="439"/>
      <c r="LK54" s="439"/>
      <c r="LL54" s="652"/>
      <c r="LM54" s="653"/>
      <c r="LN54" s="653"/>
      <c r="LO54" s="653"/>
      <c r="LP54" s="653"/>
      <c r="LQ54" s="652"/>
      <c r="LR54" s="653"/>
      <c r="LS54" s="653"/>
      <c r="LT54" s="653"/>
      <c r="LU54" s="653"/>
      <c r="MA54" s="143"/>
      <c r="MB54" s="145"/>
      <c r="MC54" s="145"/>
      <c r="MD54" s="145"/>
      <c r="ME54" s="221"/>
      <c r="MF54" s="145"/>
      <c r="MG54" s="145"/>
      <c r="MH54" s="145"/>
      <c r="MI54" s="145"/>
      <c r="MJ54" s="221"/>
      <c r="MK54" s="145"/>
      <c r="ML54" s="145"/>
      <c r="MM54" s="145"/>
      <c r="MN54" s="145"/>
      <c r="MO54" s="145"/>
      <c r="MP54" s="143"/>
      <c r="MQ54" s="145"/>
      <c r="MR54" s="145"/>
      <c r="MS54" s="145"/>
      <c r="MT54" s="145"/>
      <c r="MU54" s="143"/>
      <c r="MV54" s="145"/>
      <c r="MW54" s="145"/>
      <c r="MX54" s="145"/>
      <c r="MY54" s="221"/>
      <c r="MZ54" s="145"/>
      <c r="NA54" s="145"/>
      <c r="NB54" s="145"/>
      <c r="NC54" s="145"/>
      <c r="ND54" s="145"/>
      <c r="NE54" s="145"/>
      <c r="NF54" s="145">
        <v>0</v>
      </c>
      <c r="NG54" s="145"/>
      <c r="NH54" s="145"/>
      <c r="NI54" s="145">
        <v>0</v>
      </c>
      <c r="NJ54" s="145"/>
      <c r="NK54" s="145"/>
      <c r="NL54" s="145"/>
      <c r="NM54" s="145"/>
      <c r="NN54" s="145"/>
      <c r="NO54" s="145">
        <v>0</v>
      </c>
      <c r="NP54" s="145"/>
      <c r="NQ54" s="145"/>
      <c r="NR54" s="145"/>
      <c r="NS54" s="145">
        <v>0</v>
      </c>
      <c r="NT54" s="145"/>
      <c r="NU54" s="145"/>
      <c r="NV54" s="145"/>
      <c r="NW54" s="145"/>
      <c r="NX54" s="145"/>
      <c r="NY54" s="143"/>
      <c r="NZ54" s="145"/>
      <c r="OA54" s="145"/>
      <c r="OB54" s="145"/>
      <c r="OC54" s="221"/>
      <c r="OD54" s="143"/>
      <c r="OE54" s="145"/>
      <c r="OF54" s="145"/>
      <c r="OG54" s="145"/>
      <c r="OH54" s="145"/>
      <c r="OI54" s="143"/>
      <c r="OJ54" s="145"/>
      <c r="OK54" s="145"/>
      <c r="OL54" s="145"/>
      <c r="OM54" s="145"/>
      <c r="ON54" s="143"/>
      <c r="OO54" s="145"/>
      <c r="OP54" s="145"/>
      <c r="OQ54" s="145"/>
      <c r="OR54" s="145"/>
      <c r="OX54" s="251"/>
      <c r="OY54" s="181"/>
      <c r="OZ54" s="181"/>
      <c r="PA54" s="181"/>
      <c r="PB54" s="181"/>
      <c r="PC54" s="251"/>
      <c r="PD54" s="181"/>
      <c r="PE54" s="181"/>
      <c r="PF54" s="181"/>
      <c r="PG54" s="181"/>
      <c r="PH54" s="143"/>
      <c r="PI54" s="145"/>
      <c r="PJ54" s="145"/>
      <c r="PK54" s="145"/>
      <c r="PL54" s="145"/>
      <c r="PM54" s="145"/>
      <c r="PN54" s="145"/>
      <c r="PO54" s="145"/>
      <c r="PP54" s="145"/>
      <c r="PQ54" s="145"/>
      <c r="PR54" s="398"/>
      <c r="PS54" s="229"/>
      <c r="PT54" s="229"/>
      <c r="PU54" s="229"/>
      <c r="PV54" s="229"/>
      <c r="PW54" s="229"/>
      <c r="PX54" s="229"/>
      <c r="PY54" s="229"/>
      <c r="PZ54" s="229"/>
      <c r="QA54" s="405"/>
      <c r="QB54" s="229"/>
      <c r="QC54" s="229">
        <v>0</v>
      </c>
      <c r="QD54" s="229"/>
      <c r="QE54" s="229"/>
      <c r="QF54" s="229">
        <v>0</v>
      </c>
      <c r="QG54" s="229"/>
      <c r="QH54" s="229"/>
      <c r="QI54" s="229"/>
      <c r="QJ54" s="229"/>
      <c r="QK54" s="229"/>
      <c r="QL54" s="398">
        <v>0</v>
      </c>
      <c r="QM54" s="229"/>
      <c r="QN54" s="229"/>
      <c r="QO54" s="229"/>
      <c r="QP54" s="229">
        <v>0</v>
      </c>
      <c r="QQ54" s="398"/>
      <c r="QR54" s="229"/>
      <c r="QS54" s="229"/>
      <c r="QT54" s="229"/>
      <c r="QU54" s="229"/>
      <c r="QV54" s="398"/>
      <c r="QW54" s="229"/>
      <c r="QX54" s="229"/>
      <c r="QY54" s="229"/>
      <c r="QZ54" s="229"/>
      <c r="RA54" s="398"/>
      <c r="RB54" s="229"/>
      <c r="RC54" s="229"/>
      <c r="RD54" s="229"/>
      <c r="RE54" s="229"/>
      <c r="RF54" s="229"/>
      <c r="RG54" s="229"/>
      <c r="RH54" s="229"/>
      <c r="RI54" s="229"/>
      <c r="RJ54" s="229"/>
      <c r="RK54" s="229"/>
      <c r="RL54" s="229"/>
      <c r="RM54" s="229"/>
      <c r="RN54" s="229"/>
      <c r="RO54" s="229"/>
      <c r="RU54" s="143"/>
      <c r="RV54" s="145"/>
      <c r="RW54" s="145"/>
      <c r="RX54" s="145"/>
      <c r="RY54" s="145"/>
      <c r="RZ54" s="143"/>
      <c r="SA54" s="145"/>
      <c r="SB54" s="145"/>
      <c r="SC54" s="145"/>
      <c r="SD54" s="145"/>
      <c r="SE54" s="143"/>
      <c r="SF54" s="145"/>
      <c r="SG54" s="145"/>
      <c r="SH54" s="145"/>
      <c r="SI54" s="145"/>
      <c r="SJ54" s="143"/>
      <c r="SK54" s="145"/>
      <c r="SL54" s="145"/>
      <c r="SM54" s="145"/>
      <c r="SN54" s="145"/>
      <c r="SO54" s="143"/>
      <c r="SP54" s="145"/>
      <c r="SQ54" s="145"/>
      <c r="SR54" s="145"/>
      <c r="SS54" s="145"/>
      <c r="ST54" s="143"/>
      <c r="SU54" s="145"/>
      <c r="SV54" s="145"/>
      <c r="SW54" s="145"/>
      <c r="SX54" s="145"/>
      <c r="SY54" s="145"/>
      <c r="SZ54" s="145">
        <v>0</v>
      </c>
      <c r="TA54" s="145"/>
      <c r="TB54" s="145"/>
      <c r="TC54" s="145">
        <v>0</v>
      </c>
      <c r="TE54" s="145"/>
      <c r="TF54" s="145"/>
      <c r="TG54" s="145"/>
      <c r="TH54" s="145"/>
      <c r="TI54" s="145">
        <v>0</v>
      </c>
      <c r="TJ54" s="145"/>
      <c r="TK54" s="145"/>
      <c r="TL54" s="145"/>
      <c r="TM54" s="145">
        <v>0</v>
      </c>
      <c r="TN54" s="145"/>
      <c r="TO54" s="145"/>
      <c r="TP54" s="145"/>
      <c r="TQ54" s="145"/>
      <c r="TR54" s="145"/>
      <c r="TS54" s="143"/>
      <c r="TT54" s="145"/>
      <c r="TU54" s="145"/>
      <c r="TV54" s="145"/>
      <c r="TW54" s="145"/>
      <c r="TX54" s="143"/>
      <c r="TY54" s="145"/>
      <c r="TZ54" s="145"/>
      <c r="UA54" s="145"/>
      <c r="UB54" s="145"/>
      <c r="UC54" s="143"/>
      <c r="UD54" s="145"/>
      <c r="UE54" s="145"/>
      <c r="UF54" s="145"/>
      <c r="UG54" s="145"/>
      <c r="UH54" s="143"/>
      <c r="UI54" s="145"/>
      <c r="UJ54" s="145"/>
      <c r="UK54" s="145"/>
      <c r="UL54" s="145"/>
      <c r="UR54" s="40"/>
      <c r="US54" s="40"/>
      <c r="UT54" s="40"/>
      <c r="UU54" s="40"/>
      <c r="UV54" s="40"/>
      <c r="UW54" s="40"/>
      <c r="UX54" s="42"/>
      <c r="UY54" s="40"/>
      <c r="UZ54" s="40"/>
      <c r="VA54" s="40"/>
      <c r="VB54" s="40"/>
      <c r="VC54" s="40"/>
      <c r="VD54" s="40"/>
      <c r="VE54" s="40"/>
      <c r="VF54" s="40"/>
      <c r="VG54" s="40"/>
      <c r="VH54" s="40"/>
      <c r="VI54" s="40"/>
      <c r="VJ54" s="42"/>
      <c r="VK54" s="40"/>
      <c r="VL54" s="40"/>
      <c r="VM54" s="145"/>
      <c r="VN54" s="40"/>
      <c r="VO54" s="40"/>
      <c r="VP54" s="40"/>
      <c r="VQ54" s="40"/>
      <c r="VR54" s="145"/>
      <c r="VS54" s="40"/>
      <c r="VT54" s="40"/>
      <c r="VU54" s="145"/>
      <c r="VV54" s="40"/>
      <c r="VW54" s="40"/>
      <c r="VX54" s="40"/>
      <c r="VY54" s="40"/>
      <c r="VZ54" s="40"/>
      <c r="WA54" s="234"/>
      <c r="WB54" s="234"/>
      <c r="WC54" s="234"/>
      <c r="WD54" s="40"/>
      <c r="WE54" s="40"/>
      <c r="WF54" s="40"/>
      <c r="WG54" s="143"/>
      <c r="WH54" s="40"/>
      <c r="WI54" s="40"/>
      <c r="WJ54" s="145"/>
      <c r="WK54" s="145"/>
      <c r="WL54" s="40"/>
      <c r="WM54" s="40"/>
      <c r="WN54" s="40"/>
      <c r="WO54" s="40"/>
      <c r="WP54" s="145"/>
      <c r="WQ54" s="145"/>
      <c r="WR54" s="40"/>
      <c r="WS54" s="40"/>
      <c r="WT54" s="145"/>
      <c r="WU54" s="40"/>
      <c r="WV54" s="40"/>
      <c r="WW54" s="145"/>
      <c r="WX54" s="596"/>
      <c r="WY54" s="595"/>
      <c r="WZ54" s="236"/>
      <c r="XA54" s="236"/>
      <c r="XB54" s="236"/>
      <c r="XC54" s="595"/>
      <c r="XD54" s="595"/>
      <c r="XE54" s="595"/>
      <c r="XF54" s="40"/>
      <c r="XG54" s="40"/>
      <c r="XH54" s="40"/>
      <c r="XI54" s="40"/>
      <c r="XJ54" s="590"/>
      <c r="XK54" s="40"/>
      <c r="XL54" s="40"/>
      <c r="XM54" s="229"/>
      <c r="XN54" s="229"/>
      <c r="XO54" s="229"/>
      <c r="XP54" s="254"/>
      <c r="XQ54" s="40"/>
      <c r="XR54" s="40"/>
      <c r="XS54" s="229"/>
      <c r="XT54" s="40"/>
      <c r="XU54" s="40"/>
      <c r="XV54" s="229"/>
      <c r="XW54" s="40"/>
      <c r="XX54" s="40"/>
      <c r="XY54" s="229"/>
      <c r="XZ54" s="40"/>
      <c r="YA54" s="40"/>
      <c r="YB54" s="587"/>
      <c r="YC54" s="40"/>
      <c r="YD54" s="40"/>
      <c r="YE54" s="40"/>
      <c r="YF54" s="229"/>
      <c r="YG54" s="143"/>
      <c r="YH54" s="145"/>
      <c r="YI54" s="145"/>
      <c r="YJ54" s="145"/>
      <c r="YK54" s="145"/>
      <c r="YL54" s="143"/>
      <c r="YM54" s="145"/>
      <c r="YN54" s="145"/>
      <c r="YO54" s="145"/>
      <c r="YP54" s="145"/>
      <c r="YQ54" s="143"/>
      <c r="YR54" s="145"/>
      <c r="YS54" s="145"/>
      <c r="YT54" s="145"/>
      <c r="YU54" s="145"/>
      <c r="YV54" s="143"/>
      <c r="YW54" s="145"/>
      <c r="YX54" s="145"/>
      <c r="YY54" s="145"/>
      <c r="YZ54" s="145"/>
      <c r="ZA54" s="145"/>
      <c r="ZB54" s="145"/>
      <c r="ZC54" s="145"/>
      <c r="ZD54" s="145"/>
      <c r="ZE54" s="1"/>
      <c r="ZF54" s="1">
        <v>0</v>
      </c>
      <c r="ZG54" s="1">
        <v>0</v>
      </c>
      <c r="ZH54" s="1"/>
      <c r="ZI54" s="1"/>
      <c r="ZJ54" s="1">
        <v>0</v>
      </c>
      <c r="ZK54" s="1"/>
      <c r="ZL54" s="1"/>
      <c r="ZM54" s="1"/>
      <c r="ZN54" s="1"/>
      <c r="ZO54" s="1"/>
      <c r="ZP54" s="1">
        <v>0</v>
      </c>
      <c r="ZQ54" s="1"/>
      <c r="ZR54" s="1"/>
      <c r="ZS54" s="1"/>
      <c r="ZT54" s="1">
        <v>0</v>
      </c>
      <c r="ZU54" s="1"/>
      <c r="ZV54" s="1"/>
      <c r="ZW54" s="1"/>
      <c r="ZX54" s="1"/>
      <c r="ZY54" s="1"/>
      <c r="ZZ54" s="394"/>
      <c r="AAE54" s="50"/>
      <c r="AAF54" s="1"/>
      <c r="AAG54" s="1"/>
      <c r="AAH54" s="1"/>
      <c r="AAI54" s="1"/>
      <c r="AAJ54" s="50"/>
      <c r="AAK54" s="1"/>
      <c r="AAL54" s="1"/>
      <c r="AAM54" s="1"/>
      <c r="AAN54" s="1"/>
      <c r="AAO54" s="68"/>
      <c r="AAP54" s="37"/>
      <c r="AAQ54" s="37"/>
      <c r="AAR54" s="37"/>
      <c r="AAS54" s="37"/>
      <c r="AAT54" s="68"/>
      <c r="AAU54" s="37"/>
      <c r="AAV54" s="37"/>
      <c r="AAW54" s="37"/>
      <c r="AAX54" s="37"/>
      <c r="ABD54" s="143"/>
      <c r="ABE54" s="145"/>
      <c r="ABF54" s="145"/>
      <c r="ABG54" s="145"/>
      <c r="ABH54" s="145"/>
      <c r="ABI54" s="143"/>
      <c r="ABJ54" s="145"/>
      <c r="ABK54" s="145"/>
      <c r="ABL54" s="145"/>
      <c r="ABM54" s="145"/>
      <c r="ABN54" s="143"/>
      <c r="ABO54" s="145"/>
      <c r="ABP54" s="145"/>
      <c r="ABQ54" s="145"/>
      <c r="ABR54" s="145"/>
      <c r="ABS54" s="143"/>
      <c r="ABT54" s="145"/>
      <c r="ABU54" s="145"/>
      <c r="ABV54" s="145"/>
      <c r="ABW54" s="221"/>
      <c r="ABX54" s="374"/>
      <c r="ACB54" s="49"/>
      <c r="ACD54" s="1">
        <v>0</v>
      </c>
      <c r="ACG54" s="1">
        <v>0</v>
      </c>
      <c r="ACM54" s="1">
        <v>0</v>
      </c>
      <c r="ACQ54" s="1">
        <v>0</v>
      </c>
      <c r="ADB54" s="50"/>
      <c r="ADG54" s="50"/>
    </row>
    <row r="55" spans="1:806" ht="14.1">
      <c r="A55" s="38" t="s">
        <v>52</v>
      </c>
      <c r="B55" s="174" t="s">
        <v>221</v>
      </c>
      <c r="C55" s="175" t="s">
        <v>221</v>
      </c>
      <c r="D55" s="175" t="s">
        <v>221</v>
      </c>
      <c r="E55" s="175" t="s">
        <v>221</v>
      </c>
      <c r="F55" s="176" t="s">
        <v>221</v>
      </c>
      <c r="G55" s="3">
        <v>185213</v>
      </c>
      <c r="H55" s="3">
        <v>153772</v>
      </c>
      <c r="I55" s="3">
        <v>15941</v>
      </c>
      <c r="J55" s="3">
        <v>23935</v>
      </c>
      <c r="K55" s="8">
        <v>15500</v>
      </c>
      <c r="L55" s="3">
        <v>132917</v>
      </c>
      <c r="M55" s="3">
        <v>95345</v>
      </c>
      <c r="N55" s="3">
        <v>11880</v>
      </c>
      <c r="O55" s="3">
        <v>33171</v>
      </c>
      <c r="P55" s="8">
        <v>25692</v>
      </c>
      <c r="Q55" s="3">
        <v>112161</v>
      </c>
      <c r="R55" s="3">
        <v>59815</v>
      </c>
      <c r="S55" s="3">
        <v>11349</v>
      </c>
      <c r="T55" s="3">
        <v>35521</v>
      </c>
      <c r="U55" s="8">
        <v>25196</v>
      </c>
      <c r="V55" s="5">
        <v>113739</v>
      </c>
      <c r="W55" s="5">
        <v>72472</v>
      </c>
      <c r="X55" s="5">
        <v>12508</v>
      </c>
      <c r="Y55" s="5">
        <v>44753</v>
      </c>
      <c r="Z55" s="408">
        <v>28759</v>
      </c>
      <c r="AA55" s="5">
        <v>107430</v>
      </c>
      <c r="AB55" s="5">
        <v>45087</v>
      </c>
      <c r="AC55" s="5">
        <v>11684</v>
      </c>
      <c r="AD55" s="5">
        <v>44231</v>
      </c>
      <c r="AE55" s="5">
        <v>28285</v>
      </c>
      <c r="AF55" s="399">
        <v>107178</v>
      </c>
      <c r="AG55" s="5">
        <v>44280</v>
      </c>
      <c r="AH55" s="5">
        <v>11240</v>
      </c>
      <c r="AI55" s="5">
        <v>45507</v>
      </c>
      <c r="AJ55" s="490">
        <v>30053</v>
      </c>
      <c r="AK55" s="490">
        <v>102610</v>
      </c>
      <c r="AL55" s="490">
        <v>40379</v>
      </c>
      <c r="AM55" s="685">
        <v>10820</v>
      </c>
      <c r="AN55" s="685">
        <v>45948</v>
      </c>
      <c r="AO55" s="490">
        <v>29757</v>
      </c>
      <c r="AP55" s="394">
        <v>104772</v>
      </c>
      <c r="AQ55" s="394">
        <v>39573</v>
      </c>
      <c r="AR55" s="394">
        <v>10615</v>
      </c>
      <c r="AS55" s="394">
        <v>47036</v>
      </c>
      <c r="AT55" s="394">
        <v>30517</v>
      </c>
      <c r="AU55" s="393">
        <v>100513</v>
      </c>
      <c r="AV55" s="394">
        <v>37999</v>
      </c>
      <c r="AW55" s="394">
        <v>10574</v>
      </c>
      <c r="AX55" s="394">
        <v>46596</v>
      </c>
      <c r="AY55" s="394">
        <v>27730</v>
      </c>
      <c r="AZ55" s="1">
        <v>5792</v>
      </c>
      <c r="BA55" s="1">
        <v>0</v>
      </c>
      <c r="BB55" s="1">
        <v>906</v>
      </c>
      <c r="BC55" s="1">
        <v>1430</v>
      </c>
      <c r="BD55" s="1">
        <v>19602</v>
      </c>
      <c r="BE55" s="393">
        <v>102064</v>
      </c>
      <c r="BF55" s="394">
        <v>32689</v>
      </c>
      <c r="BG55" s="394">
        <v>11862</v>
      </c>
      <c r="BH55" s="394">
        <v>50559</v>
      </c>
      <c r="BI55" s="394">
        <v>33193</v>
      </c>
      <c r="BJ55" s="393">
        <v>97719</v>
      </c>
      <c r="BK55" s="394"/>
      <c r="BL55" s="394"/>
      <c r="BM55" s="394"/>
      <c r="BN55" s="394"/>
      <c r="BO55" s="393">
        <v>99132</v>
      </c>
      <c r="BP55" s="394">
        <v>31180</v>
      </c>
      <c r="BQ55" s="394">
        <v>12809</v>
      </c>
      <c r="BR55" s="394">
        <v>49252</v>
      </c>
      <c r="BS55" s="394">
        <v>30452</v>
      </c>
      <c r="BT55" s="393">
        <v>108438</v>
      </c>
      <c r="BU55" s="394">
        <v>34488</v>
      </c>
      <c r="BV55" s="394">
        <v>11370</v>
      </c>
      <c r="BW55" s="394">
        <v>53518</v>
      </c>
      <c r="BX55" s="394">
        <v>7095</v>
      </c>
      <c r="BY55" s="1">
        <v>0</v>
      </c>
      <c r="BZ55" s="1">
        <v>1242</v>
      </c>
      <c r="CA55" s="1">
        <v>19152</v>
      </c>
      <c r="CB55" s="1">
        <v>29446</v>
      </c>
      <c r="CC55" s="3">
        <v>271995</v>
      </c>
      <c r="CD55" s="3">
        <v>223361</v>
      </c>
      <c r="CE55" s="3">
        <v>34466</v>
      </c>
      <c r="CF55" s="3">
        <v>53518</v>
      </c>
      <c r="CG55" s="8">
        <v>14168</v>
      </c>
      <c r="CH55" s="3">
        <v>234739</v>
      </c>
      <c r="CI55" s="3">
        <v>171490</v>
      </c>
      <c r="CJ55" s="3">
        <v>33858</v>
      </c>
      <c r="CK55" s="3">
        <v>34415</v>
      </c>
      <c r="CL55" s="8">
        <v>29391</v>
      </c>
      <c r="CM55" s="1">
        <v>175481</v>
      </c>
      <c r="CN55" s="3">
        <v>109344</v>
      </c>
      <c r="CO55" s="3">
        <v>26897</v>
      </c>
      <c r="CP55" s="3">
        <v>33847</v>
      </c>
      <c r="CQ55" s="8">
        <v>25057</v>
      </c>
      <c r="CR55" s="3">
        <v>163353</v>
      </c>
      <c r="CS55" s="3">
        <v>110327</v>
      </c>
      <c r="CT55" s="3">
        <v>27292</v>
      </c>
      <c r="CU55" s="3">
        <v>37235</v>
      </c>
      <c r="CV55" s="8">
        <v>25734</v>
      </c>
      <c r="CW55" s="3">
        <v>156360</v>
      </c>
      <c r="CX55" s="3">
        <v>85639</v>
      </c>
      <c r="CY55" s="3">
        <v>25613</v>
      </c>
      <c r="CZ55" s="3">
        <v>38741</v>
      </c>
      <c r="DA55" s="3">
        <v>25628</v>
      </c>
      <c r="DB55" s="3">
        <v>149357</v>
      </c>
      <c r="DC55" s="3">
        <v>80352</v>
      </c>
      <c r="DD55" s="3">
        <v>25021</v>
      </c>
      <c r="DE55" s="3">
        <v>38915</v>
      </c>
      <c r="DF55" s="39">
        <v>24474</v>
      </c>
      <c r="DG55" s="39">
        <v>142557</v>
      </c>
      <c r="DH55" s="39">
        <v>73513</v>
      </c>
      <c r="DI55" s="39">
        <v>22292</v>
      </c>
      <c r="DJ55" s="39">
        <v>39527</v>
      </c>
      <c r="DK55" s="39">
        <v>25925</v>
      </c>
      <c r="DL55" s="39">
        <v>137496</v>
      </c>
      <c r="DM55" s="39">
        <v>68315</v>
      </c>
      <c r="DN55" s="39">
        <v>22102</v>
      </c>
      <c r="DO55" s="39">
        <v>43320</v>
      </c>
      <c r="DP55" s="39">
        <v>26163</v>
      </c>
      <c r="DQ55" s="39">
        <v>133422</v>
      </c>
      <c r="DR55" s="39">
        <v>64828</v>
      </c>
      <c r="DS55" s="39">
        <v>22777</v>
      </c>
      <c r="DT55" s="39">
        <v>41008</v>
      </c>
      <c r="DU55" s="39">
        <v>23984</v>
      </c>
      <c r="DV55" s="118">
        <v>137225</v>
      </c>
      <c r="DW55" s="39">
        <v>66673</v>
      </c>
      <c r="DX55" s="39">
        <v>20885</v>
      </c>
      <c r="DY55" s="39">
        <v>43422</v>
      </c>
      <c r="DZ55" s="39">
        <v>25297</v>
      </c>
      <c r="EA55" s="118">
        <v>128535</v>
      </c>
      <c r="EB55" s="39"/>
      <c r="EC55" s="39"/>
      <c r="ED55" s="39"/>
      <c r="EE55" s="39"/>
      <c r="EF55" s="118">
        <v>132707</v>
      </c>
      <c r="EG55" s="39">
        <v>62510</v>
      </c>
      <c r="EH55" s="39">
        <v>22306</v>
      </c>
      <c r="EI55" s="39">
        <v>41424</v>
      </c>
      <c r="EJ55" s="39">
        <v>27622</v>
      </c>
      <c r="EK55" s="118">
        <v>132707</v>
      </c>
      <c r="EL55" s="39">
        <v>62510</v>
      </c>
      <c r="EM55" s="39">
        <v>22306</v>
      </c>
      <c r="EN55" s="39">
        <v>41424</v>
      </c>
      <c r="EO55" s="39">
        <v>27622</v>
      </c>
      <c r="EP55" s="118">
        <v>116753</v>
      </c>
      <c r="EQ55" s="39">
        <v>52030</v>
      </c>
      <c r="ER55" s="39">
        <v>17328</v>
      </c>
      <c r="ES55" s="39">
        <v>40165</v>
      </c>
      <c r="ET55" s="1">
        <v>4197</v>
      </c>
      <c r="EU55" s="1">
        <v>0</v>
      </c>
      <c r="EV55" s="1">
        <v>989</v>
      </c>
      <c r="EW55" s="1">
        <v>17204</v>
      </c>
      <c r="EX55" s="1">
        <v>20006</v>
      </c>
      <c r="EY55" s="10">
        <v>274752</v>
      </c>
      <c r="EZ55" s="3">
        <v>178164</v>
      </c>
      <c r="FA55" s="3">
        <v>39554</v>
      </c>
      <c r="FB55" s="3">
        <v>84101</v>
      </c>
      <c r="FC55" s="201">
        <f t="shared" ref="FC55:FC64" si="651">EY55-EZ55-FA55</f>
        <v>57034</v>
      </c>
      <c r="FD55" s="174" t="s">
        <v>221</v>
      </c>
      <c r="FE55" s="175" t="s">
        <v>221</v>
      </c>
      <c r="FF55" s="175" t="s">
        <v>221</v>
      </c>
      <c r="FG55" s="175" t="s">
        <v>221</v>
      </c>
      <c r="FH55" s="174" t="s">
        <v>221</v>
      </c>
      <c r="FI55" s="175" t="s">
        <v>221</v>
      </c>
      <c r="FJ55" s="175" t="s">
        <v>221</v>
      </c>
      <c r="FK55" s="175" t="s">
        <v>221</v>
      </c>
      <c r="FL55" s="176" t="s">
        <v>221</v>
      </c>
      <c r="FM55" s="3">
        <v>1741755</v>
      </c>
      <c r="FN55" s="3">
        <v>1593488</v>
      </c>
      <c r="FO55" s="3">
        <v>102204</v>
      </c>
      <c r="FP55" s="3">
        <v>53533</v>
      </c>
      <c r="FQ55" s="8">
        <v>46063</v>
      </c>
      <c r="FR55" s="3">
        <v>1927961</v>
      </c>
      <c r="FS55" s="3">
        <v>1682295</v>
      </c>
      <c r="FT55" s="3">
        <v>129789</v>
      </c>
      <c r="FU55" s="3">
        <v>95376</v>
      </c>
      <c r="FV55" s="3">
        <v>115877</v>
      </c>
      <c r="FW55" s="127">
        <v>2061899</v>
      </c>
      <c r="FX55" s="3">
        <v>1669753</v>
      </c>
      <c r="FY55" s="3">
        <v>166996</v>
      </c>
      <c r="FZ55" s="3">
        <v>180309</v>
      </c>
      <c r="GA55" s="3">
        <v>146462</v>
      </c>
      <c r="GB55" s="10">
        <v>2075997</v>
      </c>
      <c r="GC55" s="3">
        <v>1756998</v>
      </c>
      <c r="GD55" s="3">
        <v>157873</v>
      </c>
      <c r="GE55" s="3">
        <v>161126</v>
      </c>
      <c r="GF55" s="3">
        <v>151578</v>
      </c>
      <c r="GG55" s="10">
        <v>2081571</v>
      </c>
      <c r="GH55" s="40">
        <v>1759339</v>
      </c>
      <c r="GI55" s="40">
        <v>161558</v>
      </c>
      <c r="GJ55" s="40">
        <v>160674</v>
      </c>
      <c r="GK55" s="40">
        <v>152240</v>
      </c>
      <c r="GL55" s="10">
        <v>2138942</v>
      </c>
      <c r="GM55" s="3">
        <v>1794772</v>
      </c>
      <c r="GN55" s="3">
        <v>172512</v>
      </c>
      <c r="GO55" s="3">
        <v>168295</v>
      </c>
      <c r="GP55" s="3">
        <v>144720</v>
      </c>
      <c r="GQ55" s="10">
        <v>2159111.6159999999</v>
      </c>
      <c r="GR55" s="3">
        <v>1801440.5499999998</v>
      </c>
      <c r="GS55" s="3">
        <v>177774.304</v>
      </c>
      <c r="GT55" s="3">
        <v>176273.875</v>
      </c>
      <c r="GU55" s="373">
        <f t="shared" ref="GU55:GU64" si="652">GQ55-GR55-GS55</f>
        <v>179896.7620000001</v>
      </c>
      <c r="GV55" s="3">
        <v>2182623</v>
      </c>
      <c r="GW55" s="3">
        <v>1707634</v>
      </c>
      <c r="GX55" s="3">
        <v>183834</v>
      </c>
      <c r="GY55" s="3">
        <v>187392</v>
      </c>
      <c r="GZ55" s="3">
        <v>182023</v>
      </c>
      <c r="HA55" s="3">
        <v>2199635</v>
      </c>
      <c r="HB55" s="3">
        <v>1706706</v>
      </c>
      <c r="HC55" s="3">
        <v>189058</v>
      </c>
      <c r="HD55" s="3">
        <v>195995</v>
      </c>
      <c r="HE55" s="3">
        <v>188893</v>
      </c>
      <c r="HF55" s="3">
        <v>2226651</v>
      </c>
      <c r="HG55" s="3">
        <v>1693761</v>
      </c>
      <c r="HH55" s="3">
        <v>198332</v>
      </c>
      <c r="HI55" s="3">
        <v>215308</v>
      </c>
      <c r="HJ55" s="3">
        <v>207659</v>
      </c>
      <c r="HK55" s="3">
        <v>2232450</v>
      </c>
      <c r="HL55" s="3">
        <v>1686054</v>
      </c>
      <c r="HM55" s="3">
        <v>207540</v>
      </c>
      <c r="HN55" s="3">
        <v>220475</v>
      </c>
      <c r="HO55" s="3">
        <v>204948</v>
      </c>
      <c r="HP55" s="10">
        <v>2233802</v>
      </c>
      <c r="HQ55" s="3">
        <v>1675484</v>
      </c>
      <c r="HR55" s="3">
        <v>207783</v>
      </c>
      <c r="HS55" s="3">
        <v>228918</v>
      </c>
      <c r="HT55" s="3">
        <v>207499</v>
      </c>
      <c r="HU55" s="394">
        <v>96267</v>
      </c>
      <c r="HV55" s="1">
        <v>0</v>
      </c>
      <c r="HW55" s="1">
        <v>5000</v>
      </c>
      <c r="HX55" s="1">
        <v>38679</v>
      </c>
      <c r="HY55" s="1">
        <v>67553</v>
      </c>
      <c r="HZ55" s="10">
        <v>2254565</v>
      </c>
      <c r="IA55" s="3">
        <v>1673232</v>
      </c>
      <c r="IB55" s="3">
        <v>213115</v>
      </c>
      <c r="IC55" s="3">
        <v>236652</v>
      </c>
      <c r="ID55" s="3">
        <v>223431</v>
      </c>
      <c r="IE55" s="399">
        <v>2267142</v>
      </c>
      <c r="IF55" s="5"/>
      <c r="IG55" s="5"/>
      <c r="IH55" s="5"/>
      <c r="II55" s="5"/>
      <c r="IJ55" s="399">
        <v>2264581</v>
      </c>
      <c r="IK55" s="5">
        <v>1654393</v>
      </c>
      <c r="IL55" s="5">
        <v>222119</v>
      </c>
      <c r="IM55" s="5">
        <v>256913</v>
      </c>
      <c r="IN55" s="5">
        <v>240800</v>
      </c>
      <c r="IO55" s="399">
        <v>2309185</v>
      </c>
      <c r="IP55" s="5">
        <v>1621576</v>
      </c>
      <c r="IQ55" s="5">
        <v>223992</v>
      </c>
      <c r="IR55" s="5">
        <v>277878</v>
      </c>
      <c r="IS55" s="5">
        <v>421979</v>
      </c>
      <c r="IT55" s="1">
        <v>106006</v>
      </c>
      <c r="IU55" s="1">
        <v>0</v>
      </c>
      <c r="IV55" s="1">
        <v>6439</v>
      </c>
      <c r="IW55" s="1">
        <v>191098</v>
      </c>
      <c r="IX55" s="1">
        <v>118436</v>
      </c>
      <c r="IY55" s="380" t="s">
        <v>221</v>
      </c>
      <c r="IZ55" s="188" t="s">
        <v>221</v>
      </c>
      <c r="JA55" s="188" t="s">
        <v>221</v>
      </c>
      <c r="JB55" s="188" t="s">
        <v>221</v>
      </c>
      <c r="JC55" s="635" t="s">
        <v>221</v>
      </c>
      <c r="JD55" s="399">
        <v>495696</v>
      </c>
      <c r="JE55" s="5">
        <v>449820</v>
      </c>
      <c r="JF55" s="5">
        <v>33515</v>
      </c>
      <c r="JG55" s="5">
        <v>17053</v>
      </c>
      <c r="JH55" s="408">
        <v>12361</v>
      </c>
      <c r="JI55" s="399">
        <v>553667</v>
      </c>
      <c r="JJ55" s="5">
        <v>476127</v>
      </c>
      <c r="JK55" s="5">
        <v>46218</v>
      </c>
      <c r="JL55" s="5">
        <v>31013</v>
      </c>
      <c r="JM55" s="408">
        <v>31322</v>
      </c>
      <c r="JN55" s="5">
        <v>562383</v>
      </c>
      <c r="JO55" s="5">
        <v>450603</v>
      </c>
      <c r="JP55" s="5">
        <v>51385</v>
      </c>
      <c r="JQ55" s="5">
        <v>44012</v>
      </c>
      <c r="JR55" s="5">
        <v>37882</v>
      </c>
      <c r="JS55" s="399">
        <v>600131</v>
      </c>
      <c r="JT55" s="5">
        <v>494243</v>
      </c>
      <c r="JU55" s="5">
        <v>62856</v>
      </c>
      <c r="JV55" s="5">
        <v>55507</v>
      </c>
      <c r="JW55" s="408">
        <v>43032</v>
      </c>
      <c r="JX55" s="399">
        <v>607858</v>
      </c>
      <c r="JY55" s="5">
        <v>496880.85499999998</v>
      </c>
      <c r="JZ55" s="5">
        <v>66067.712</v>
      </c>
      <c r="KA55" s="5">
        <v>58584.375</v>
      </c>
      <c r="KB55" s="408">
        <v>44909.433000000019</v>
      </c>
      <c r="KC55" s="5">
        <v>613223</v>
      </c>
      <c r="KD55" s="5">
        <v>463600</v>
      </c>
      <c r="KE55" s="5">
        <v>68027</v>
      </c>
      <c r="KF55" s="5">
        <v>60855</v>
      </c>
      <c r="KG55" s="439">
        <v>44986</v>
      </c>
      <c r="KH55" s="439">
        <v>618421</v>
      </c>
      <c r="KI55" s="439">
        <v>460002</v>
      </c>
      <c r="KJ55" s="439">
        <v>71330</v>
      </c>
      <c r="KK55" s="439">
        <v>66132</v>
      </c>
      <c r="KL55" s="439">
        <v>47806</v>
      </c>
      <c r="KM55" s="439">
        <v>606263</v>
      </c>
      <c r="KN55" s="439">
        <v>448781</v>
      </c>
      <c r="KO55" s="439">
        <v>71791</v>
      </c>
      <c r="KP55" s="439">
        <v>65768</v>
      </c>
      <c r="KQ55" s="439">
        <v>47791</v>
      </c>
      <c r="KR55" s="439">
        <v>605490</v>
      </c>
      <c r="KS55" s="439">
        <v>436206</v>
      </c>
      <c r="KT55" s="439">
        <v>71396</v>
      </c>
      <c r="KU55" s="439">
        <v>72885</v>
      </c>
      <c r="KV55" s="439">
        <v>52832</v>
      </c>
      <c r="KW55" s="630">
        <v>601438</v>
      </c>
      <c r="KX55" s="439">
        <v>435977</v>
      </c>
      <c r="KY55" s="439">
        <v>74220</v>
      </c>
      <c r="KZ55" s="439">
        <v>70403</v>
      </c>
      <c r="LA55" s="439">
        <v>47816</v>
      </c>
      <c r="LB55" s="652">
        <v>613047</v>
      </c>
      <c r="LC55" s="653">
        <v>441173</v>
      </c>
      <c r="LD55" s="653">
        <v>72696</v>
      </c>
      <c r="LE55" s="653">
        <v>75050</v>
      </c>
      <c r="LF55" s="653">
        <v>53526</v>
      </c>
      <c r="LG55" s="652">
        <v>609945</v>
      </c>
      <c r="LH55" s="653"/>
      <c r="LI55" s="439"/>
      <c r="LJ55" s="439"/>
      <c r="LK55" s="439"/>
      <c r="LL55" s="652">
        <v>601672</v>
      </c>
      <c r="LM55" s="653">
        <v>426419</v>
      </c>
      <c r="LN55" s="653">
        <v>76819</v>
      </c>
      <c r="LO55" s="653">
        <v>76961</v>
      </c>
      <c r="LP55" s="653">
        <v>53261</v>
      </c>
      <c r="LQ55" s="652">
        <v>594738</v>
      </c>
      <c r="LR55" s="653">
        <v>402339</v>
      </c>
      <c r="LS55" s="653">
        <v>69510</v>
      </c>
      <c r="LT55" s="653">
        <v>89037</v>
      </c>
      <c r="LU55" s="653">
        <v>109946</v>
      </c>
      <c r="LV55" s="1">
        <v>14261</v>
      </c>
      <c r="LW55" s="1">
        <v>0</v>
      </c>
      <c r="LX55" s="1">
        <v>2295</v>
      </c>
      <c r="LY55" s="1">
        <v>54813</v>
      </c>
      <c r="LZ55" s="1">
        <v>38577</v>
      </c>
      <c r="MA55" s="10">
        <v>145278</v>
      </c>
      <c r="MB55" s="3">
        <v>133873</v>
      </c>
      <c r="MC55" s="3">
        <v>7812</v>
      </c>
      <c r="MD55" s="3">
        <v>4016</v>
      </c>
      <c r="ME55" s="8">
        <v>3593</v>
      </c>
      <c r="MF55" s="10">
        <v>150926</v>
      </c>
      <c r="MG55" s="3">
        <v>132900</v>
      </c>
      <c r="MH55" s="3">
        <v>10071</v>
      </c>
      <c r="MI55" s="3">
        <v>6800</v>
      </c>
      <c r="MJ55" s="8">
        <v>7955</v>
      </c>
      <c r="MK55" s="3">
        <v>169961</v>
      </c>
      <c r="ML55" s="3">
        <v>140204</v>
      </c>
      <c r="MM55" s="3">
        <v>13212</v>
      </c>
      <c r="MN55" s="3">
        <v>11732</v>
      </c>
      <c r="MO55" s="3">
        <v>9934</v>
      </c>
      <c r="MP55" s="10">
        <v>176024</v>
      </c>
      <c r="MQ55" s="3">
        <v>148940</v>
      </c>
      <c r="MR55" s="3">
        <v>15323</v>
      </c>
      <c r="MS55" s="3">
        <v>13016</v>
      </c>
      <c r="MT55" s="3">
        <v>11761</v>
      </c>
      <c r="MU55" s="10"/>
      <c r="MV55" s="3"/>
      <c r="MW55" s="3"/>
      <c r="MX55" s="3"/>
      <c r="MY55" s="8"/>
      <c r="MZ55" s="3">
        <v>178335</v>
      </c>
      <c r="NA55" s="3">
        <v>141318</v>
      </c>
      <c r="NB55" s="3">
        <v>16735</v>
      </c>
      <c r="NC55" s="3">
        <v>13493</v>
      </c>
      <c r="ND55" s="3">
        <v>11964</v>
      </c>
      <c r="NE55" s="3">
        <v>181997</v>
      </c>
      <c r="NF55" s="3">
        <v>142002</v>
      </c>
      <c r="NG55" s="3">
        <v>18121</v>
      </c>
      <c r="NH55" s="3">
        <v>14926</v>
      </c>
      <c r="NI55" s="3">
        <v>12383</v>
      </c>
      <c r="NJ55" s="3">
        <v>184589</v>
      </c>
      <c r="NK55" s="3">
        <v>145105</v>
      </c>
      <c r="NL55" s="3">
        <v>17923</v>
      </c>
      <c r="NM55" s="3">
        <v>15836</v>
      </c>
      <c r="NN55" s="3">
        <v>104512</v>
      </c>
      <c r="NO55" s="3">
        <v>187970</v>
      </c>
      <c r="NP55" s="3">
        <v>142463</v>
      </c>
      <c r="NQ55" s="3">
        <v>18989</v>
      </c>
      <c r="NR55" s="3">
        <v>19257</v>
      </c>
      <c r="NS55" s="3">
        <v>13460</v>
      </c>
      <c r="NT55" s="3">
        <v>186288</v>
      </c>
      <c r="NU55" s="3">
        <v>143782</v>
      </c>
      <c r="NV55" s="3">
        <v>19888</v>
      </c>
      <c r="NW55" s="3">
        <v>16804</v>
      </c>
      <c r="NX55" s="3">
        <v>12603</v>
      </c>
      <c r="NY55" s="10">
        <v>201193</v>
      </c>
      <c r="NZ55" s="3">
        <v>149741</v>
      </c>
      <c r="OA55" s="3">
        <v>20132</v>
      </c>
      <c r="OB55" s="3">
        <v>23241</v>
      </c>
      <c r="OC55" s="8">
        <v>15740</v>
      </c>
      <c r="OD55" s="10">
        <v>195971</v>
      </c>
      <c r="OE55" s="3"/>
      <c r="OF55" s="3"/>
      <c r="OG55" s="3"/>
      <c r="OH55" s="3"/>
      <c r="OI55" s="10">
        <v>190700</v>
      </c>
      <c r="OJ55" s="3">
        <v>137608</v>
      </c>
      <c r="OK55" s="3">
        <v>22393</v>
      </c>
      <c r="OL55" s="3">
        <v>23508</v>
      </c>
      <c r="OM55" s="3">
        <v>16068</v>
      </c>
      <c r="ON55" s="10">
        <v>188070</v>
      </c>
      <c r="OO55" s="3">
        <v>133076</v>
      </c>
      <c r="OP55" s="3">
        <v>19424</v>
      </c>
      <c r="OQ55" s="3">
        <v>24991</v>
      </c>
      <c r="OR55" s="3">
        <v>10775</v>
      </c>
      <c r="OS55" s="1">
        <v>4534</v>
      </c>
      <c r="OT55" s="1">
        <v>0</v>
      </c>
      <c r="OU55" s="1">
        <v>370</v>
      </c>
      <c r="OV55" s="1">
        <v>15941</v>
      </c>
      <c r="OW55" s="1">
        <v>10775</v>
      </c>
      <c r="OX55" s="402">
        <f t="shared" ref="OX55:OX64" si="653">MA55+RU55+AAY55</f>
        <v>579256</v>
      </c>
      <c r="OY55" s="382">
        <f t="shared" ref="OY55:OY64" si="654">MB55+RV55+AAZ55</f>
        <v>469865</v>
      </c>
      <c r="OZ55" s="382">
        <f t="shared" ref="OZ55:OZ64" si="655">MC55+RW55+ABA55</f>
        <v>21600</v>
      </c>
      <c r="PA55" s="382">
        <f t="shared" ref="PA55:PA64" si="656">MD55+RX55+ABB55</f>
        <v>81530</v>
      </c>
      <c r="PB55" s="382">
        <f t="shared" ref="PB55:PB64" si="657">ME55+RY55+ABC55</f>
        <v>40868</v>
      </c>
      <c r="PC55" s="402">
        <f t="shared" ref="PC55:PC64" si="658">MF55+RZ55+ABD55</f>
        <v>871920</v>
      </c>
      <c r="PD55" s="382">
        <f t="shared" ref="PD55:PD64" si="659">MG55+SA55+ABE55</f>
        <v>785763</v>
      </c>
      <c r="PE55" s="382">
        <f t="shared" ref="PE55:PE64" si="660">MH55+SB55+ABF55</f>
        <v>34197</v>
      </c>
      <c r="PF55" s="382">
        <f t="shared" ref="PF55:PF64" si="661">MI55+SC55+ABG55</f>
        <v>25226</v>
      </c>
      <c r="PG55" s="382">
        <f t="shared" ref="PG55:PG64" si="662">MJ55+SD55+ABH55</f>
        <v>51960</v>
      </c>
      <c r="PH55" s="10">
        <v>845786</v>
      </c>
      <c r="PI55" s="3">
        <v>729112</v>
      </c>
      <c r="PJ55" s="3">
        <v>45469</v>
      </c>
      <c r="PK55" s="3">
        <v>41399</v>
      </c>
      <c r="PL55" s="3">
        <v>71205</v>
      </c>
      <c r="PM55" s="3">
        <v>974870</v>
      </c>
      <c r="PN55" s="3">
        <v>828844</v>
      </c>
      <c r="PO55" s="3">
        <v>46126</v>
      </c>
      <c r="PP55" s="3">
        <v>41701</v>
      </c>
      <c r="PQ55" s="3">
        <v>73711</v>
      </c>
      <c r="PR55" s="399"/>
      <c r="PS55" s="5"/>
      <c r="PT55" s="5"/>
      <c r="PU55" s="5"/>
      <c r="PV55" s="5"/>
      <c r="PW55" s="5">
        <v>1066065</v>
      </c>
      <c r="PX55" s="5">
        <v>882887</v>
      </c>
      <c r="PY55" s="5">
        <v>57077</v>
      </c>
      <c r="PZ55" s="5">
        <v>55279</v>
      </c>
      <c r="QA55" s="408">
        <v>89669</v>
      </c>
      <c r="QB55" s="5">
        <v>1087305</v>
      </c>
      <c r="QC55" s="5">
        <v>891889</v>
      </c>
      <c r="QD55" s="5">
        <v>61028</v>
      </c>
      <c r="QE55" s="5">
        <v>58752</v>
      </c>
      <c r="QF55" s="5">
        <v>95179</v>
      </c>
      <c r="QG55" s="5">
        <v>1124703</v>
      </c>
      <c r="QH55" s="5">
        <v>908857</v>
      </c>
      <c r="QI55" s="5">
        <v>67224</v>
      </c>
      <c r="QJ55" s="5">
        <v>66009</v>
      </c>
      <c r="QK55" s="5">
        <v>104512</v>
      </c>
      <c r="QL55" s="399">
        <v>1136014</v>
      </c>
      <c r="QM55" s="5">
        <v>911499</v>
      </c>
      <c r="QN55" s="5">
        <v>72256</v>
      </c>
      <c r="QO55" s="5">
        <v>69188</v>
      </c>
      <c r="QP55" s="5">
        <v>104206</v>
      </c>
      <c r="QQ55" s="399">
        <v>1139876</v>
      </c>
      <c r="QR55" s="5">
        <v>913796</v>
      </c>
      <c r="QS55" s="5">
        <v>66965</v>
      </c>
      <c r="QT55" s="5">
        <v>73465</v>
      </c>
      <c r="QU55" s="5">
        <v>109977</v>
      </c>
      <c r="QV55" s="399">
        <v>1165800</v>
      </c>
      <c r="QW55" s="5">
        <v>927257</v>
      </c>
      <c r="QX55" s="5">
        <v>69003</v>
      </c>
      <c r="QY55" s="5">
        <v>76223</v>
      </c>
      <c r="QZ55" s="5">
        <v>114624</v>
      </c>
      <c r="RA55" s="399">
        <v>1183201</v>
      </c>
      <c r="RB55" s="5"/>
      <c r="RC55" s="5"/>
      <c r="RD55" s="5"/>
      <c r="RE55" s="5"/>
      <c r="RF55" s="5">
        <v>1185248</v>
      </c>
      <c r="RG55" s="5">
        <v>922495</v>
      </c>
      <c r="RH55" s="5">
        <v>78302</v>
      </c>
      <c r="RI55" s="5">
        <v>85462</v>
      </c>
      <c r="RJ55" s="5">
        <v>127311</v>
      </c>
      <c r="RK55" s="5">
        <v>1255741</v>
      </c>
      <c r="RL55" s="5">
        <v>941260</v>
      </c>
      <c r="RM55" s="5">
        <v>85129</v>
      </c>
      <c r="RN55" s="5">
        <v>102516</v>
      </c>
      <c r="RO55" s="5">
        <v>210648</v>
      </c>
      <c r="RP55" s="1">
        <v>82223</v>
      </c>
      <c r="RQ55" s="1">
        <v>0</v>
      </c>
      <c r="RR55" s="1">
        <v>2826</v>
      </c>
      <c r="RS55" s="1">
        <v>86514</v>
      </c>
      <c r="RT55" s="1">
        <v>39085</v>
      </c>
      <c r="RU55" s="10">
        <v>356289</v>
      </c>
      <c r="RV55" s="3">
        <v>335992</v>
      </c>
      <c r="RW55" s="3">
        <v>11332</v>
      </c>
      <c r="RX55" s="3">
        <v>6941</v>
      </c>
      <c r="RY55" s="3">
        <v>8965</v>
      </c>
      <c r="RZ55" s="10">
        <v>416751</v>
      </c>
      <c r="SA55" s="3">
        <v>378681</v>
      </c>
      <c r="SB55" s="3">
        <v>14716</v>
      </c>
      <c r="SC55" s="3">
        <v>10730</v>
      </c>
      <c r="SD55" s="3">
        <v>23354</v>
      </c>
      <c r="SE55" s="10">
        <v>456240</v>
      </c>
      <c r="SF55" s="3">
        <v>389743</v>
      </c>
      <c r="SG55" s="3">
        <v>21460</v>
      </c>
      <c r="SH55" s="3">
        <v>18505</v>
      </c>
      <c r="SI55" s="3"/>
      <c r="SJ55" s="10">
        <v>487626</v>
      </c>
      <c r="SK55" s="3">
        <v>422154</v>
      </c>
      <c r="SL55" s="3">
        <v>24044</v>
      </c>
      <c r="SM55" s="3">
        <v>22449</v>
      </c>
      <c r="SN55" s="3">
        <v>41428</v>
      </c>
      <c r="SO55" s="10">
        <v>491149.26399999997</v>
      </c>
      <c r="SP55" s="3">
        <v>425615.07500000001</v>
      </c>
      <c r="SQ55" s="3">
        <v>24340.735999999997</v>
      </c>
      <c r="SR55" s="3">
        <v>23173.375000000004</v>
      </c>
      <c r="SS55" s="3">
        <v>41193.452999999958</v>
      </c>
      <c r="ST55" s="10">
        <v>497816</v>
      </c>
      <c r="SU55" s="3">
        <v>414836</v>
      </c>
      <c r="SV55" s="3">
        <v>24880</v>
      </c>
      <c r="SW55" s="3">
        <v>25969</v>
      </c>
      <c r="SX55" s="3">
        <v>41897</v>
      </c>
      <c r="SY55" s="3">
        <v>503028</v>
      </c>
      <c r="SZ55" s="3">
        <v>417234</v>
      </c>
      <c r="TA55" s="3">
        <v>25796</v>
      </c>
      <c r="TB55" s="3">
        <v>27213</v>
      </c>
      <c r="TC55" s="3">
        <v>42325</v>
      </c>
      <c r="TD55" s="145">
        <v>527472</v>
      </c>
      <c r="TE55" s="3">
        <v>426798</v>
      </c>
      <c r="TF55" s="3">
        <v>30669</v>
      </c>
      <c r="TG55" s="3">
        <v>31631</v>
      </c>
      <c r="TH55" s="3">
        <v>48349</v>
      </c>
      <c r="TI55" s="3">
        <v>535933</v>
      </c>
      <c r="TJ55" s="3">
        <v>433914</v>
      </c>
      <c r="TK55" s="3">
        <v>33535</v>
      </c>
      <c r="TL55" s="3">
        <v>29382</v>
      </c>
      <c r="TM55" s="3">
        <v>48191</v>
      </c>
      <c r="TN55" s="3">
        <v>541369</v>
      </c>
      <c r="TO55" s="3">
        <v>434740</v>
      </c>
      <c r="TP55" s="3">
        <v>30014</v>
      </c>
      <c r="TQ55" s="3">
        <v>37224</v>
      </c>
      <c r="TR55" s="3">
        <v>52222</v>
      </c>
      <c r="TS55" s="10">
        <v>533791</v>
      </c>
      <c r="TT55" s="3">
        <v>431716</v>
      </c>
      <c r="TU55" s="3">
        <v>29238</v>
      </c>
      <c r="TV55" s="3">
        <v>31644</v>
      </c>
      <c r="TW55" s="3">
        <v>50126</v>
      </c>
      <c r="TX55" s="10">
        <v>544028</v>
      </c>
      <c r="TY55" s="3"/>
      <c r="TZ55" s="3"/>
      <c r="UA55" s="3"/>
      <c r="UB55" s="3"/>
      <c r="UC55" s="10">
        <v>549166</v>
      </c>
      <c r="UD55" s="3">
        <v>432644</v>
      </c>
      <c r="UE55" s="3">
        <v>30966</v>
      </c>
      <c r="UF55" s="3">
        <v>39349</v>
      </c>
      <c r="UG55" s="3">
        <v>59172</v>
      </c>
      <c r="UH55" s="10">
        <v>587690</v>
      </c>
      <c r="UI55" s="3">
        <v>444806</v>
      </c>
      <c r="UJ55" s="3">
        <v>37619</v>
      </c>
      <c r="UK55" s="3">
        <v>44913</v>
      </c>
      <c r="UL55" s="3">
        <v>96603</v>
      </c>
      <c r="UM55" s="1">
        <v>37939</v>
      </c>
      <c r="UN55" s="1">
        <v>0</v>
      </c>
      <c r="UO55" s="1">
        <v>1206</v>
      </c>
      <c r="UP55" s="1">
        <v>41191</v>
      </c>
      <c r="UQ55" s="1">
        <v>28310</v>
      </c>
      <c r="UR55" s="588">
        <f t="shared" ref="UR55:UR64" si="663">+US55+UT55</f>
        <v>138714</v>
      </c>
      <c r="US55" s="40">
        <v>86783</v>
      </c>
      <c r="UT55" s="40">
        <v>51931</v>
      </c>
      <c r="UU55" s="588">
        <f t="shared" ref="UU55:UU64" si="664">+UV55+UW55</f>
        <v>1821</v>
      </c>
      <c r="UV55" s="40">
        <v>1025</v>
      </c>
      <c r="UW55" s="40">
        <v>796</v>
      </c>
      <c r="UX55" s="10">
        <v>68279</v>
      </c>
      <c r="UY55" s="588">
        <f t="shared" ref="UY55:UY64" si="665">+VB55+VE55+VH55</f>
        <v>42178</v>
      </c>
      <c r="UZ55" s="588">
        <f t="shared" ref="UZ55:UZ64" si="666">+VC55+VF55+VI55</f>
        <v>26101</v>
      </c>
      <c r="VA55" s="588">
        <f t="shared" ref="VA55:VA64" si="667">+VB55+VC55</f>
        <v>67318</v>
      </c>
      <c r="VB55" s="40">
        <v>41603</v>
      </c>
      <c r="VC55" s="40">
        <v>25715</v>
      </c>
      <c r="VD55" s="588">
        <f t="shared" ref="VD55:VD64" si="668">+VE55+VF55</f>
        <v>404</v>
      </c>
      <c r="VE55" s="40">
        <v>188</v>
      </c>
      <c r="VF55" s="40">
        <v>216</v>
      </c>
      <c r="VG55" s="588">
        <f t="shared" ref="VG55:VG64" si="669">+VH55+VI55</f>
        <v>557</v>
      </c>
      <c r="VH55" s="40">
        <v>387</v>
      </c>
      <c r="VI55" s="40">
        <v>170</v>
      </c>
      <c r="VJ55" s="10">
        <v>392564</v>
      </c>
      <c r="VK55" s="588">
        <f t="shared" ref="VK55:VK64" si="670">+VN55+VS55+VV55+VY55</f>
        <v>230687</v>
      </c>
      <c r="VL55" s="588">
        <f t="shared" ref="VL55:VL64" si="671">+VO55+VT55+VW55+VZ55</f>
        <v>161877</v>
      </c>
      <c r="VM55" s="240">
        <f t="shared" ref="VM55:VM64" si="672">+VN55+VO55</f>
        <v>372864</v>
      </c>
      <c r="VN55" s="40">
        <v>219858</v>
      </c>
      <c r="VO55" s="40">
        <v>153006</v>
      </c>
      <c r="VP55" s="40">
        <v>10829</v>
      </c>
      <c r="VQ55" s="40">
        <v>8871</v>
      </c>
      <c r="VR55" s="240">
        <f t="shared" ref="VR55:VR64" si="673">+VS55+VT55</f>
        <v>8908</v>
      </c>
      <c r="VS55" s="40">
        <v>4563</v>
      </c>
      <c r="VT55" s="40">
        <v>4345</v>
      </c>
      <c r="VU55" s="240">
        <f t="shared" ref="VU55:VU64" si="674">+VV55+VW55</f>
        <v>4644</v>
      </c>
      <c r="VV55" s="40">
        <v>2679</v>
      </c>
      <c r="VW55" s="40">
        <v>1965</v>
      </c>
      <c r="VX55" s="233">
        <f t="shared" ref="VX55:VX64" si="675">+VY55+VZ55</f>
        <v>6148</v>
      </c>
      <c r="VY55" s="233">
        <f t="shared" ref="VY55:VY64" si="676">+WB55+WE55</f>
        <v>3587</v>
      </c>
      <c r="VZ55" s="233">
        <f t="shared" ref="VZ55:VZ64" si="677">+WC55+WF55</f>
        <v>2561</v>
      </c>
      <c r="WA55" s="234">
        <f t="shared" ref="WA55:WA64" si="678">+WB55+WC55</f>
        <v>94</v>
      </c>
      <c r="WB55" s="234">
        <f t="shared" ref="WB55:WB64" si="679">+VP55-VS55-VV55-WE55</f>
        <v>56</v>
      </c>
      <c r="WC55" s="234">
        <f t="shared" ref="WC55:WC64" si="680">+VQ55-VT55-VW55-WF55</f>
        <v>38</v>
      </c>
      <c r="WD55" s="40">
        <v>6054</v>
      </c>
      <c r="WE55" s="40">
        <v>3531</v>
      </c>
      <c r="WF55" s="40">
        <v>2523</v>
      </c>
      <c r="WG55" s="12">
        <f t="shared" ref="WG55:WG64" si="681">+RU55+AAY55</f>
        <v>433978</v>
      </c>
      <c r="WH55" s="588">
        <f t="shared" ref="WH55:WH64" si="682">+WL55+WR55+WU55+WX55</f>
        <v>322302</v>
      </c>
      <c r="WI55" s="588">
        <f t="shared" ref="WI55:WI64" si="683">+WM55+WS55+WV55+WY55</f>
        <v>275391</v>
      </c>
      <c r="WJ55" s="11">
        <f t="shared" ref="WJ55:WJ64" si="684">+RV55+AAZ55</f>
        <v>335992</v>
      </c>
      <c r="WK55" s="90">
        <f t="shared" ref="WK55:WK64" si="685">+WL55+WM55</f>
        <v>552279</v>
      </c>
      <c r="WL55" s="40">
        <v>299201</v>
      </c>
      <c r="WM55" s="40">
        <v>253078</v>
      </c>
      <c r="WN55" s="40">
        <v>23101</v>
      </c>
      <c r="WO55" s="40">
        <v>22313</v>
      </c>
      <c r="WP55" s="11">
        <f t="shared" ref="WP55:WP64" si="686">+RW55+ABA55</f>
        <v>13788</v>
      </c>
      <c r="WQ55" s="90">
        <f t="shared" ref="WQ55:WQ64" si="687">+WR55+WS55</f>
        <v>18300</v>
      </c>
      <c r="WR55" s="40">
        <v>8517</v>
      </c>
      <c r="WS55" s="40">
        <v>9783</v>
      </c>
      <c r="WT55" s="11">
        <f t="shared" ref="WT55:WT64" si="688">+WU55+WV55</f>
        <v>12121</v>
      </c>
      <c r="WU55" s="40">
        <v>6216</v>
      </c>
      <c r="WV55" s="40">
        <v>5905</v>
      </c>
      <c r="WW55" s="11">
        <f t="shared" ref="WW55:WW64" si="689">+RY55+ABC55</f>
        <v>37275</v>
      </c>
      <c r="WX55" s="257">
        <f t="shared" ref="WX55:WX64" si="690">+XA55+XD55</f>
        <v>8368</v>
      </c>
      <c r="WY55" s="235">
        <f t="shared" ref="WY55:WY64" si="691">+XB55+XE55</f>
        <v>6625</v>
      </c>
      <c r="WZ55" s="236">
        <f t="shared" ref="WZ55:WZ64" si="692">+XA55+XB55</f>
        <v>247</v>
      </c>
      <c r="XA55" s="236">
        <f t="shared" ref="XA55:XA64" si="693">+WN55-WR55-WU55-XD55</f>
        <v>170</v>
      </c>
      <c r="XB55" s="236">
        <f t="shared" ref="XB55:XB64" si="694">+WO55-WS55-WV55-XE55</f>
        <v>77</v>
      </c>
      <c r="XC55" s="589">
        <f t="shared" ref="XC55:XC64" si="695">+XD55+XE55</f>
        <v>14746</v>
      </c>
      <c r="XD55" s="589">
        <f t="shared" ref="XD55:XD64" si="696">+XF55+XH55</f>
        <v>8198</v>
      </c>
      <c r="XE55" s="589">
        <f t="shared" ref="XE55:XE64" si="697">+XG55+XI55</f>
        <v>6548</v>
      </c>
      <c r="XF55" s="40">
        <v>265</v>
      </c>
      <c r="XG55" s="40">
        <v>266</v>
      </c>
      <c r="XH55" s="40">
        <v>7933</v>
      </c>
      <c r="XI55" s="40">
        <v>6282</v>
      </c>
      <c r="XJ55" s="590">
        <v>720994</v>
      </c>
      <c r="XK55" s="40">
        <v>361679</v>
      </c>
      <c r="XL55" s="40">
        <v>359315</v>
      </c>
      <c r="XM55" s="5">
        <f t="shared" ref="XM55:XM64" si="698">+SA55+ABE55</f>
        <v>652863</v>
      </c>
      <c r="XN55" s="5">
        <v>328763</v>
      </c>
      <c r="XO55" s="5">
        <v>324100</v>
      </c>
      <c r="XP55" s="84">
        <f t="shared" ref="XP55:XP64" si="699">+XQ55+XR55</f>
        <v>640851</v>
      </c>
      <c r="XQ55" s="40">
        <v>323247</v>
      </c>
      <c r="XR55" s="40">
        <v>317604</v>
      </c>
      <c r="XS55" s="5">
        <f t="shared" ref="XS55:XS64" si="700">+XT55+XU55</f>
        <v>24126</v>
      </c>
      <c r="XT55" s="40">
        <v>10414</v>
      </c>
      <c r="XU55" s="40">
        <v>13712</v>
      </c>
      <c r="XV55" s="5">
        <f t="shared" ref="XV55:XV64" si="701">+XW55+XX55</f>
        <v>18426</v>
      </c>
      <c r="XW55" s="40">
        <v>8319</v>
      </c>
      <c r="XX55" s="40">
        <v>10107</v>
      </c>
      <c r="XY55" s="84">
        <f t="shared" ref="XY55:XY64" si="702">+XJ55-XM55-XS55</f>
        <v>44005</v>
      </c>
      <c r="XZ55" s="84">
        <f t="shared" ref="XZ55:XZ64" si="703">+XK55-XN55-XT55</f>
        <v>22502</v>
      </c>
      <c r="YA55" s="84">
        <f t="shared" ref="YA55:YA64" si="704">+XL55-XO55-XU55</f>
        <v>21503</v>
      </c>
      <c r="YB55" s="587">
        <v>804909</v>
      </c>
      <c r="YC55" s="40">
        <v>688640</v>
      </c>
      <c r="YD55" s="40">
        <v>32914</v>
      </c>
      <c r="YE55" s="40">
        <v>29969</v>
      </c>
      <c r="YF55" s="5">
        <v>63777</v>
      </c>
      <c r="YG55" s="590">
        <v>818709</v>
      </c>
      <c r="YH55" s="3">
        <v>716156</v>
      </c>
      <c r="YI55" s="3">
        <v>34646</v>
      </c>
      <c r="YJ55" s="3">
        <v>67907</v>
      </c>
      <c r="YK55" s="3">
        <v>32374</v>
      </c>
      <c r="YL55" s="590">
        <v>834589</v>
      </c>
      <c r="YM55" s="3">
        <v>728265</v>
      </c>
      <c r="YN55" s="3">
        <v>36514</v>
      </c>
      <c r="YO55" s="3">
        <v>69810</v>
      </c>
      <c r="YP55" s="3">
        <v>33312</v>
      </c>
      <c r="YQ55" s="10">
        <v>860375</v>
      </c>
      <c r="YR55" s="3">
        <v>747268</v>
      </c>
      <c r="YS55" s="3">
        <v>37815</v>
      </c>
      <c r="YT55" s="3">
        <v>75292</v>
      </c>
      <c r="YU55" s="3">
        <v>36219</v>
      </c>
      <c r="YV55" s="10">
        <v>870452.65599999996</v>
      </c>
      <c r="YW55" s="3">
        <v>756209.11</v>
      </c>
      <c r="YX55" s="3">
        <v>38684.383999999998</v>
      </c>
      <c r="YY55" s="3">
        <v>37233.625000000007</v>
      </c>
      <c r="YZ55" s="3">
        <v>75559.161999999982</v>
      </c>
      <c r="ZA55" s="3">
        <v>887730</v>
      </c>
      <c r="ZB55" s="3">
        <v>741569</v>
      </c>
      <c r="ZC55" s="3">
        <v>40342</v>
      </c>
      <c r="ZD55" s="3">
        <v>41786</v>
      </c>
      <c r="ZE55" s="1">
        <v>77705</v>
      </c>
      <c r="ZF55" s="1">
        <v>905308</v>
      </c>
      <c r="ZG55" s="1">
        <v>749887</v>
      </c>
      <c r="ZH55" s="1">
        <v>42907</v>
      </c>
      <c r="ZI55" s="1">
        <v>43826</v>
      </c>
      <c r="ZJ55" s="1">
        <v>82796</v>
      </c>
      <c r="ZK55" s="1">
        <v>940114</v>
      </c>
      <c r="ZL55" s="1">
        <v>763752</v>
      </c>
      <c r="ZM55" s="1">
        <v>49301</v>
      </c>
      <c r="ZN55" s="1">
        <v>50173</v>
      </c>
      <c r="ZO55" s="1">
        <v>93074</v>
      </c>
      <c r="ZP55" s="1">
        <v>948044</v>
      </c>
      <c r="ZQ55" s="1">
        <v>769036</v>
      </c>
      <c r="ZR55" s="1">
        <v>53267</v>
      </c>
      <c r="ZS55" s="1">
        <v>49931</v>
      </c>
      <c r="ZT55" s="1">
        <v>90746</v>
      </c>
      <c r="ZU55" s="1">
        <v>953588</v>
      </c>
      <c r="ZV55" s="1">
        <v>770014</v>
      </c>
      <c r="ZW55" s="1">
        <v>47077</v>
      </c>
      <c r="ZX55" s="1">
        <v>56661</v>
      </c>
      <c r="ZY55" s="1">
        <v>97374</v>
      </c>
      <c r="ZZ55" s="394">
        <v>69801</v>
      </c>
      <c r="AAA55" s="1">
        <v>0</v>
      </c>
      <c r="AAB55" s="1">
        <v>1038</v>
      </c>
      <c r="AAC55" s="1">
        <v>13618</v>
      </c>
      <c r="AAD55" s="1">
        <v>12917</v>
      </c>
      <c r="AAE55" s="50">
        <v>964607</v>
      </c>
      <c r="AAF55" s="1">
        <v>777516</v>
      </c>
      <c r="AAG55" s="1">
        <v>48871</v>
      </c>
      <c r="AAH55" s="1">
        <v>52982</v>
      </c>
      <c r="AAI55" s="1">
        <v>98884</v>
      </c>
      <c r="AAJ55" s="50">
        <v>987230</v>
      </c>
      <c r="AAK55" s="1"/>
      <c r="AAL55" s="1"/>
      <c r="AAM55" s="1"/>
      <c r="AAN55" s="1"/>
      <c r="AAO55" s="68">
        <v>994548</v>
      </c>
      <c r="AAP55" s="37">
        <v>784887</v>
      </c>
      <c r="AAQ55" s="37">
        <v>55909</v>
      </c>
      <c r="AAR55" s="37">
        <v>61954</v>
      </c>
      <c r="AAS55" s="37">
        <v>111243</v>
      </c>
      <c r="AAT55" s="68">
        <v>1067671</v>
      </c>
      <c r="AAU55" s="37">
        <v>808184</v>
      </c>
      <c r="AAV55" s="37">
        <v>65705</v>
      </c>
      <c r="AAW55" s="37">
        <v>77525</v>
      </c>
      <c r="AAX55" s="37">
        <v>179028</v>
      </c>
      <c r="AAY55" s="1">
        <v>77689</v>
      </c>
      <c r="AAZ55" s="1">
        <v>0</v>
      </c>
      <c r="ABA55" s="1">
        <v>2456</v>
      </c>
      <c r="ABB55" s="1">
        <v>70573</v>
      </c>
      <c r="ABC55" s="1">
        <v>28310</v>
      </c>
      <c r="ABD55" s="10">
        <v>304243</v>
      </c>
      <c r="ABE55" s="3">
        <v>274182</v>
      </c>
      <c r="ABF55" s="3">
        <v>9410</v>
      </c>
      <c r="ABG55" s="3">
        <v>7696</v>
      </c>
      <c r="ABH55" s="3">
        <v>20651</v>
      </c>
      <c r="ABI55" s="10">
        <v>348669</v>
      </c>
      <c r="ABJ55" s="3">
        <v>298897</v>
      </c>
      <c r="ABK55" s="3">
        <v>11454</v>
      </c>
      <c r="ABL55" s="3">
        <v>11464</v>
      </c>
      <c r="ABM55" s="3">
        <v>30578</v>
      </c>
      <c r="ABN55" s="10">
        <v>372749</v>
      </c>
      <c r="ABO55" s="3">
        <v>325114</v>
      </c>
      <c r="ABP55" s="3">
        <v>13771</v>
      </c>
      <c r="ABQ55" s="3">
        <v>13770</v>
      </c>
      <c r="ABR55" s="3">
        <v>33864</v>
      </c>
      <c r="ABS55" s="10">
        <v>379303.39199999999</v>
      </c>
      <c r="ABT55" s="3">
        <v>330594.03499999997</v>
      </c>
      <c r="ABU55" s="3">
        <v>14343.648000000001</v>
      </c>
      <c r="ABV55" s="3">
        <v>14060.250000000002</v>
      </c>
      <c r="ABW55" s="8">
        <v>34365.709000000017</v>
      </c>
      <c r="ABX55" s="1">
        <v>389914</v>
      </c>
      <c r="ABY55" s="1">
        <v>326733</v>
      </c>
      <c r="ABZ55" s="1">
        <v>15462</v>
      </c>
      <c r="ACA55" s="1">
        <v>15817</v>
      </c>
      <c r="ACB55" s="49">
        <v>35808</v>
      </c>
      <c r="ACC55" s="1">
        <v>402280</v>
      </c>
      <c r="ACD55" s="1">
        <v>332653</v>
      </c>
      <c r="ACE55" s="1">
        <v>17111</v>
      </c>
      <c r="ACF55" s="1">
        <v>16613</v>
      </c>
      <c r="ACG55" s="1">
        <v>40471</v>
      </c>
      <c r="ACH55" s="1">
        <v>412642</v>
      </c>
      <c r="ACI55" s="1">
        <v>336954</v>
      </c>
      <c r="ACJ55" s="1">
        <v>18632</v>
      </c>
      <c r="ACK55" s="1">
        <v>18542</v>
      </c>
      <c r="ACL55" s="1">
        <v>44725</v>
      </c>
      <c r="ACM55" s="1">
        <v>412111</v>
      </c>
      <c r="ACN55" s="1">
        <v>335122</v>
      </c>
      <c r="ACO55" s="1">
        <v>19732</v>
      </c>
      <c r="ACP55" s="1">
        <v>20549</v>
      </c>
      <c r="ACQ55" s="1">
        <v>42555</v>
      </c>
      <c r="ACR55" s="1">
        <v>412219</v>
      </c>
      <c r="ACS55" s="1">
        <v>335274</v>
      </c>
      <c r="ACT55" s="1">
        <v>17063</v>
      </c>
      <c r="ACU55" s="1">
        <v>19437</v>
      </c>
      <c r="ACV55" s="1">
        <v>45152</v>
      </c>
      <c r="ADB55" s="50">
        <v>430816</v>
      </c>
      <c r="ADC55" s="1">
        <v>345800</v>
      </c>
      <c r="ADD55" s="1">
        <v>19633</v>
      </c>
      <c r="ADE55" s="1">
        <v>21338</v>
      </c>
      <c r="ADF55" s="1">
        <v>48758</v>
      </c>
      <c r="ADG55" s="50">
        <v>443202</v>
      </c>
      <c r="ADL55" s="50">
        <v>445382</v>
      </c>
      <c r="ADM55" s="1">
        <v>352243</v>
      </c>
      <c r="ADN55" s="1">
        <v>24943</v>
      </c>
      <c r="ADO55" s="1">
        <v>22605</v>
      </c>
      <c r="ADP55" s="1">
        <v>52071</v>
      </c>
      <c r="ADQ55" s="50">
        <v>479981</v>
      </c>
      <c r="ADR55" s="1">
        <v>363378</v>
      </c>
      <c r="ADS55" s="1">
        <v>28086</v>
      </c>
      <c r="ADT55" s="1">
        <v>32612</v>
      </c>
      <c r="ADU55" s="1">
        <v>82425</v>
      </c>
      <c r="ADV55" s="1">
        <v>39750</v>
      </c>
      <c r="ADW55" s="1">
        <v>0</v>
      </c>
      <c r="ADX55" s="1">
        <v>1250</v>
      </c>
      <c r="ADY55" s="1">
        <v>29382</v>
      </c>
      <c r="ADZ55" s="1">
        <v>12043</v>
      </c>
    </row>
    <row r="56" spans="1:806" ht="14.1">
      <c r="A56" s="38" t="s">
        <v>53</v>
      </c>
      <c r="B56" s="174" t="s">
        <v>221</v>
      </c>
      <c r="C56" s="175" t="s">
        <v>221</v>
      </c>
      <c r="D56" s="175" t="s">
        <v>221</v>
      </c>
      <c r="E56" s="175" t="s">
        <v>221</v>
      </c>
      <c r="F56" s="176" t="s">
        <v>221</v>
      </c>
      <c r="G56" s="3">
        <v>70153</v>
      </c>
      <c r="H56" s="3">
        <v>69001</v>
      </c>
      <c r="I56" s="3">
        <v>67</v>
      </c>
      <c r="J56" s="3">
        <v>175</v>
      </c>
      <c r="K56" s="8">
        <v>1085</v>
      </c>
      <c r="L56" s="3">
        <v>47183</v>
      </c>
      <c r="M56" s="3">
        <v>45360</v>
      </c>
      <c r="N56" s="3">
        <v>140</v>
      </c>
      <c r="O56" s="3">
        <v>470</v>
      </c>
      <c r="P56" s="3">
        <v>1683</v>
      </c>
      <c r="Q56" s="3">
        <v>38987</v>
      </c>
      <c r="R56" s="3">
        <v>35674</v>
      </c>
      <c r="S56" s="3">
        <v>498</v>
      </c>
      <c r="T56" s="3">
        <v>728</v>
      </c>
      <c r="U56" s="8">
        <v>2453</v>
      </c>
      <c r="V56" s="399">
        <v>34125</v>
      </c>
      <c r="W56" s="5">
        <v>31472</v>
      </c>
      <c r="X56" s="5">
        <v>530</v>
      </c>
      <c r="Y56" s="5">
        <v>516</v>
      </c>
      <c r="Z56" s="5">
        <v>2123</v>
      </c>
      <c r="AA56" s="5">
        <v>31509</v>
      </c>
      <c r="AB56" s="5">
        <v>28233</v>
      </c>
      <c r="AC56" s="5">
        <v>797</v>
      </c>
      <c r="AD56" s="5">
        <v>580</v>
      </c>
      <c r="AE56" s="5">
        <v>2015</v>
      </c>
      <c r="AF56" s="399">
        <v>29613</v>
      </c>
      <c r="AG56" s="5">
        <v>26235</v>
      </c>
      <c r="AH56" s="5">
        <v>797</v>
      </c>
      <c r="AI56" s="5">
        <v>648</v>
      </c>
      <c r="AJ56" s="490">
        <v>2103</v>
      </c>
      <c r="AK56" s="490">
        <v>29663</v>
      </c>
      <c r="AL56" s="490">
        <v>26795</v>
      </c>
      <c r="AM56" s="685">
        <v>637</v>
      </c>
      <c r="AN56" s="685">
        <v>518</v>
      </c>
      <c r="AO56" s="490">
        <v>1758</v>
      </c>
      <c r="AP56" s="394">
        <v>27176</v>
      </c>
      <c r="AQ56" s="394">
        <v>24375</v>
      </c>
      <c r="AR56" s="394">
        <v>699</v>
      </c>
      <c r="AS56" s="394">
        <v>442</v>
      </c>
      <c r="AT56" s="394">
        <v>1785</v>
      </c>
      <c r="AU56" s="393">
        <v>25640</v>
      </c>
      <c r="AV56" s="394">
        <v>22798</v>
      </c>
      <c r="AW56" s="394">
        <v>846</v>
      </c>
      <c r="AX56" s="394">
        <v>664</v>
      </c>
      <c r="AY56" s="394">
        <v>1421</v>
      </c>
      <c r="AZ56" s="1">
        <v>905</v>
      </c>
      <c r="BA56" s="1">
        <v>0</v>
      </c>
      <c r="BB56" s="1">
        <v>152</v>
      </c>
      <c r="BC56" s="1">
        <v>364</v>
      </c>
      <c r="BE56" s="393">
        <v>25574</v>
      </c>
      <c r="BF56" s="394">
        <v>22888</v>
      </c>
      <c r="BG56" s="394">
        <v>272</v>
      </c>
      <c r="BH56" s="394">
        <v>716</v>
      </c>
      <c r="BI56" s="394">
        <v>1696</v>
      </c>
      <c r="BJ56" s="393">
        <v>25361</v>
      </c>
      <c r="BK56" s="394"/>
      <c r="BL56" s="394"/>
      <c r="BM56" s="394"/>
      <c r="BN56" s="394"/>
      <c r="BO56" s="393">
        <v>20783</v>
      </c>
      <c r="BP56" s="394">
        <v>17785</v>
      </c>
      <c r="BQ56" s="394">
        <v>918</v>
      </c>
      <c r="BR56" s="394">
        <v>231</v>
      </c>
      <c r="BS56" s="394">
        <v>1886</v>
      </c>
      <c r="BT56" s="393">
        <v>19053</v>
      </c>
      <c r="BU56" s="394">
        <v>15735</v>
      </c>
      <c r="BV56" s="394">
        <v>643</v>
      </c>
      <c r="BW56" s="394">
        <v>1210</v>
      </c>
      <c r="BX56" s="394">
        <v>403</v>
      </c>
      <c r="BY56" s="1">
        <v>0</v>
      </c>
      <c r="BZ56" s="1">
        <v>0</v>
      </c>
      <c r="CA56" s="1">
        <v>1088</v>
      </c>
      <c r="CB56" s="1">
        <v>1039</v>
      </c>
      <c r="CC56" s="10">
        <v>98307</v>
      </c>
      <c r="CD56" s="3">
        <v>97091</v>
      </c>
      <c r="CE56" s="3">
        <v>246</v>
      </c>
      <c r="CF56" s="3">
        <v>1210</v>
      </c>
      <c r="CG56" s="3">
        <v>970</v>
      </c>
      <c r="CH56" s="3">
        <v>80105</v>
      </c>
      <c r="CI56" s="3">
        <v>77586</v>
      </c>
      <c r="CJ56" s="3">
        <v>302</v>
      </c>
      <c r="CK56" s="3">
        <v>465</v>
      </c>
      <c r="CL56" s="8">
        <v>2217</v>
      </c>
      <c r="CM56" s="1">
        <v>63486</v>
      </c>
      <c r="CN56" s="3">
        <v>60374</v>
      </c>
      <c r="CO56" s="3">
        <v>345</v>
      </c>
      <c r="CP56" s="3">
        <v>743</v>
      </c>
      <c r="CQ56" s="8">
        <v>2338</v>
      </c>
      <c r="CR56" s="3">
        <v>58338</v>
      </c>
      <c r="CS56" s="3">
        <v>55582</v>
      </c>
      <c r="CT56" s="3">
        <v>497</v>
      </c>
      <c r="CU56" s="3">
        <v>455</v>
      </c>
      <c r="CV56" s="8">
        <v>2259</v>
      </c>
      <c r="CW56" s="3">
        <v>53740</v>
      </c>
      <c r="CX56" s="3">
        <v>50181</v>
      </c>
      <c r="CY56" s="3">
        <v>771</v>
      </c>
      <c r="CZ56" s="3">
        <v>661</v>
      </c>
      <c r="DA56" s="3">
        <v>2351</v>
      </c>
      <c r="DB56" s="3">
        <v>51349</v>
      </c>
      <c r="DC56" s="3">
        <v>47554</v>
      </c>
      <c r="DD56" s="3">
        <v>713</v>
      </c>
      <c r="DE56" s="3">
        <v>1030</v>
      </c>
      <c r="DF56" s="39">
        <v>2452</v>
      </c>
      <c r="DG56" s="39">
        <v>49751</v>
      </c>
      <c r="DH56" s="39">
        <v>45314</v>
      </c>
      <c r="DI56" s="39">
        <v>691</v>
      </c>
      <c r="DJ56" s="39">
        <v>775</v>
      </c>
      <c r="DK56" s="39">
        <v>3123</v>
      </c>
      <c r="DL56" s="39">
        <v>52423</v>
      </c>
      <c r="DM56" s="39">
        <v>48326</v>
      </c>
      <c r="DN56" s="39">
        <v>510</v>
      </c>
      <c r="DO56" s="39">
        <v>274</v>
      </c>
      <c r="DP56" s="39">
        <v>3291</v>
      </c>
      <c r="DQ56" s="39">
        <v>48498</v>
      </c>
      <c r="DR56" s="39">
        <v>44866</v>
      </c>
      <c r="DS56" s="39">
        <v>845</v>
      </c>
      <c r="DT56" s="39">
        <v>597</v>
      </c>
      <c r="DU56" s="39">
        <v>2250</v>
      </c>
      <c r="DV56" s="118">
        <v>49213</v>
      </c>
      <c r="DW56" s="39">
        <v>44924</v>
      </c>
      <c r="DX56" s="39">
        <v>1399</v>
      </c>
      <c r="DY56" s="39">
        <v>599</v>
      </c>
      <c r="DZ56" s="39">
        <v>2456</v>
      </c>
      <c r="EA56" s="118">
        <v>43100</v>
      </c>
      <c r="EB56" s="39"/>
      <c r="EC56" s="39"/>
      <c r="ED56" s="39"/>
      <c r="EE56" s="39"/>
      <c r="EF56" s="118">
        <v>46531</v>
      </c>
      <c r="EG56" s="39">
        <v>42775</v>
      </c>
      <c r="EH56" s="39">
        <v>569</v>
      </c>
      <c r="EI56" s="39">
        <v>1136</v>
      </c>
      <c r="EJ56" s="39">
        <v>2131</v>
      </c>
      <c r="EK56" s="118">
        <v>46531</v>
      </c>
      <c r="EL56" s="39">
        <v>42775</v>
      </c>
      <c r="EM56" s="39">
        <v>569</v>
      </c>
      <c r="EN56" s="39">
        <v>1136</v>
      </c>
      <c r="EO56" s="39">
        <v>2131</v>
      </c>
      <c r="EP56" s="118">
        <v>36492</v>
      </c>
      <c r="EQ56" s="39">
        <v>33828</v>
      </c>
      <c r="ER56" s="39">
        <v>320</v>
      </c>
      <c r="ES56" s="39">
        <v>80</v>
      </c>
      <c r="ET56" s="1">
        <v>530</v>
      </c>
      <c r="EU56" s="1">
        <v>0</v>
      </c>
      <c r="EV56" s="1">
        <v>0</v>
      </c>
      <c r="EW56" s="1">
        <v>1674</v>
      </c>
      <c r="EX56" s="1">
        <v>47</v>
      </c>
      <c r="EY56" s="10">
        <v>88186</v>
      </c>
      <c r="EZ56" s="3">
        <v>82562</v>
      </c>
      <c r="FA56" s="3"/>
      <c r="FB56" s="3"/>
      <c r="FC56" s="201">
        <f t="shared" si="651"/>
        <v>5624</v>
      </c>
      <c r="FD56" s="174" t="s">
        <v>221</v>
      </c>
      <c r="FE56" s="175" t="s">
        <v>221</v>
      </c>
      <c r="FF56" s="175" t="s">
        <v>221</v>
      </c>
      <c r="FG56" s="175" t="s">
        <v>221</v>
      </c>
      <c r="FH56" s="174" t="s">
        <v>221</v>
      </c>
      <c r="FI56" s="175" t="s">
        <v>221</v>
      </c>
      <c r="FJ56" s="175" t="s">
        <v>221</v>
      </c>
      <c r="FK56" s="175" t="s">
        <v>221</v>
      </c>
      <c r="FL56" s="176" t="s">
        <v>221</v>
      </c>
      <c r="FM56" s="3">
        <v>627153</v>
      </c>
      <c r="FN56" s="3">
        <v>619443</v>
      </c>
      <c r="FO56" s="3">
        <v>2211</v>
      </c>
      <c r="FP56" s="3">
        <v>2829</v>
      </c>
      <c r="FQ56" s="8">
        <v>5499</v>
      </c>
      <c r="FR56" s="3">
        <v>742605</v>
      </c>
      <c r="FS56" s="3">
        <v>726865</v>
      </c>
      <c r="FT56" s="3">
        <v>2440</v>
      </c>
      <c r="FU56" s="3">
        <v>3569</v>
      </c>
      <c r="FV56" s="3">
        <v>13300</v>
      </c>
      <c r="FW56" s="127">
        <v>815224</v>
      </c>
      <c r="FX56" s="3">
        <v>787923</v>
      </c>
      <c r="FY56" s="3">
        <v>5013</v>
      </c>
      <c r="FZ56" s="3">
        <v>6817</v>
      </c>
      <c r="GA56" s="3">
        <v>6074</v>
      </c>
      <c r="GB56" s="10">
        <v>823994</v>
      </c>
      <c r="GC56" s="3">
        <v>800237</v>
      </c>
      <c r="GD56" s="3">
        <v>4759</v>
      </c>
      <c r="GE56" s="3">
        <v>18998</v>
      </c>
      <c r="GF56" s="3">
        <v>6083</v>
      </c>
      <c r="GG56" s="10">
        <v>829764</v>
      </c>
      <c r="GH56" s="40">
        <v>804875</v>
      </c>
      <c r="GI56" s="40">
        <v>5125</v>
      </c>
      <c r="GJ56" s="40">
        <v>19764</v>
      </c>
      <c r="GK56" s="40">
        <v>6816</v>
      </c>
      <c r="GL56" s="10">
        <v>842373</v>
      </c>
      <c r="GM56" s="3">
        <v>817282</v>
      </c>
      <c r="GN56" s="3">
        <v>5137</v>
      </c>
      <c r="GO56" s="3">
        <v>7052</v>
      </c>
      <c r="GP56" s="3">
        <v>12053</v>
      </c>
      <c r="GQ56" s="10">
        <v>850900.23600000003</v>
      </c>
      <c r="GR56" s="3">
        <v>824712.97500000009</v>
      </c>
      <c r="GS56" s="3"/>
      <c r="GT56" s="3"/>
      <c r="GU56" s="373">
        <f t="shared" si="652"/>
        <v>26187.26099999994</v>
      </c>
      <c r="GV56" s="3">
        <v>857333</v>
      </c>
      <c r="GW56" s="3">
        <v>825728</v>
      </c>
      <c r="GX56" s="3">
        <v>4949</v>
      </c>
      <c r="GY56" s="3">
        <v>7361</v>
      </c>
      <c r="GZ56" s="3">
        <v>20905</v>
      </c>
      <c r="HA56" s="3">
        <v>867024</v>
      </c>
      <c r="HB56" s="3">
        <v>834325</v>
      </c>
      <c r="HC56" s="3">
        <v>5243</v>
      </c>
      <c r="HD56" s="3">
        <v>7543</v>
      </c>
      <c r="HE56" s="3">
        <v>21531</v>
      </c>
      <c r="HF56" s="3">
        <v>879993</v>
      </c>
      <c r="HG56" s="3">
        <v>840933</v>
      </c>
      <c r="HH56" s="3">
        <v>6224</v>
      </c>
      <c r="HI56" s="3">
        <v>10367</v>
      </c>
      <c r="HJ56" s="3">
        <v>22807</v>
      </c>
      <c r="HK56" s="3">
        <v>881641</v>
      </c>
      <c r="HL56" s="3">
        <v>842827</v>
      </c>
      <c r="HM56" s="3">
        <v>6184</v>
      </c>
      <c r="HN56" s="3">
        <v>8661</v>
      </c>
      <c r="HO56" s="3">
        <v>24863</v>
      </c>
      <c r="HP56" s="10">
        <v>892431</v>
      </c>
      <c r="HQ56" s="3">
        <v>851880</v>
      </c>
      <c r="HR56" s="3">
        <v>6565</v>
      </c>
      <c r="HS56" s="3">
        <v>10105</v>
      </c>
      <c r="HT56" s="3">
        <v>25988</v>
      </c>
      <c r="HU56" s="394">
        <v>10655</v>
      </c>
      <c r="HV56" s="1">
        <v>0</v>
      </c>
      <c r="HW56" s="1">
        <v>4472</v>
      </c>
      <c r="HX56" s="1">
        <v>10861</v>
      </c>
      <c r="HZ56" s="10">
        <v>896953</v>
      </c>
      <c r="IA56" s="3">
        <v>857035</v>
      </c>
      <c r="IB56" s="3">
        <v>7199</v>
      </c>
      <c r="IC56" s="3">
        <v>9313</v>
      </c>
      <c r="ID56" s="3">
        <v>24338</v>
      </c>
      <c r="IE56" s="399">
        <v>914921</v>
      </c>
      <c r="IF56" s="5"/>
      <c r="IG56" s="5"/>
      <c r="IH56" s="5"/>
      <c r="II56" s="5"/>
      <c r="IJ56" s="399">
        <v>923838</v>
      </c>
      <c r="IK56" s="5">
        <v>874526</v>
      </c>
      <c r="IL56" s="5">
        <v>10412</v>
      </c>
      <c r="IM56" s="5">
        <v>12213</v>
      </c>
      <c r="IN56" s="5">
        <v>27869</v>
      </c>
      <c r="IO56" s="399">
        <v>959533</v>
      </c>
      <c r="IP56" s="5">
        <v>881214</v>
      </c>
      <c r="IQ56" s="5">
        <v>9037</v>
      </c>
      <c r="IR56" s="5">
        <v>14346</v>
      </c>
      <c r="IS56" s="5">
        <v>55011</v>
      </c>
      <c r="IT56" s="1">
        <v>11515</v>
      </c>
      <c r="IU56" s="1">
        <v>0</v>
      </c>
      <c r="IV56" s="1">
        <v>0</v>
      </c>
      <c r="IW56" s="1">
        <v>43496</v>
      </c>
      <c r="IY56" s="380" t="s">
        <v>221</v>
      </c>
      <c r="IZ56" s="188" t="s">
        <v>221</v>
      </c>
      <c r="JA56" s="188" t="s">
        <v>221</v>
      </c>
      <c r="JB56" s="188" t="s">
        <v>221</v>
      </c>
      <c r="JC56" s="635" t="s">
        <v>221</v>
      </c>
      <c r="JD56" s="399">
        <v>182727</v>
      </c>
      <c r="JE56" s="5">
        <v>180114</v>
      </c>
      <c r="JF56" s="5">
        <v>893</v>
      </c>
      <c r="JG56" s="5">
        <v>1008</v>
      </c>
      <c r="JH56" s="408">
        <v>1720</v>
      </c>
      <c r="JI56" s="399">
        <v>229045</v>
      </c>
      <c r="JJ56" s="5">
        <v>223458</v>
      </c>
      <c r="JK56" s="5">
        <v>994</v>
      </c>
      <c r="JL56" s="5">
        <v>1436</v>
      </c>
      <c r="JM56" s="408">
        <v>4593</v>
      </c>
      <c r="JN56" s="5">
        <v>243585</v>
      </c>
      <c r="JO56" s="5">
        <v>234443</v>
      </c>
      <c r="JP56" s="5">
        <v>1734</v>
      </c>
      <c r="JQ56" s="5">
        <v>2092</v>
      </c>
      <c r="JR56" s="5">
        <v>5778</v>
      </c>
      <c r="JS56" s="399">
        <v>271827</v>
      </c>
      <c r="JT56" s="5">
        <v>262840</v>
      </c>
      <c r="JU56" s="5">
        <v>2197</v>
      </c>
      <c r="JV56" s="5">
        <v>2622</v>
      </c>
      <c r="JW56" s="408">
        <v>6790</v>
      </c>
      <c r="JX56" s="399">
        <v>273001.06800000003</v>
      </c>
      <c r="JY56" s="5">
        <v>263109.75</v>
      </c>
      <c r="JZ56" s="5"/>
      <c r="KA56" s="5"/>
      <c r="KB56" s="408">
        <v>9891.3180000000284</v>
      </c>
      <c r="KC56" s="5">
        <v>273628</v>
      </c>
      <c r="KD56" s="5">
        <v>262413</v>
      </c>
      <c r="KE56" s="5">
        <v>1987</v>
      </c>
      <c r="KF56" s="5">
        <v>2684</v>
      </c>
      <c r="KG56" s="439">
        <v>7064</v>
      </c>
      <c r="KH56" s="439">
        <v>277808</v>
      </c>
      <c r="KI56" s="439">
        <v>266063</v>
      </c>
      <c r="KJ56" s="439">
        <v>1784</v>
      </c>
      <c r="KK56" s="439">
        <v>2995</v>
      </c>
      <c r="KL56" s="439">
        <v>7708</v>
      </c>
      <c r="KM56" s="439">
        <v>287925</v>
      </c>
      <c r="KN56" s="439">
        <v>273859</v>
      </c>
      <c r="KO56" s="439">
        <v>2438</v>
      </c>
      <c r="KP56" s="439">
        <v>3954</v>
      </c>
      <c r="KQ56" s="439">
        <v>8012</v>
      </c>
      <c r="KR56" s="439">
        <v>277756</v>
      </c>
      <c r="KS56" s="439">
        <v>263844</v>
      </c>
      <c r="KT56" s="439">
        <v>2559</v>
      </c>
      <c r="KU56" s="439">
        <v>2860</v>
      </c>
      <c r="KV56" s="439">
        <v>8906</v>
      </c>
      <c r="KW56" s="630">
        <v>282924</v>
      </c>
      <c r="KX56" s="439">
        <v>266815</v>
      </c>
      <c r="KY56" s="439">
        <v>2388</v>
      </c>
      <c r="KZ56" s="439">
        <v>3701</v>
      </c>
      <c r="LA56" s="439">
        <v>11027</v>
      </c>
      <c r="LB56" s="652">
        <v>284630</v>
      </c>
      <c r="LC56" s="653">
        <v>270808</v>
      </c>
      <c r="LD56" s="653">
        <v>2896</v>
      </c>
      <c r="LE56" s="653">
        <v>2898</v>
      </c>
      <c r="LF56" s="653">
        <v>8316</v>
      </c>
      <c r="LG56" s="652">
        <v>295612</v>
      </c>
      <c r="LH56" s="653"/>
      <c r="LI56" s="439"/>
      <c r="LJ56" s="439"/>
      <c r="LK56" s="439"/>
      <c r="LL56" s="652">
        <v>283731</v>
      </c>
      <c r="LM56" s="653">
        <v>268669</v>
      </c>
      <c r="LN56" s="653">
        <v>2990</v>
      </c>
      <c r="LO56" s="653">
        <v>3694</v>
      </c>
      <c r="LP56" s="653">
        <v>8405</v>
      </c>
      <c r="LQ56" s="652">
        <v>293633</v>
      </c>
      <c r="LR56" s="653">
        <v>266715</v>
      </c>
      <c r="LS56" s="653">
        <v>2376</v>
      </c>
      <c r="LT56" s="653">
        <v>5093</v>
      </c>
      <c r="LU56" s="653">
        <v>21852</v>
      </c>
      <c r="LV56" s="1">
        <v>3237</v>
      </c>
      <c r="LW56" s="1">
        <v>0</v>
      </c>
      <c r="LX56" s="1">
        <v>0</v>
      </c>
      <c r="LY56" s="1">
        <v>15529</v>
      </c>
      <c r="LZ56" s="1">
        <v>3086</v>
      </c>
      <c r="MA56" s="10">
        <v>54928</v>
      </c>
      <c r="MB56" s="3">
        <v>54292</v>
      </c>
      <c r="MC56" s="3">
        <v>142</v>
      </c>
      <c r="MD56" s="3">
        <v>212</v>
      </c>
      <c r="ME56" s="8">
        <v>494</v>
      </c>
      <c r="MF56" s="10">
        <v>63934</v>
      </c>
      <c r="MG56" s="3">
        <v>62489</v>
      </c>
      <c r="MH56" s="3">
        <v>179</v>
      </c>
      <c r="MI56" s="3">
        <v>377</v>
      </c>
      <c r="MJ56" s="8">
        <v>1266</v>
      </c>
      <c r="MK56" s="3">
        <v>81003</v>
      </c>
      <c r="ML56" s="3">
        <v>79030</v>
      </c>
      <c r="MM56" s="3">
        <v>220</v>
      </c>
      <c r="MN56" s="3">
        <v>387</v>
      </c>
      <c r="MO56" s="3">
        <v>1469</v>
      </c>
      <c r="MP56" s="10">
        <v>83473</v>
      </c>
      <c r="MQ56" s="3">
        <v>80876</v>
      </c>
      <c r="MR56" s="3">
        <v>685</v>
      </c>
      <c r="MS56" s="3">
        <v>657</v>
      </c>
      <c r="MT56" s="3">
        <v>1912</v>
      </c>
      <c r="MU56" s="10"/>
      <c r="MV56" s="3"/>
      <c r="MW56" s="3"/>
      <c r="MX56" s="3"/>
      <c r="MY56" s="8"/>
      <c r="MZ56" s="3">
        <v>84895</v>
      </c>
      <c r="NA56" s="3">
        <v>81714</v>
      </c>
      <c r="NB56" s="3">
        <v>716</v>
      </c>
      <c r="NC56" s="3">
        <v>628</v>
      </c>
      <c r="ND56" s="3">
        <v>1952</v>
      </c>
      <c r="NE56" s="3">
        <v>87806</v>
      </c>
      <c r="NF56" s="3">
        <v>84732</v>
      </c>
      <c r="NG56" s="3">
        <v>546</v>
      </c>
      <c r="NH56" s="3">
        <v>794</v>
      </c>
      <c r="NI56" s="3">
        <v>1899</v>
      </c>
      <c r="NJ56" s="3">
        <v>93426</v>
      </c>
      <c r="NK56" s="3">
        <v>90041</v>
      </c>
      <c r="NL56" s="3">
        <v>607</v>
      </c>
      <c r="NM56" s="3">
        <v>754</v>
      </c>
      <c r="NN56" s="3">
        <v>9382</v>
      </c>
      <c r="NO56" s="3">
        <v>93335</v>
      </c>
      <c r="NP56" s="3">
        <v>89866</v>
      </c>
      <c r="NQ56" s="3">
        <v>659</v>
      </c>
      <c r="NR56" s="3">
        <v>694</v>
      </c>
      <c r="NS56" s="3">
        <v>2150</v>
      </c>
      <c r="NT56" s="3">
        <v>94984</v>
      </c>
      <c r="NU56" s="3">
        <v>90558</v>
      </c>
      <c r="NV56" s="3">
        <v>922</v>
      </c>
      <c r="NW56" s="3">
        <v>859</v>
      </c>
      <c r="NX56" s="3">
        <v>2863</v>
      </c>
      <c r="NY56" s="10">
        <v>100214</v>
      </c>
      <c r="NZ56" s="3">
        <v>96800</v>
      </c>
      <c r="OA56" s="3">
        <v>508</v>
      </c>
      <c r="OB56" s="3">
        <v>472</v>
      </c>
      <c r="OC56" s="3">
        <v>2334</v>
      </c>
      <c r="OD56" s="10">
        <v>95274</v>
      </c>
      <c r="OE56" s="3"/>
      <c r="OF56" s="3"/>
      <c r="OG56" s="3"/>
      <c r="OH56" s="3"/>
      <c r="OI56" s="10">
        <v>99008</v>
      </c>
      <c r="OJ56" s="3">
        <v>94689</v>
      </c>
      <c r="OK56" s="3">
        <v>232</v>
      </c>
      <c r="OL56" s="3">
        <v>1201</v>
      </c>
      <c r="OM56" s="3">
        <v>2775</v>
      </c>
      <c r="ON56" s="10">
        <v>107147</v>
      </c>
      <c r="OO56" s="3">
        <v>96454</v>
      </c>
      <c r="OP56" s="3">
        <v>944</v>
      </c>
      <c r="OQ56" s="3">
        <v>1898</v>
      </c>
      <c r="OR56" s="3"/>
      <c r="OS56" s="1">
        <v>2525</v>
      </c>
      <c r="OT56" s="1">
        <v>0</v>
      </c>
      <c r="OU56" s="1">
        <v>0</v>
      </c>
      <c r="OV56" s="1">
        <v>5161</v>
      </c>
      <c r="OW56" s="1">
        <v>1078</v>
      </c>
      <c r="OX56" s="402">
        <f t="shared" si="653"/>
        <v>161862</v>
      </c>
      <c r="OY56" s="382">
        <f t="shared" si="654"/>
        <v>153937</v>
      </c>
      <c r="OZ56" s="382">
        <f t="shared" si="655"/>
        <v>494</v>
      </c>
      <c r="PA56" s="382">
        <f t="shared" si="656"/>
        <v>14886</v>
      </c>
      <c r="PB56" s="382">
        <f t="shared" si="657"/>
        <v>1285</v>
      </c>
      <c r="PC56" s="402">
        <f t="shared" si="658"/>
        <v>262894</v>
      </c>
      <c r="PD56" s="382">
        <f t="shared" si="659"/>
        <v>257297</v>
      </c>
      <c r="PE56" s="382">
        <f t="shared" si="660"/>
        <v>827</v>
      </c>
      <c r="PF56" s="382">
        <f t="shared" si="661"/>
        <v>1351</v>
      </c>
      <c r="PG56" s="382">
        <f t="shared" si="662"/>
        <v>4770</v>
      </c>
      <c r="PH56" s="10">
        <v>285381</v>
      </c>
      <c r="PI56" s="3">
        <v>276685</v>
      </c>
      <c r="PJ56" s="3">
        <v>1794</v>
      </c>
      <c r="PK56" s="3">
        <v>2081</v>
      </c>
      <c r="PL56" s="3">
        <v>6902</v>
      </c>
      <c r="PM56" s="3">
        <v>318937</v>
      </c>
      <c r="PN56" s="3">
        <v>309195</v>
      </c>
      <c r="PO56" s="3">
        <v>1664</v>
      </c>
      <c r="PP56" s="3">
        <v>2026</v>
      </c>
      <c r="PQ56" s="3">
        <v>6654</v>
      </c>
      <c r="PR56" s="399"/>
      <c r="PS56" s="5"/>
      <c r="PT56" s="5"/>
      <c r="PU56" s="5"/>
      <c r="PV56" s="5"/>
      <c r="PW56" s="5">
        <v>347335</v>
      </c>
      <c r="PX56" s="5">
        <v>334627</v>
      </c>
      <c r="PY56" s="5">
        <v>1826</v>
      </c>
      <c r="PZ56" s="5">
        <v>2850</v>
      </c>
      <c r="QA56" s="408">
        <v>8564</v>
      </c>
      <c r="QB56" s="5">
        <v>355425</v>
      </c>
      <c r="QC56" s="5">
        <v>342040</v>
      </c>
      <c r="QD56" s="5">
        <v>1899</v>
      </c>
      <c r="QE56" s="5">
        <v>3226</v>
      </c>
      <c r="QF56" s="5">
        <v>8774</v>
      </c>
      <c r="QG56" s="5">
        <v>375207</v>
      </c>
      <c r="QH56" s="5">
        <v>358839</v>
      </c>
      <c r="QI56" s="5">
        <v>2342</v>
      </c>
      <c r="QJ56" s="5">
        <v>4223</v>
      </c>
      <c r="QK56" s="5">
        <v>9382</v>
      </c>
      <c r="QL56" s="399">
        <v>382888</v>
      </c>
      <c r="QM56" s="5">
        <v>365327</v>
      </c>
      <c r="QN56" s="5">
        <v>2610</v>
      </c>
      <c r="QO56" s="5">
        <v>4789</v>
      </c>
      <c r="QP56" s="5">
        <v>10646</v>
      </c>
      <c r="QQ56" s="399">
        <v>386122</v>
      </c>
      <c r="QR56" s="5">
        <v>369027</v>
      </c>
      <c r="QS56" s="5">
        <v>2522</v>
      </c>
      <c r="QT56" s="5">
        <v>4008</v>
      </c>
      <c r="QU56" s="5">
        <v>11139</v>
      </c>
      <c r="QV56" s="399">
        <v>411821</v>
      </c>
      <c r="QW56" s="5">
        <v>394472</v>
      </c>
      <c r="QX56" s="5">
        <v>2619</v>
      </c>
      <c r="QY56" s="5">
        <v>3815</v>
      </c>
      <c r="QZ56" s="5">
        <v>11025</v>
      </c>
      <c r="RA56" s="399">
        <v>405324</v>
      </c>
      <c r="RB56" s="5"/>
      <c r="RC56" s="5"/>
      <c r="RD56" s="5"/>
      <c r="RE56" s="5"/>
      <c r="RF56" s="5">
        <v>428007</v>
      </c>
      <c r="RG56" s="5">
        <v>403533</v>
      </c>
      <c r="RH56" s="5">
        <v>4763</v>
      </c>
      <c r="RI56" s="5">
        <v>6340</v>
      </c>
      <c r="RJ56" s="5">
        <v>13993</v>
      </c>
      <c r="RK56" s="5">
        <v>472452</v>
      </c>
      <c r="RL56" s="5">
        <v>431989</v>
      </c>
      <c r="RM56" s="5">
        <v>4571</v>
      </c>
      <c r="RN56" s="5">
        <v>7444</v>
      </c>
      <c r="RO56" s="5">
        <v>28063</v>
      </c>
      <c r="RP56" s="1">
        <v>8671</v>
      </c>
      <c r="RQ56" s="1">
        <v>0</v>
      </c>
      <c r="RR56" s="1">
        <v>0</v>
      </c>
      <c r="RS56" s="1">
        <v>19392</v>
      </c>
      <c r="RU56" s="10">
        <v>100788</v>
      </c>
      <c r="RV56" s="3">
        <v>99645</v>
      </c>
      <c r="RW56" s="3">
        <v>352</v>
      </c>
      <c r="RX56" s="3">
        <v>443</v>
      </c>
      <c r="RY56" s="3">
        <v>791</v>
      </c>
      <c r="RZ56" s="10">
        <v>129992</v>
      </c>
      <c r="SA56" s="3">
        <v>127590</v>
      </c>
      <c r="SB56" s="3">
        <v>390</v>
      </c>
      <c r="SC56" s="3">
        <v>607</v>
      </c>
      <c r="SD56" s="3">
        <v>2012</v>
      </c>
      <c r="SE56" s="10">
        <v>156466</v>
      </c>
      <c r="SF56" s="3">
        <v>151491</v>
      </c>
      <c r="SG56" s="3">
        <v>954</v>
      </c>
      <c r="SH56" s="3">
        <v>1087</v>
      </c>
      <c r="SI56" s="3"/>
      <c r="SJ56" s="10">
        <v>159873</v>
      </c>
      <c r="SK56" s="3">
        <v>155233</v>
      </c>
      <c r="SL56" s="3">
        <v>895</v>
      </c>
      <c r="SM56" s="3">
        <v>1059</v>
      </c>
      <c r="SN56" s="3">
        <v>3745</v>
      </c>
      <c r="SO56" s="10">
        <v>166052.196</v>
      </c>
      <c r="SP56" s="3">
        <v>161494.95000000001</v>
      </c>
      <c r="SQ56" s="3"/>
      <c r="SR56" s="3"/>
      <c r="SS56" s="3">
        <v>4557.2459999999846</v>
      </c>
      <c r="ST56" s="10">
        <v>168284</v>
      </c>
      <c r="SU56" s="3">
        <v>162658</v>
      </c>
      <c r="SV56" s="3">
        <v>688</v>
      </c>
      <c r="SW56" s="3">
        <v>1322</v>
      </c>
      <c r="SX56" s="3">
        <v>3888</v>
      </c>
      <c r="SY56" s="3">
        <v>171195</v>
      </c>
      <c r="SZ56" s="3">
        <v>165411</v>
      </c>
      <c r="TA56" s="3">
        <v>856</v>
      </c>
      <c r="TB56" s="3">
        <v>1359</v>
      </c>
      <c r="TC56" s="3">
        <v>3720</v>
      </c>
      <c r="TD56" s="3">
        <v>185890</v>
      </c>
      <c r="TE56" s="3">
        <v>177153</v>
      </c>
      <c r="TF56" s="3">
        <v>1178</v>
      </c>
      <c r="TG56" s="3">
        <v>2270</v>
      </c>
      <c r="TH56" s="3">
        <v>4819</v>
      </c>
      <c r="TI56" s="3">
        <v>187513</v>
      </c>
      <c r="TJ56" s="3">
        <v>178712</v>
      </c>
      <c r="TK56" s="3">
        <v>1261</v>
      </c>
      <c r="TL56" s="3">
        <v>2880</v>
      </c>
      <c r="TM56" s="3">
        <v>5067</v>
      </c>
      <c r="TN56" s="3">
        <v>181434</v>
      </c>
      <c r="TO56" s="3">
        <v>173838</v>
      </c>
      <c r="TP56" s="3">
        <v>1336</v>
      </c>
      <c r="TQ56" s="3">
        <v>2100</v>
      </c>
      <c r="TR56" s="3">
        <v>4464</v>
      </c>
      <c r="TS56" s="10">
        <v>193860</v>
      </c>
      <c r="TT56" s="3">
        <v>185893</v>
      </c>
      <c r="TU56" s="3">
        <v>1497</v>
      </c>
      <c r="TV56" s="3">
        <v>1916</v>
      </c>
      <c r="TW56" s="3">
        <v>4687</v>
      </c>
      <c r="TX56" s="10">
        <v>197489</v>
      </c>
      <c r="TY56" s="3"/>
      <c r="TZ56" s="3"/>
      <c r="UA56" s="3"/>
      <c r="UB56" s="3"/>
      <c r="UC56" s="10">
        <v>205722</v>
      </c>
      <c r="UD56" s="3">
        <v>193540</v>
      </c>
      <c r="UE56" s="3">
        <v>3269</v>
      </c>
      <c r="UF56" s="3">
        <v>3326</v>
      </c>
      <c r="UG56" s="3">
        <v>6070</v>
      </c>
      <c r="UH56" s="10">
        <v>224987</v>
      </c>
      <c r="UI56" s="3">
        <v>206324</v>
      </c>
      <c r="UJ56" s="3">
        <v>2238</v>
      </c>
      <c r="UK56" s="3">
        <v>3646</v>
      </c>
      <c r="UL56" s="3">
        <v>12578</v>
      </c>
      <c r="UM56" s="1">
        <v>4278</v>
      </c>
      <c r="UN56" s="1">
        <v>0</v>
      </c>
      <c r="UO56" s="1">
        <v>0</v>
      </c>
      <c r="UP56" s="1">
        <v>8300</v>
      </c>
      <c r="UR56" s="588">
        <f t="shared" si="663"/>
        <v>29013</v>
      </c>
      <c r="US56" s="40">
        <v>17419</v>
      </c>
      <c r="UT56" s="40">
        <v>11594</v>
      </c>
      <c r="UU56" s="588">
        <f t="shared" si="664"/>
        <v>113</v>
      </c>
      <c r="UV56" s="40">
        <v>73</v>
      </c>
      <c r="UW56" s="40">
        <v>40</v>
      </c>
      <c r="UX56" s="10">
        <v>45264</v>
      </c>
      <c r="UY56" s="588">
        <f t="shared" si="665"/>
        <v>26029</v>
      </c>
      <c r="UZ56" s="588">
        <f t="shared" si="666"/>
        <v>19235</v>
      </c>
      <c r="VA56" s="588">
        <f t="shared" si="667"/>
        <v>44816</v>
      </c>
      <c r="VB56" s="40">
        <v>25762</v>
      </c>
      <c r="VC56" s="40">
        <v>19054</v>
      </c>
      <c r="VD56" s="588">
        <f t="shared" si="668"/>
        <v>65</v>
      </c>
      <c r="VE56" s="40">
        <v>42</v>
      </c>
      <c r="VF56" s="40">
        <v>23</v>
      </c>
      <c r="VG56" s="588">
        <f t="shared" si="669"/>
        <v>383</v>
      </c>
      <c r="VH56" s="40">
        <v>225</v>
      </c>
      <c r="VI56" s="40">
        <v>158</v>
      </c>
      <c r="VJ56" s="10">
        <v>95284</v>
      </c>
      <c r="VK56" s="588">
        <f t="shared" si="670"/>
        <v>53362</v>
      </c>
      <c r="VL56" s="588">
        <f t="shared" si="671"/>
        <v>41922</v>
      </c>
      <c r="VM56" s="240">
        <f t="shared" si="672"/>
        <v>94253</v>
      </c>
      <c r="VN56" s="40">
        <v>52730</v>
      </c>
      <c r="VO56" s="40">
        <v>41523</v>
      </c>
      <c r="VP56" s="40">
        <v>632</v>
      </c>
      <c r="VQ56" s="40">
        <v>399</v>
      </c>
      <c r="VR56" s="240">
        <f t="shared" si="673"/>
        <v>188</v>
      </c>
      <c r="VS56" s="40">
        <v>120</v>
      </c>
      <c r="VT56" s="40">
        <v>68</v>
      </c>
      <c r="VU56" s="240">
        <f t="shared" si="674"/>
        <v>277</v>
      </c>
      <c r="VV56" s="40">
        <v>165</v>
      </c>
      <c r="VW56" s="40">
        <v>112</v>
      </c>
      <c r="VX56" s="233">
        <f t="shared" si="675"/>
        <v>566</v>
      </c>
      <c r="VY56" s="233">
        <f t="shared" si="676"/>
        <v>347</v>
      </c>
      <c r="VZ56" s="233">
        <f t="shared" si="677"/>
        <v>219</v>
      </c>
      <c r="WA56" s="234">
        <f t="shared" si="678"/>
        <v>44</v>
      </c>
      <c r="WB56" s="234">
        <f t="shared" si="679"/>
        <v>23</v>
      </c>
      <c r="WC56" s="234">
        <f t="shared" si="680"/>
        <v>21</v>
      </c>
      <c r="WD56" s="40">
        <v>522</v>
      </c>
      <c r="WE56" s="40">
        <v>324</v>
      </c>
      <c r="WF56" s="40">
        <v>198</v>
      </c>
      <c r="WG56" s="12">
        <f t="shared" si="681"/>
        <v>106934</v>
      </c>
      <c r="WH56" s="588">
        <f t="shared" si="682"/>
        <v>77501</v>
      </c>
      <c r="WI56" s="588">
        <f t="shared" si="683"/>
        <v>71851</v>
      </c>
      <c r="WJ56" s="11">
        <f t="shared" si="684"/>
        <v>99645</v>
      </c>
      <c r="WK56" s="90">
        <f t="shared" si="685"/>
        <v>146860</v>
      </c>
      <c r="WL56" s="40">
        <v>76106</v>
      </c>
      <c r="WM56" s="40">
        <v>70754</v>
      </c>
      <c r="WN56" s="40">
        <v>1395</v>
      </c>
      <c r="WO56" s="40">
        <v>1097</v>
      </c>
      <c r="WP56" s="11">
        <f t="shared" si="686"/>
        <v>352</v>
      </c>
      <c r="WQ56" s="90">
        <f t="shared" si="687"/>
        <v>542</v>
      </c>
      <c r="WR56" s="40">
        <v>353</v>
      </c>
      <c r="WS56" s="40">
        <v>189</v>
      </c>
      <c r="WT56" s="11">
        <f t="shared" si="688"/>
        <v>795</v>
      </c>
      <c r="WU56" s="40">
        <v>442</v>
      </c>
      <c r="WV56" s="40">
        <v>353</v>
      </c>
      <c r="WW56" s="11">
        <f t="shared" si="689"/>
        <v>791</v>
      </c>
      <c r="WX56" s="257">
        <f t="shared" si="690"/>
        <v>600</v>
      </c>
      <c r="WY56" s="235">
        <f t="shared" si="691"/>
        <v>555</v>
      </c>
      <c r="WZ56" s="236">
        <f t="shared" si="692"/>
        <v>7</v>
      </c>
      <c r="XA56" s="236">
        <f t="shared" si="693"/>
        <v>0</v>
      </c>
      <c r="XB56" s="236">
        <f t="shared" si="694"/>
        <v>7</v>
      </c>
      <c r="XC56" s="589">
        <f t="shared" si="695"/>
        <v>1148</v>
      </c>
      <c r="XD56" s="589">
        <f t="shared" si="696"/>
        <v>600</v>
      </c>
      <c r="XE56" s="589">
        <f t="shared" si="697"/>
        <v>548</v>
      </c>
      <c r="XF56" s="40">
        <v>111</v>
      </c>
      <c r="XG56" s="40">
        <v>128</v>
      </c>
      <c r="XH56" s="40">
        <v>489</v>
      </c>
      <c r="XI56" s="40">
        <v>420</v>
      </c>
      <c r="XJ56" s="590">
        <v>198960</v>
      </c>
      <c r="XK56" s="40">
        <v>96264</v>
      </c>
      <c r="XL56" s="40">
        <v>102696</v>
      </c>
      <c r="XM56" s="5">
        <f t="shared" si="698"/>
        <v>194808</v>
      </c>
      <c r="XN56" s="5">
        <v>94276</v>
      </c>
      <c r="XO56" s="5">
        <v>100532</v>
      </c>
      <c r="XP56" s="84">
        <f t="shared" si="699"/>
        <v>194102</v>
      </c>
      <c r="XQ56" s="40">
        <v>93927</v>
      </c>
      <c r="XR56" s="40">
        <v>100175</v>
      </c>
      <c r="XS56" s="5">
        <f t="shared" si="700"/>
        <v>648</v>
      </c>
      <c r="XT56" s="40">
        <v>351</v>
      </c>
      <c r="XU56" s="40">
        <v>297</v>
      </c>
      <c r="XV56" s="5">
        <f t="shared" si="701"/>
        <v>974</v>
      </c>
      <c r="XW56" s="40">
        <v>476</v>
      </c>
      <c r="XX56" s="40">
        <v>498</v>
      </c>
      <c r="XY56" s="84">
        <f t="shared" si="702"/>
        <v>3504</v>
      </c>
      <c r="XZ56" s="84">
        <f t="shared" si="703"/>
        <v>1637</v>
      </c>
      <c r="YA56" s="84">
        <f t="shared" si="704"/>
        <v>1867</v>
      </c>
      <c r="YB56" s="587">
        <v>237934</v>
      </c>
      <c r="YC56" s="40">
        <v>230165</v>
      </c>
      <c r="YD56" s="40">
        <v>1444</v>
      </c>
      <c r="YE56" s="40">
        <v>1639</v>
      </c>
      <c r="YF56" s="5">
        <v>5185</v>
      </c>
      <c r="YG56" s="590">
        <v>239062</v>
      </c>
      <c r="YH56" s="3">
        <v>232353</v>
      </c>
      <c r="YI56" s="3">
        <v>1300</v>
      </c>
      <c r="YJ56" s="3">
        <v>5409</v>
      </c>
      <c r="YK56" s="3">
        <v>1568</v>
      </c>
      <c r="YL56" s="590">
        <v>243549</v>
      </c>
      <c r="YM56" s="3">
        <v>237010</v>
      </c>
      <c r="YN56" s="3">
        <v>1224</v>
      </c>
      <c r="YO56" s="3">
        <v>5315</v>
      </c>
      <c r="YP56" s="3">
        <v>1806</v>
      </c>
      <c r="YQ56" s="10">
        <v>247891</v>
      </c>
      <c r="YR56" s="3">
        <v>240592</v>
      </c>
      <c r="YS56" s="3">
        <v>1149</v>
      </c>
      <c r="YT56" s="3">
        <v>6150</v>
      </c>
      <c r="YU56" s="3">
        <v>1757</v>
      </c>
      <c r="YV56" s="10">
        <v>259866.99599999998</v>
      </c>
      <c r="YW56" s="3">
        <v>252222.45</v>
      </c>
      <c r="YX56" s="3"/>
      <c r="YY56" s="3"/>
      <c r="YZ56" s="3">
        <v>7644.545999999973</v>
      </c>
      <c r="ZA56" s="3">
        <v>262440</v>
      </c>
      <c r="ZB56" s="3">
        <v>252913</v>
      </c>
      <c r="ZC56" s="3">
        <v>1110</v>
      </c>
      <c r="ZD56" s="3">
        <v>2222</v>
      </c>
      <c r="ZE56" s="1">
        <v>6612</v>
      </c>
      <c r="ZF56" s="1">
        <v>267619</v>
      </c>
      <c r="ZG56" s="1">
        <v>257308</v>
      </c>
      <c r="ZH56" s="1">
        <v>1353</v>
      </c>
      <c r="ZI56" s="1">
        <v>2432</v>
      </c>
      <c r="ZJ56" s="1">
        <v>6875</v>
      </c>
      <c r="ZK56" s="1">
        <v>281781</v>
      </c>
      <c r="ZL56" s="1">
        <v>268798</v>
      </c>
      <c r="ZM56" s="1">
        <v>1735</v>
      </c>
      <c r="ZN56" s="1">
        <v>3469</v>
      </c>
      <c r="ZO56" s="1">
        <v>7358</v>
      </c>
      <c r="ZP56" s="1">
        <v>289553</v>
      </c>
      <c r="ZQ56" s="1">
        <v>275461</v>
      </c>
      <c r="ZR56" s="1">
        <v>1951</v>
      </c>
      <c r="ZS56" s="1">
        <v>4095</v>
      </c>
      <c r="ZT56" s="1">
        <v>8496</v>
      </c>
      <c r="ZU56" s="1">
        <v>291138</v>
      </c>
      <c r="ZV56" s="1">
        <v>278469</v>
      </c>
      <c r="ZW56" s="1">
        <v>1600</v>
      </c>
      <c r="ZX56" s="1">
        <v>3149</v>
      </c>
      <c r="ZY56" s="1">
        <v>8276</v>
      </c>
      <c r="ZZ56" s="394">
        <v>5163</v>
      </c>
      <c r="AAA56" s="1">
        <v>0</v>
      </c>
      <c r="AAB56" s="1">
        <v>446</v>
      </c>
      <c r="AAC56" s="1">
        <v>2667</v>
      </c>
      <c r="AAE56" s="50">
        <v>311607</v>
      </c>
      <c r="AAF56" s="1">
        <v>297672</v>
      </c>
      <c r="AAG56" s="1">
        <v>2111</v>
      </c>
      <c r="AAH56" s="1">
        <v>3343</v>
      </c>
      <c r="AAI56" s="1">
        <v>8691</v>
      </c>
      <c r="AAJ56" s="50">
        <v>310050</v>
      </c>
      <c r="AAK56" s="1"/>
      <c r="AAL56" s="1"/>
      <c r="AAM56" s="1"/>
      <c r="AAN56" s="1"/>
      <c r="AAO56" s="68">
        <v>328999</v>
      </c>
      <c r="AAP56" s="37">
        <v>308844</v>
      </c>
      <c r="AAQ56" s="37">
        <v>4531</v>
      </c>
      <c r="AAR56" s="37">
        <v>5139</v>
      </c>
      <c r="AAS56" s="37">
        <v>11218</v>
      </c>
      <c r="AAT56" s="68">
        <v>365305</v>
      </c>
      <c r="AAU56" s="37">
        <v>335535</v>
      </c>
      <c r="AAV56" s="37">
        <v>3627</v>
      </c>
      <c r="AAW56" s="37">
        <v>5546</v>
      </c>
      <c r="AAX56" s="37">
        <v>20377</v>
      </c>
      <c r="AAY56" s="1">
        <v>6146</v>
      </c>
      <c r="AAZ56" s="1">
        <v>0</v>
      </c>
      <c r="ABA56" s="1">
        <v>0</v>
      </c>
      <c r="ABB56" s="1">
        <v>14231</v>
      </c>
      <c r="ABD56" s="10">
        <v>68968</v>
      </c>
      <c r="ABE56" s="3">
        <v>67218</v>
      </c>
      <c r="ABF56" s="3">
        <v>258</v>
      </c>
      <c r="ABG56" s="3">
        <v>367</v>
      </c>
      <c r="ABH56" s="3">
        <v>1492</v>
      </c>
      <c r="ABI56" s="10">
        <v>81468</v>
      </c>
      <c r="ABJ56" s="3">
        <v>78674</v>
      </c>
      <c r="ABK56" s="3">
        <v>490</v>
      </c>
      <c r="ABL56" s="3">
        <v>552</v>
      </c>
      <c r="ABM56" s="3">
        <v>1928</v>
      </c>
      <c r="ABN56" s="10">
        <v>88018</v>
      </c>
      <c r="ABO56" s="3">
        <v>85359</v>
      </c>
      <c r="ABP56" s="3">
        <v>254</v>
      </c>
      <c r="ABQ56" s="3">
        <v>698</v>
      </c>
      <c r="ABR56" s="3">
        <v>2405</v>
      </c>
      <c r="ABS56" s="10">
        <v>93814.8</v>
      </c>
      <c r="ABT56" s="3">
        <v>90727.5</v>
      </c>
      <c r="ABU56" s="3"/>
      <c r="ABV56" s="3"/>
      <c r="ABW56" s="8">
        <v>3087.3000000000029</v>
      </c>
      <c r="ABX56" s="1">
        <v>94156</v>
      </c>
      <c r="ABY56" s="1">
        <v>90255</v>
      </c>
      <c r="ABZ56" s="1">
        <v>422</v>
      </c>
      <c r="ACA56" s="1">
        <v>900</v>
      </c>
      <c r="ACB56" s="49">
        <v>2724</v>
      </c>
      <c r="ACC56" s="1">
        <v>96424</v>
      </c>
      <c r="ACD56" s="1">
        <v>91897</v>
      </c>
      <c r="ACE56" s="1">
        <v>497</v>
      </c>
      <c r="ACF56" s="1">
        <v>1073</v>
      </c>
      <c r="ACG56" s="1">
        <v>3155</v>
      </c>
      <c r="ACH56" s="1">
        <v>95891</v>
      </c>
      <c r="ACI56" s="1">
        <v>91645</v>
      </c>
      <c r="ACJ56" s="1">
        <v>557</v>
      </c>
      <c r="ACK56" s="1">
        <v>1199</v>
      </c>
      <c r="ACL56" s="1">
        <v>2539</v>
      </c>
      <c r="ACM56" s="1">
        <v>102040</v>
      </c>
      <c r="ACN56" s="1">
        <v>96749</v>
      </c>
      <c r="ACO56" s="1">
        <v>690</v>
      </c>
      <c r="ACP56" s="1">
        <v>1215</v>
      </c>
      <c r="ACQ56" s="1">
        <v>3429</v>
      </c>
      <c r="ACR56" s="1">
        <v>109704</v>
      </c>
      <c r="ACS56" s="1">
        <v>104631</v>
      </c>
      <c r="ACT56" s="1">
        <v>264</v>
      </c>
      <c r="ACU56" s="1">
        <v>1049</v>
      </c>
      <c r="ACV56" s="1">
        <v>3812</v>
      </c>
      <c r="ADB56" s="50">
        <v>117747</v>
      </c>
      <c r="ADC56" s="1">
        <v>111779</v>
      </c>
      <c r="ADD56" s="1">
        <v>614</v>
      </c>
      <c r="ADE56" s="1">
        <v>1427</v>
      </c>
      <c r="ADF56" s="1">
        <v>4004</v>
      </c>
      <c r="ADG56" s="50">
        <v>112561</v>
      </c>
      <c r="ADL56" s="50">
        <v>123277</v>
      </c>
      <c r="ADM56" s="1">
        <v>115304</v>
      </c>
      <c r="ADN56" s="1">
        <v>1262</v>
      </c>
      <c r="ADO56" s="1">
        <v>1813</v>
      </c>
      <c r="ADP56" s="1">
        <v>5148</v>
      </c>
      <c r="ADQ56" s="50">
        <v>140318</v>
      </c>
      <c r="ADR56" s="1">
        <v>129211</v>
      </c>
      <c r="ADS56" s="1">
        <v>1389</v>
      </c>
      <c r="ADT56" s="1">
        <v>1900</v>
      </c>
      <c r="ADU56" s="1">
        <v>7799</v>
      </c>
      <c r="ADV56" s="1">
        <v>1868</v>
      </c>
      <c r="ADW56" s="1">
        <v>0</v>
      </c>
      <c r="ADX56" s="1">
        <v>0</v>
      </c>
      <c r="ADY56" s="1">
        <v>5931</v>
      </c>
    </row>
    <row r="57" spans="1:806" ht="12.75" customHeight="1">
      <c r="A57" s="138" t="s">
        <v>54</v>
      </c>
      <c r="B57" s="174" t="s">
        <v>221</v>
      </c>
      <c r="C57" s="175" t="s">
        <v>221</v>
      </c>
      <c r="D57" s="175" t="s">
        <v>221</v>
      </c>
      <c r="E57" s="175" t="s">
        <v>221</v>
      </c>
      <c r="F57" s="175" t="s">
        <v>221</v>
      </c>
      <c r="G57" s="10">
        <v>317943</v>
      </c>
      <c r="H57" s="3">
        <v>266299</v>
      </c>
      <c r="I57" s="3">
        <v>17047</v>
      </c>
      <c r="J57" s="3">
        <v>35529</v>
      </c>
      <c r="K57" s="8">
        <v>34597</v>
      </c>
      <c r="L57" s="10">
        <v>247556</v>
      </c>
      <c r="M57" s="3">
        <v>174448</v>
      </c>
      <c r="N57" s="3">
        <v>13827</v>
      </c>
      <c r="O57" s="3">
        <v>47917</v>
      </c>
      <c r="P57" s="8">
        <v>59281</v>
      </c>
      <c r="Q57" s="3">
        <v>220033</v>
      </c>
      <c r="R57" s="3">
        <v>123575</v>
      </c>
      <c r="S57" s="3">
        <v>15156</v>
      </c>
      <c r="T57" s="3">
        <v>54966</v>
      </c>
      <c r="U57" s="8">
        <v>57880</v>
      </c>
      <c r="V57" s="399">
        <v>216108</v>
      </c>
      <c r="W57" s="5">
        <v>132034</v>
      </c>
      <c r="X57" s="5">
        <v>20425</v>
      </c>
      <c r="Y57" s="5">
        <v>61520</v>
      </c>
      <c r="Z57" s="408">
        <v>63649</v>
      </c>
      <c r="AA57" s="5">
        <v>220418</v>
      </c>
      <c r="AB57" s="5">
        <v>103577</v>
      </c>
      <c r="AC57" s="5">
        <v>21079</v>
      </c>
      <c r="AD57" s="5">
        <v>66020</v>
      </c>
      <c r="AE57" s="5">
        <v>68488</v>
      </c>
      <c r="AF57" s="399">
        <v>221120</v>
      </c>
      <c r="AG57" s="5">
        <v>101808</v>
      </c>
      <c r="AH57" s="5">
        <v>22622</v>
      </c>
      <c r="AI57" s="5">
        <v>68188</v>
      </c>
      <c r="AJ57" s="490">
        <v>68531</v>
      </c>
      <c r="AK57" s="490">
        <v>230539</v>
      </c>
      <c r="AL57" s="490">
        <v>95375</v>
      </c>
      <c r="AM57" s="685">
        <v>23270</v>
      </c>
      <c r="AN57" s="685">
        <v>79246</v>
      </c>
      <c r="AO57" s="490">
        <v>75023</v>
      </c>
      <c r="AP57" s="394">
        <v>213496</v>
      </c>
      <c r="AQ57" s="394">
        <v>84226</v>
      </c>
      <c r="AR57" s="394">
        <v>21385</v>
      </c>
      <c r="AS57" s="394">
        <v>75044</v>
      </c>
      <c r="AT57" s="394">
        <v>74665</v>
      </c>
      <c r="AU57" s="393">
        <v>212315</v>
      </c>
      <c r="AV57" s="394">
        <v>84656</v>
      </c>
      <c r="AW57" s="394">
        <v>19943</v>
      </c>
      <c r="AX57" s="394">
        <v>73889</v>
      </c>
      <c r="AY57" s="394">
        <v>75480</v>
      </c>
      <c r="AZ57" s="1">
        <v>28015</v>
      </c>
      <c r="BA57" s="1">
        <v>0</v>
      </c>
      <c r="BB57" s="1">
        <v>984</v>
      </c>
      <c r="BC57" s="1">
        <v>13366</v>
      </c>
      <c r="BD57" s="1">
        <v>33115</v>
      </c>
      <c r="BE57" s="393">
        <v>207140</v>
      </c>
      <c r="BF57" s="394">
        <v>83222</v>
      </c>
      <c r="BG57" s="394">
        <v>21909</v>
      </c>
      <c r="BH57" s="394">
        <v>69247</v>
      </c>
      <c r="BI57" s="394">
        <v>65289</v>
      </c>
      <c r="BJ57" s="393">
        <v>211206</v>
      </c>
      <c r="BK57" s="394"/>
      <c r="BL57" s="394"/>
      <c r="BM57" s="394"/>
      <c r="BN57" s="394"/>
      <c r="BO57" s="393">
        <v>203412</v>
      </c>
      <c r="BP57" s="394">
        <v>69402</v>
      </c>
      <c r="BQ57" s="394">
        <v>25773</v>
      </c>
      <c r="BR57" s="394">
        <v>75418</v>
      </c>
      <c r="BS57" s="394">
        <v>73463</v>
      </c>
      <c r="BT57" s="393">
        <v>222572</v>
      </c>
      <c r="BU57" s="394">
        <v>71482</v>
      </c>
      <c r="BV57" s="394">
        <v>18165</v>
      </c>
      <c r="BW57" s="394">
        <v>84154</v>
      </c>
      <c r="BX57" s="394">
        <v>33362</v>
      </c>
      <c r="BY57" s="1">
        <v>0</v>
      </c>
      <c r="BZ57" s="1">
        <v>1135</v>
      </c>
      <c r="CA57" s="1">
        <v>47587</v>
      </c>
      <c r="CB57" s="1">
        <v>44139</v>
      </c>
      <c r="CC57" s="10">
        <v>474714</v>
      </c>
      <c r="CD57" s="3">
        <v>417689</v>
      </c>
      <c r="CE57" s="3">
        <v>32569</v>
      </c>
      <c r="CF57" s="3">
        <v>84154</v>
      </c>
      <c r="CG57" s="8">
        <v>24456</v>
      </c>
      <c r="CH57" s="10">
        <v>403537</v>
      </c>
      <c r="CI57" s="3">
        <v>318450</v>
      </c>
      <c r="CJ57" s="3">
        <v>32055</v>
      </c>
      <c r="CK57" s="3">
        <v>42352</v>
      </c>
      <c r="CL57" s="8">
        <v>53032</v>
      </c>
      <c r="CM57" s="1">
        <v>305615</v>
      </c>
      <c r="CN57" s="3">
        <v>222615</v>
      </c>
      <c r="CO57" s="3">
        <v>25939</v>
      </c>
      <c r="CP57" s="3">
        <v>40062</v>
      </c>
      <c r="CQ57" s="8">
        <v>40684</v>
      </c>
      <c r="CR57" s="3">
        <v>272537</v>
      </c>
      <c r="CS57" s="3">
        <v>200325</v>
      </c>
      <c r="CT57" s="3">
        <v>26053</v>
      </c>
      <c r="CU57" s="3">
        <v>48442</v>
      </c>
      <c r="CV57" s="8">
        <v>46159</v>
      </c>
      <c r="CW57" s="3">
        <v>262078</v>
      </c>
      <c r="CX57" s="3">
        <v>166173</v>
      </c>
      <c r="CY57" s="3">
        <v>27403</v>
      </c>
      <c r="CZ57" s="3">
        <v>48761</v>
      </c>
      <c r="DA57" s="3">
        <v>48584</v>
      </c>
      <c r="DB57" s="3">
        <v>253251</v>
      </c>
      <c r="DC57" s="3">
        <v>158410</v>
      </c>
      <c r="DD57" s="3">
        <v>28780</v>
      </c>
      <c r="DE57" s="3">
        <v>48577</v>
      </c>
      <c r="DF57" s="39">
        <v>46022</v>
      </c>
      <c r="DG57" s="39">
        <v>249308</v>
      </c>
      <c r="DH57" s="39">
        <v>151368</v>
      </c>
      <c r="DI57" s="39">
        <v>24681</v>
      </c>
      <c r="DJ57" s="39">
        <v>52636</v>
      </c>
      <c r="DK57" s="39">
        <v>49249</v>
      </c>
      <c r="DL57" s="39">
        <v>245853</v>
      </c>
      <c r="DM57" s="39">
        <v>146528</v>
      </c>
      <c r="DN57" s="39">
        <v>27761</v>
      </c>
      <c r="DO57" s="39">
        <v>54105</v>
      </c>
      <c r="DP57" s="39">
        <v>45971</v>
      </c>
      <c r="DQ57" s="39">
        <v>240370</v>
      </c>
      <c r="DR57" s="39">
        <v>135566</v>
      </c>
      <c r="DS57" s="39">
        <v>27346</v>
      </c>
      <c r="DT57" s="39">
        <v>58487</v>
      </c>
      <c r="DU57" s="39">
        <v>43164</v>
      </c>
      <c r="DV57" s="118">
        <v>235318</v>
      </c>
      <c r="DW57" s="39">
        <v>132795</v>
      </c>
      <c r="DX57" s="39">
        <v>27621</v>
      </c>
      <c r="DY57" s="39">
        <v>55581</v>
      </c>
      <c r="DZ57" s="39">
        <v>42204</v>
      </c>
      <c r="EA57" s="118">
        <v>235098</v>
      </c>
      <c r="EB57" s="39"/>
      <c r="EC57" s="39"/>
      <c r="ED57" s="39"/>
      <c r="EE57" s="39"/>
      <c r="EF57" s="118">
        <v>217529</v>
      </c>
      <c r="EG57" s="39">
        <v>118246</v>
      </c>
      <c r="EH57" s="39">
        <v>24429</v>
      </c>
      <c r="EI57" s="39">
        <v>54951</v>
      </c>
      <c r="EJ57" s="39">
        <v>43799</v>
      </c>
      <c r="EK57" s="118">
        <v>217529</v>
      </c>
      <c r="EL57" s="39">
        <v>118246</v>
      </c>
      <c r="EM57" s="39">
        <v>24429</v>
      </c>
      <c r="EN57" s="39">
        <v>54951</v>
      </c>
      <c r="EO57" s="39">
        <v>43799</v>
      </c>
      <c r="EP57" s="118">
        <v>216620</v>
      </c>
      <c r="EQ57" s="39">
        <v>105488</v>
      </c>
      <c r="ER57" s="39">
        <v>20441</v>
      </c>
      <c r="ES57" s="39">
        <v>59280</v>
      </c>
      <c r="ET57" s="1">
        <v>16191</v>
      </c>
      <c r="EU57" s="1">
        <v>0</v>
      </c>
      <c r="EV57" s="1">
        <v>1413</v>
      </c>
      <c r="EW57" s="1">
        <v>39405</v>
      </c>
      <c r="EX57" s="1">
        <v>28003</v>
      </c>
      <c r="EY57" s="10">
        <v>486217</v>
      </c>
      <c r="EZ57" s="3">
        <v>325150</v>
      </c>
      <c r="FA57" s="3">
        <v>46506</v>
      </c>
      <c r="FB57" s="3">
        <v>113223</v>
      </c>
      <c r="FC57" s="201">
        <f t="shared" si="651"/>
        <v>114561</v>
      </c>
      <c r="FD57" s="174" t="s">
        <v>221</v>
      </c>
      <c r="FE57" s="175" t="s">
        <v>221</v>
      </c>
      <c r="FF57" s="175" t="s">
        <v>221</v>
      </c>
      <c r="FG57" s="175" t="s">
        <v>221</v>
      </c>
      <c r="FH57" s="174" t="s">
        <v>221</v>
      </c>
      <c r="FI57" s="175" t="s">
        <v>221</v>
      </c>
      <c r="FJ57" s="175" t="s">
        <v>221</v>
      </c>
      <c r="FK57" s="175" t="s">
        <v>221</v>
      </c>
      <c r="FL57" s="176" t="s">
        <v>221</v>
      </c>
      <c r="FM57" s="10">
        <v>3169566</v>
      </c>
      <c r="FN57" s="3">
        <v>2958347</v>
      </c>
      <c r="FO57" s="3">
        <v>115710</v>
      </c>
      <c r="FP57" s="3">
        <v>67123</v>
      </c>
      <c r="FQ57" s="8">
        <v>95509</v>
      </c>
      <c r="FR57" s="10">
        <v>3622182</v>
      </c>
      <c r="FS57" s="3">
        <v>3238585</v>
      </c>
      <c r="FT57" s="3">
        <v>147998</v>
      </c>
      <c r="FU57" s="3">
        <v>120926</v>
      </c>
      <c r="FV57" s="3">
        <v>235599</v>
      </c>
      <c r="FW57" s="127">
        <v>3829730</v>
      </c>
      <c r="FX57" s="3">
        <v>3249626</v>
      </c>
      <c r="FY57" s="3">
        <v>197436</v>
      </c>
      <c r="FZ57" s="3">
        <v>220848</v>
      </c>
      <c r="GA57" s="3">
        <v>180786</v>
      </c>
      <c r="GB57" s="10">
        <v>3863872</v>
      </c>
      <c r="GC57" s="3">
        <v>3363118</v>
      </c>
      <c r="GD57" s="3">
        <v>188276</v>
      </c>
      <c r="GE57" s="3">
        <v>312478</v>
      </c>
      <c r="GF57" s="3">
        <v>187207</v>
      </c>
      <c r="GG57" s="10">
        <v>3943642</v>
      </c>
      <c r="GH57" s="40">
        <v>3433141</v>
      </c>
      <c r="GI57" s="40">
        <v>195369</v>
      </c>
      <c r="GJ57" s="40">
        <v>315132</v>
      </c>
      <c r="GK57" s="40">
        <v>192722</v>
      </c>
      <c r="GL57" s="10">
        <v>3929610</v>
      </c>
      <c r="GM57" s="3">
        <v>3387060</v>
      </c>
      <c r="GN57" s="3">
        <v>211012</v>
      </c>
      <c r="GO57" s="3">
        <v>207791</v>
      </c>
      <c r="GP57" s="3">
        <v>279210</v>
      </c>
      <c r="GQ57" s="10">
        <v>3974490.8279999997</v>
      </c>
      <c r="GR57" s="3">
        <v>3412208.767</v>
      </c>
      <c r="GS57" s="3">
        <v>216239.13500000001</v>
      </c>
      <c r="GT57" s="3">
        <v>218168.54</v>
      </c>
      <c r="GU57" s="373">
        <f t="shared" si="652"/>
        <v>346042.92599999974</v>
      </c>
      <c r="GV57" s="3">
        <v>4027303</v>
      </c>
      <c r="GW57" s="3">
        <v>3324878</v>
      </c>
      <c r="GX57" s="3">
        <v>222598</v>
      </c>
      <c r="GY57" s="3">
        <v>230782</v>
      </c>
      <c r="GZ57" s="3">
        <v>361044</v>
      </c>
      <c r="HA57" s="3">
        <v>4082244</v>
      </c>
      <c r="HB57" s="3">
        <v>3344721</v>
      </c>
      <c r="HC57" s="3">
        <v>228990</v>
      </c>
      <c r="HD57" s="3">
        <v>245837</v>
      </c>
      <c r="HE57" s="3">
        <v>382754</v>
      </c>
      <c r="HF57" s="3">
        <v>4174504</v>
      </c>
      <c r="HG57" s="3">
        <v>3375034</v>
      </c>
      <c r="HH57" s="3">
        <v>247740</v>
      </c>
      <c r="HI57" s="3">
        <v>264002</v>
      </c>
      <c r="HJ57" s="3">
        <v>407438</v>
      </c>
      <c r="HK57" s="3">
        <v>4247295</v>
      </c>
      <c r="HL57" s="3">
        <v>3391182</v>
      </c>
      <c r="HM57" s="3">
        <v>259713</v>
      </c>
      <c r="HN57" s="3">
        <v>286452</v>
      </c>
      <c r="HO57" s="3">
        <v>428556</v>
      </c>
      <c r="HP57" s="10">
        <v>4274830</v>
      </c>
      <c r="HQ57" s="3">
        <v>3388337</v>
      </c>
      <c r="HR57" s="3">
        <v>268826</v>
      </c>
      <c r="HS57" s="3">
        <v>298422</v>
      </c>
      <c r="HT57" s="3">
        <v>448270</v>
      </c>
      <c r="HU57" s="394">
        <v>250531</v>
      </c>
      <c r="HV57" s="1">
        <v>0</v>
      </c>
      <c r="HW57" s="1">
        <v>7104</v>
      </c>
      <c r="HX57" s="1">
        <v>73684</v>
      </c>
      <c r="HY57" s="1">
        <v>116951</v>
      </c>
      <c r="HZ57" s="10">
        <v>4346115</v>
      </c>
      <c r="IA57" s="3">
        <v>3400162</v>
      </c>
      <c r="IB57" s="3">
        <v>288190</v>
      </c>
      <c r="IC57" s="3">
        <v>329780</v>
      </c>
      <c r="ID57" s="3">
        <v>458327</v>
      </c>
      <c r="IE57" s="399">
        <v>4386424</v>
      </c>
      <c r="IF57" s="5"/>
      <c r="IG57" s="5"/>
      <c r="IH57" s="5"/>
      <c r="II57" s="5"/>
      <c r="IJ57" s="399">
        <v>4429635</v>
      </c>
      <c r="IK57" s="5">
        <v>3413667</v>
      </c>
      <c r="IL57" s="5">
        <v>300736</v>
      </c>
      <c r="IM57" s="5">
        <v>356159</v>
      </c>
      <c r="IN57" s="5">
        <v>515169</v>
      </c>
      <c r="IO57" s="399">
        <v>4495563</v>
      </c>
      <c r="IP57" s="5">
        <v>3354087</v>
      </c>
      <c r="IQ57" s="5">
        <v>268853</v>
      </c>
      <c r="IR57" s="5">
        <v>377142</v>
      </c>
      <c r="IS57" s="5">
        <v>821163</v>
      </c>
      <c r="IT57" s="1">
        <v>294668</v>
      </c>
      <c r="IU57" s="1">
        <v>0</v>
      </c>
      <c r="IV57" s="1">
        <v>8310</v>
      </c>
      <c r="IW57" s="1">
        <v>341573</v>
      </c>
      <c r="IX57" s="1">
        <v>176612</v>
      </c>
      <c r="IY57" s="380" t="s">
        <v>221</v>
      </c>
      <c r="IZ57" s="188" t="s">
        <v>221</v>
      </c>
      <c r="JA57" s="188" t="s">
        <v>221</v>
      </c>
      <c r="JB57" s="188" t="s">
        <v>221</v>
      </c>
      <c r="JC57" s="635" t="s">
        <v>221</v>
      </c>
      <c r="JD57" s="399">
        <v>912058</v>
      </c>
      <c r="JE57" s="5">
        <v>846805</v>
      </c>
      <c r="JF57" s="5">
        <v>40817</v>
      </c>
      <c r="JG57" s="5">
        <v>21286</v>
      </c>
      <c r="JH57" s="408">
        <v>24436</v>
      </c>
      <c r="JI57" s="399">
        <v>1038398</v>
      </c>
      <c r="JJ57" s="5">
        <v>924797</v>
      </c>
      <c r="JK57" s="5">
        <v>53583</v>
      </c>
      <c r="JL57" s="5">
        <v>39129</v>
      </c>
      <c r="JM57" s="408">
        <v>60018</v>
      </c>
      <c r="JN57" s="5">
        <v>998320</v>
      </c>
      <c r="JO57" s="5">
        <v>843643</v>
      </c>
      <c r="JP57" s="5">
        <v>65776</v>
      </c>
      <c r="JQ57" s="5">
        <v>51844</v>
      </c>
      <c r="JR57" s="5">
        <v>65532</v>
      </c>
      <c r="JS57" s="399">
        <v>1069569</v>
      </c>
      <c r="JT57" s="5">
        <v>915393</v>
      </c>
      <c r="JU57" s="5">
        <v>80332</v>
      </c>
      <c r="JV57" s="5">
        <v>65429</v>
      </c>
      <c r="JW57" s="408">
        <v>73844</v>
      </c>
      <c r="JX57" s="399">
        <v>1079491.3359999999</v>
      </c>
      <c r="JY57" s="5">
        <v>923127.67299999995</v>
      </c>
      <c r="JZ57" s="5">
        <v>81450.95</v>
      </c>
      <c r="KA57" s="5">
        <v>69191.539999999994</v>
      </c>
      <c r="KB57" s="408">
        <v>74912.712999999945</v>
      </c>
      <c r="KC57" s="5">
        <v>1088662</v>
      </c>
      <c r="KD57" s="5">
        <v>888834</v>
      </c>
      <c r="KE57" s="5">
        <v>82748</v>
      </c>
      <c r="KF57" s="5">
        <v>73976</v>
      </c>
      <c r="KG57" s="439">
        <v>80680</v>
      </c>
      <c r="KH57" s="439">
        <v>1099350</v>
      </c>
      <c r="KI57" s="439">
        <v>891084</v>
      </c>
      <c r="KJ57" s="439">
        <v>83552</v>
      </c>
      <c r="KK57" s="439">
        <v>80249</v>
      </c>
      <c r="KL57" s="439">
        <v>85867</v>
      </c>
      <c r="KM57" s="439">
        <v>1096743</v>
      </c>
      <c r="KN57" s="439">
        <v>876993</v>
      </c>
      <c r="KO57" s="439">
        <v>92471</v>
      </c>
      <c r="KP57" s="439">
        <v>80528</v>
      </c>
      <c r="KQ57" s="439">
        <v>86584</v>
      </c>
      <c r="KR57" s="439">
        <v>1111183</v>
      </c>
      <c r="KS57" s="439">
        <v>873790</v>
      </c>
      <c r="KT57" s="439">
        <v>97127</v>
      </c>
      <c r="KU57" s="439">
        <v>86658</v>
      </c>
      <c r="KV57" s="439">
        <v>92701</v>
      </c>
      <c r="KW57" s="630">
        <v>1097988</v>
      </c>
      <c r="KX57" s="439">
        <v>854387</v>
      </c>
      <c r="KY57" s="439">
        <v>92916</v>
      </c>
      <c r="KZ57" s="439">
        <v>95726</v>
      </c>
      <c r="LA57" s="439">
        <v>98306</v>
      </c>
      <c r="LB57" s="652">
        <v>1103918</v>
      </c>
      <c r="LC57" s="653">
        <v>842223</v>
      </c>
      <c r="LD57" s="653">
        <v>101740</v>
      </c>
      <c r="LE57" s="653">
        <v>108450</v>
      </c>
      <c r="LF57" s="653">
        <v>94403</v>
      </c>
      <c r="LG57" s="652">
        <v>1108231</v>
      </c>
      <c r="LH57" s="653"/>
      <c r="LI57" s="439"/>
      <c r="LJ57" s="439"/>
      <c r="LK57" s="439"/>
      <c r="LL57" s="652">
        <v>1089826</v>
      </c>
      <c r="LM57" s="653">
        <v>824779</v>
      </c>
      <c r="LN57" s="653">
        <v>104131</v>
      </c>
      <c r="LO57" s="653">
        <v>110814</v>
      </c>
      <c r="LP57" s="653">
        <v>100077</v>
      </c>
      <c r="LQ57" s="652">
        <v>1071006</v>
      </c>
      <c r="LR57" s="653">
        <v>791930</v>
      </c>
      <c r="LS57" s="653">
        <v>92443</v>
      </c>
      <c r="LT57" s="653">
        <v>105906</v>
      </c>
      <c r="LU57" s="653">
        <v>172399</v>
      </c>
      <c r="LV57" s="1">
        <v>32254</v>
      </c>
      <c r="LW57" s="1">
        <v>0</v>
      </c>
      <c r="LX57" s="1">
        <v>3415</v>
      </c>
      <c r="LY57" s="1">
        <v>86870</v>
      </c>
      <c r="LZ57" s="1">
        <v>49860</v>
      </c>
      <c r="MA57" s="10">
        <v>287114</v>
      </c>
      <c r="MB57" s="3">
        <v>268396</v>
      </c>
      <c r="MC57" s="3">
        <v>10961</v>
      </c>
      <c r="MD57" s="3">
        <v>5762</v>
      </c>
      <c r="ME57" s="8">
        <v>7757</v>
      </c>
      <c r="MF57" s="10">
        <v>308263</v>
      </c>
      <c r="MG57" s="3">
        <v>277415</v>
      </c>
      <c r="MH57" s="3">
        <v>14185</v>
      </c>
      <c r="MI57" s="3">
        <v>9484</v>
      </c>
      <c r="MJ57" s="8">
        <v>16663</v>
      </c>
      <c r="MK57" s="3">
        <v>327905</v>
      </c>
      <c r="ML57" s="3">
        <v>282068</v>
      </c>
      <c r="MM57" s="3">
        <v>18503</v>
      </c>
      <c r="MN57" s="3">
        <v>13711</v>
      </c>
      <c r="MO57" s="3">
        <v>20780</v>
      </c>
      <c r="MP57" s="10">
        <v>338746</v>
      </c>
      <c r="MQ57" s="3">
        <v>295144</v>
      </c>
      <c r="MR57" s="3">
        <v>22112</v>
      </c>
      <c r="MS57" s="3">
        <v>16621</v>
      </c>
      <c r="MT57" s="3">
        <v>21490</v>
      </c>
      <c r="MU57" s="10"/>
      <c r="MV57" s="3"/>
      <c r="MW57" s="3"/>
      <c r="MX57" s="3"/>
      <c r="MY57" s="8"/>
      <c r="MZ57" s="3">
        <v>344547</v>
      </c>
      <c r="NA57" s="3">
        <v>291273</v>
      </c>
      <c r="NB57" s="3">
        <v>21859</v>
      </c>
      <c r="NC57" s="3">
        <v>17294</v>
      </c>
      <c r="ND57" s="3">
        <v>22299</v>
      </c>
      <c r="NE57" s="3">
        <v>351164</v>
      </c>
      <c r="NF57" s="3">
        <v>296209</v>
      </c>
      <c r="NG57" s="3">
        <v>21671</v>
      </c>
      <c r="NH57" s="3">
        <v>18429</v>
      </c>
      <c r="NI57" s="3">
        <v>23503</v>
      </c>
      <c r="NJ57" s="3">
        <v>365816</v>
      </c>
      <c r="NK57" s="3">
        <v>306142</v>
      </c>
      <c r="NL57" s="3">
        <v>25372</v>
      </c>
      <c r="NM57" s="3">
        <v>18881</v>
      </c>
      <c r="NN57" s="3">
        <v>228676</v>
      </c>
      <c r="NO57" s="3">
        <v>362478</v>
      </c>
      <c r="NP57" s="3">
        <v>296907</v>
      </c>
      <c r="NQ57" s="3">
        <v>26558</v>
      </c>
      <c r="NR57" s="3">
        <v>23301</v>
      </c>
      <c r="NS57" s="3">
        <v>25862</v>
      </c>
      <c r="NT57" s="3">
        <v>363356</v>
      </c>
      <c r="NU57" s="3">
        <v>294587</v>
      </c>
      <c r="NV57" s="3">
        <v>25178</v>
      </c>
      <c r="NW57" s="3">
        <v>23083</v>
      </c>
      <c r="NX57" s="3">
        <v>31178</v>
      </c>
      <c r="NY57" s="10">
        <v>360700</v>
      </c>
      <c r="NZ57" s="3">
        <v>288031</v>
      </c>
      <c r="OA57" s="3">
        <v>27526</v>
      </c>
      <c r="OB57" s="3">
        <v>29474</v>
      </c>
      <c r="OC57" s="3">
        <v>26638</v>
      </c>
      <c r="OD57" s="10">
        <v>366687</v>
      </c>
      <c r="OE57" s="3"/>
      <c r="OF57" s="3"/>
      <c r="OG57" s="3"/>
      <c r="OH57" s="3"/>
      <c r="OI57" s="10">
        <v>360810</v>
      </c>
      <c r="OJ57" s="3">
        <v>286905</v>
      </c>
      <c r="OK57" s="3">
        <v>30598</v>
      </c>
      <c r="OL57" s="3">
        <v>26515</v>
      </c>
      <c r="OM57" s="3">
        <v>27610</v>
      </c>
      <c r="ON57" s="10">
        <v>376568</v>
      </c>
      <c r="OO57" s="3">
        <v>288981</v>
      </c>
      <c r="OP57" s="3">
        <v>29935</v>
      </c>
      <c r="OQ57" s="3">
        <v>32685</v>
      </c>
      <c r="OR57" s="3">
        <v>13255</v>
      </c>
      <c r="OS57" s="1">
        <v>12558</v>
      </c>
      <c r="OT57" s="1">
        <v>0</v>
      </c>
      <c r="OU57" s="1">
        <v>760</v>
      </c>
      <c r="OV57" s="1">
        <v>26788</v>
      </c>
      <c r="OW57" s="1">
        <v>13255</v>
      </c>
      <c r="OX57" s="402">
        <f t="shared" si="653"/>
        <v>1164933</v>
      </c>
      <c r="OY57" s="382">
        <f t="shared" si="654"/>
        <v>888052</v>
      </c>
      <c r="OZ57" s="382">
        <f t="shared" si="655"/>
        <v>30494</v>
      </c>
      <c r="PA57" s="382">
        <f t="shared" si="656"/>
        <v>151434</v>
      </c>
      <c r="PB57" s="382">
        <f t="shared" si="657"/>
        <v>82335</v>
      </c>
      <c r="PC57" s="402">
        <f t="shared" si="658"/>
        <v>1726558</v>
      </c>
      <c r="PD57" s="382">
        <f t="shared" si="659"/>
        <v>1555536</v>
      </c>
      <c r="PE57" s="382">
        <f t="shared" si="660"/>
        <v>52434</v>
      </c>
      <c r="PF57" s="382">
        <f t="shared" si="661"/>
        <v>39229</v>
      </c>
      <c r="PG57" s="382">
        <f t="shared" si="662"/>
        <v>118588</v>
      </c>
      <c r="PH57" s="10">
        <v>1665606</v>
      </c>
      <c r="PI57" s="3">
        <v>1453493</v>
      </c>
      <c r="PJ57" s="3">
        <v>69175</v>
      </c>
      <c r="PK57" s="3">
        <v>58238</v>
      </c>
      <c r="PL57" s="3">
        <v>142938</v>
      </c>
      <c r="PM57" s="3">
        <v>1942510</v>
      </c>
      <c r="PN57" s="3">
        <v>1677441</v>
      </c>
      <c r="PO57" s="3">
        <v>65811</v>
      </c>
      <c r="PP57" s="3">
        <v>57619</v>
      </c>
      <c r="PQ57" s="3">
        <v>165775</v>
      </c>
      <c r="PR57" s="399"/>
      <c r="PS57" s="5"/>
      <c r="PT57" s="5"/>
      <c r="PU57" s="5"/>
      <c r="PV57" s="5"/>
      <c r="PW57" s="5">
        <v>2112473</v>
      </c>
      <c r="PX57" s="5">
        <v>1786566</v>
      </c>
      <c r="PY57" s="5">
        <v>82692</v>
      </c>
      <c r="PZ57" s="5">
        <v>75385</v>
      </c>
      <c r="QA57" s="408">
        <v>196503</v>
      </c>
      <c r="QB57" s="5">
        <v>2155925</v>
      </c>
      <c r="QC57" s="5">
        <v>1811572</v>
      </c>
      <c r="QD57" s="5">
        <v>86664</v>
      </c>
      <c r="QE57" s="5">
        <v>81061</v>
      </c>
      <c r="QF57" s="5">
        <v>206831</v>
      </c>
      <c r="QG57" s="5">
        <v>2282545</v>
      </c>
      <c r="QH57" s="5">
        <v>1903528</v>
      </c>
      <c r="QI57" s="5">
        <v>94262</v>
      </c>
      <c r="QJ57" s="5">
        <v>87331</v>
      </c>
      <c r="QK57" s="5">
        <v>228676</v>
      </c>
      <c r="QL57" s="399">
        <v>2314167</v>
      </c>
      <c r="QM57" s="5">
        <v>1908019</v>
      </c>
      <c r="QN57" s="5">
        <v>97348</v>
      </c>
      <c r="QO57" s="5">
        <v>97052</v>
      </c>
      <c r="QP57" s="5">
        <v>245884</v>
      </c>
      <c r="QQ57" s="399">
        <v>2383702</v>
      </c>
      <c r="QR57" s="5">
        <v>1955855</v>
      </c>
      <c r="QS57" s="5">
        <v>104146</v>
      </c>
      <c r="QT57" s="5">
        <v>100441</v>
      </c>
      <c r="QU57" s="5">
        <v>257535</v>
      </c>
      <c r="QV57" s="399">
        <v>2439371</v>
      </c>
      <c r="QW57" s="5">
        <v>1976708</v>
      </c>
      <c r="QX57" s="5">
        <v>114963</v>
      </c>
      <c r="QY57" s="5">
        <v>112642</v>
      </c>
      <c r="QZ57" s="5">
        <v>272850</v>
      </c>
      <c r="RA57" s="399">
        <v>2518697</v>
      </c>
      <c r="RB57" s="5"/>
      <c r="RC57" s="5"/>
      <c r="RD57" s="5"/>
      <c r="RE57" s="5"/>
      <c r="RF57" s="5">
        <v>2542553</v>
      </c>
      <c r="RG57" s="5">
        <v>2022907</v>
      </c>
      <c r="RH57" s="5">
        <v>128701</v>
      </c>
      <c r="RI57" s="5">
        <v>127749</v>
      </c>
      <c r="RJ57" s="5">
        <v>313032</v>
      </c>
      <c r="RK57" s="5">
        <v>2676991</v>
      </c>
      <c r="RL57" s="5">
        <v>2060757</v>
      </c>
      <c r="RM57" s="5">
        <v>127841</v>
      </c>
      <c r="RN57" s="5">
        <v>153030</v>
      </c>
      <c r="RO57" s="5">
        <v>466280</v>
      </c>
      <c r="RP57" s="1">
        <v>233216</v>
      </c>
      <c r="RQ57" s="1">
        <v>0</v>
      </c>
      <c r="RR57" s="1">
        <v>2989</v>
      </c>
      <c r="RS57" s="1">
        <v>162443</v>
      </c>
      <c r="RT57" s="1">
        <v>67632</v>
      </c>
      <c r="RU57" s="10">
        <v>657161</v>
      </c>
      <c r="RV57" s="3">
        <v>619656</v>
      </c>
      <c r="RW57" s="3">
        <v>17304</v>
      </c>
      <c r="RX57" s="3">
        <v>10017</v>
      </c>
      <c r="RY57" s="3">
        <v>20201</v>
      </c>
      <c r="RZ57" s="10">
        <v>834554</v>
      </c>
      <c r="SA57" s="3">
        <v>759773</v>
      </c>
      <c r="SB57" s="3">
        <v>23463</v>
      </c>
      <c r="SC57" s="3">
        <v>16757</v>
      </c>
      <c r="SD57" s="3">
        <v>51318</v>
      </c>
      <c r="SE57" s="10">
        <v>930199</v>
      </c>
      <c r="SF57" s="3">
        <v>812599</v>
      </c>
      <c r="SG57" s="3">
        <v>30136</v>
      </c>
      <c r="SH57" s="3">
        <v>26625</v>
      </c>
      <c r="SI57" s="3"/>
      <c r="SJ57" s="10">
        <v>971837</v>
      </c>
      <c r="SK57" s="3">
        <v>855592</v>
      </c>
      <c r="SL57" s="3">
        <v>38109</v>
      </c>
      <c r="SM57" s="3">
        <v>33470</v>
      </c>
      <c r="SN57" s="3">
        <v>78136</v>
      </c>
      <c r="SO57" s="10">
        <v>985816.46799999999</v>
      </c>
      <c r="SP57" s="3">
        <v>863329.929</v>
      </c>
      <c r="SQ57" s="3">
        <v>38360.769999999997</v>
      </c>
      <c r="SR57" s="3">
        <v>34430.240000000005</v>
      </c>
      <c r="SS57" s="3">
        <v>84125.769</v>
      </c>
      <c r="ST57" s="10">
        <v>1004893</v>
      </c>
      <c r="SU57" s="3">
        <v>859295</v>
      </c>
      <c r="SV57" s="3">
        <v>38916</v>
      </c>
      <c r="SW57" s="3">
        <v>35756</v>
      </c>
      <c r="SX57" s="3">
        <v>85093</v>
      </c>
      <c r="SY57" s="3">
        <v>1018465</v>
      </c>
      <c r="SZ57" s="3">
        <v>866395</v>
      </c>
      <c r="TA57" s="3">
        <v>41385</v>
      </c>
      <c r="TB57" s="3">
        <v>37705</v>
      </c>
      <c r="TC57" s="3">
        <v>87609</v>
      </c>
      <c r="TD57" s="3">
        <v>1077993</v>
      </c>
      <c r="TE57" s="3">
        <v>914083</v>
      </c>
      <c r="TF57" s="3">
        <v>41618</v>
      </c>
      <c r="TG57" s="3">
        <v>41293</v>
      </c>
      <c r="TH57" s="3">
        <v>95785</v>
      </c>
      <c r="TI57" s="3">
        <v>1086715</v>
      </c>
      <c r="TJ57" s="3">
        <v>908404</v>
      </c>
      <c r="TK57" s="3">
        <v>45681</v>
      </c>
      <c r="TL57" s="3">
        <v>42780</v>
      </c>
      <c r="TM57" s="3">
        <v>106406</v>
      </c>
      <c r="TN57" s="3">
        <v>1124295</v>
      </c>
      <c r="TO57" s="3">
        <v>937737</v>
      </c>
      <c r="TP57" s="3">
        <v>49487</v>
      </c>
      <c r="TQ57" s="3">
        <v>46466</v>
      </c>
      <c r="TR57" s="3">
        <v>106719</v>
      </c>
      <c r="TS57" s="10">
        <v>1146586</v>
      </c>
      <c r="TT57" s="3">
        <v>944160</v>
      </c>
      <c r="TU57" s="3">
        <v>56549</v>
      </c>
      <c r="TV57" s="3">
        <v>50578</v>
      </c>
      <c r="TW57" s="3">
        <v>113985</v>
      </c>
      <c r="TX57" s="10">
        <v>1178868</v>
      </c>
      <c r="TY57" s="3"/>
      <c r="TZ57" s="3"/>
      <c r="UA57" s="3"/>
      <c r="UB57" s="3"/>
      <c r="UC57" s="10">
        <v>1197208</v>
      </c>
      <c r="UD57" s="3">
        <v>972381</v>
      </c>
      <c r="UE57" s="3">
        <v>60555</v>
      </c>
      <c r="UF57" s="3">
        <v>59342</v>
      </c>
      <c r="UG57" s="3">
        <v>131106</v>
      </c>
      <c r="UH57" s="10">
        <v>1250748</v>
      </c>
      <c r="UI57" s="3">
        <v>976750</v>
      </c>
      <c r="UJ57" s="3">
        <v>60114</v>
      </c>
      <c r="UK57" s="3">
        <v>71405</v>
      </c>
      <c r="UL57" s="3">
        <v>204598</v>
      </c>
      <c r="UM57" s="1">
        <v>91013</v>
      </c>
      <c r="UN57" s="1">
        <v>0</v>
      </c>
      <c r="UO57" s="1">
        <v>1005</v>
      </c>
      <c r="UP57" s="1">
        <v>75038</v>
      </c>
      <c r="UQ57" s="1">
        <v>54377</v>
      </c>
      <c r="UR57" s="588">
        <f t="shared" si="663"/>
        <v>261349</v>
      </c>
      <c r="US57" s="40">
        <v>164005</v>
      </c>
      <c r="UT57" s="40">
        <v>97344</v>
      </c>
      <c r="UU57" s="588">
        <f t="shared" si="664"/>
        <v>4053</v>
      </c>
      <c r="UV57" s="40">
        <v>2357</v>
      </c>
      <c r="UW57" s="40">
        <v>1696</v>
      </c>
      <c r="UX57" s="10">
        <v>394081</v>
      </c>
      <c r="UY57" s="588">
        <f t="shared" si="665"/>
        <v>239657</v>
      </c>
      <c r="UZ57" s="588">
        <f t="shared" si="666"/>
        <v>154424</v>
      </c>
      <c r="VA57" s="588">
        <f t="shared" si="667"/>
        <v>385589</v>
      </c>
      <c r="VB57" s="40">
        <v>234565</v>
      </c>
      <c r="VC57" s="40">
        <v>151024</v>
      </c>
      <c r="VD57" s="588">
        <f t="shared" si="668"/>
        <v>4370</v>
      </c>
      <c r="VE57" s="40">
        <v>2371</v>
      </c>
      <c r="VF57" s="40">
        <v>1999</v>
      </c>
      <c r="VG57" s="588">
        <f t="shared" si="669"/>
        <v>4122</v>
      </c>
      <c r="VH57" s="40">
        <v>2721</v>
      </c>
      <c r="VI57" s="40">
        <v>1401</v>
      </c>
      <c r="VJ57" s="10">
        <v>693630</v>
      </c>
      <c r="VK57" s="588">
        <f t="shared" si="670"/>
        <v>397358</v>
      </c>
      <c r="VL57" s="588">
        <f t="shared" si="671"/>
        <v>296272</v>
      </c>
      <c r="VM57" s="240">
        <f t="shared" si="672"/>
        <v>660310</v>
      </c>
      <c r="VN57" s="40">
        <v>378542</v>
      </c>
      <c r="VO57" s="40">
        <v>281768</v>
      </c>
      <c r="VP57" s="40">
        <v>18816</v>
      </c>
      <c r="VQ57" s="40">
        <v>14504</v>
      </c>
      <c r="VR57" s="240">
        <f t="shared" si="673"/>
        <v>12779</v>
      </c>
      <c r="VS57" s="40">
        <v>6879</v>
      </c>
      <c r="VT57" s="40">
        <v>5900</v>
      </c>
      <c r="VU57" s="240">
        <f t="shared" si="674"/>
        <v>7143</v>
      </c>
      <c r="VV57" s="40">
        <v>4098</v>
      </c>
      <c r="VW57" s="40">
        <v>3045</v>
      </c>
      <c r="VX57" s="233">
        <f t="shared" si="675"/>
        <v>13398</v>
      </c>
      <c r="VY57" s="233">
        <f t="shared" si="676"/>
        <v>7839</v>
      </c>
      <c r="VZ57" s="233">
        <f t="shared" si="677"/>
        <v>5559</v>
      </c>
      <c r="WA57" s="234">
        <f t="shared" si="678"/>
        <v>970</v>
      </c>
      <c r="WB57" s="234">
        <f t="shared" si="679"/>
        <v>516</v>
      </c>
      <c r="WC57" s="234">
        <f t="shared" si="680"/>
        <v>454</v>
      </c>
      <c r="WD57" s="40">
        <v>12428</v>
      </c>
      <c r="WE57" s="40">
        <v>7323</v>
      </c>
      <c r="WF57" s="40">
        <v>5105</v>
      </c>
      <c r="WG57" s="12">
        <f t="shared" si="681"/>
        <v>877819</v>
      </c>
      <c r="WH57" s="588">
        <f t="shared" si="682"/>
        <v>569017</v>
      </c>
      <c r="WI57" s="588">
        <f t="shared" si="683"/>
        <v>509982</v>
      </c>
      <c r="WJ57" s="11">
        <f t="shared" si="684"/>
        <v>619656</v>
      </c>
      <c r="WK57" s="90">
        <f t="shared" si="685"/>
        <v>997510</v>
      </c>
      <c r="WL57" s="40">
        <v>525794</v>
      </c>
      <c r="WM57" s="40">
        <v>471716</v>
      </c>
      <c r="WN57" s="40">
        <v>43223</v>
      </c>
      <c r="WO57" s="40">
        <v>38266</v>
      </c>
      <c r="WP57" s="11">
        <f t="shared" si="686"/>
        <v>19533</v>
      </c>
      <c r="WQ57" s="90">
        <f t="shared" si="687"/>
        <v>27172</v>
      </c>
      <c r="WR57" s="40">
        <v>13893</v>
      </c>
      <c r="WS57" s="40">
        <v>13279</v>
      </c>
      <c r="WT57" s="11">
        <f t="shared" si="688"/>
        <v>17522</v>
      </c>
      <c r="WU57" s="40">
        <v>8881</v>
      </c>
      <c r="WV57" s="40">
        <v>8641</v>
      </c>
      <c r="WW57" s="11">
        <f t="shared" si="689"/>
        <v>74578</v>
      </c>
      <c r="WX57" s="257">
        <f t="shared" si="690"/>
        <v>20449</v>
      </c>
      <c r="WY57" s="235">
        <f t="shared" si="691"/>
        <v>16346</v>
      </c>
      <c r="WZ57" s="236">
        <f t="shared" si="692"/>
        <v>3760</v>
      </c>
      <c r="XA57" s="236">
        <f t="shared" si="693"/>
        <v>467</v>
      </c>
      <c r="XB57" s="236">
        <f t="shared" si="694"/>
        <v>3293</v>
      </c>
      <c r="XC57" s="589">
        <f t="shared" si="695"/>
        <v>33035</v>
      </c>
      <c r="XD57" s="589">
        <f t="shared" si="696"/>
        <v>19982</v>
      </c>
      <c r="XE57" s="589">
        <f t="shared" si="697"/>
        <v>13053</v>
      </c>
      <c r="XF57" s="40">
        <v>495</v>
      </c>
      <c r="XG57" s="40">
        <v>527</v>
      </c>
      <c r="XH57" s="40">
        <v>19487</v>
      </c>
      <c r="XI57" s="40">
        <v>12526</v>
      </c>
      <c r="XJ57" s="590">
        <v>1418295</v>
      </c>
      <c r="XK57" s="40">
        <v>705781</v>
      </c>
      <c r="XL57" s="40">
        <v>712514</v>
      </c>
      <c r="XM57" s="5">
        <f t="shared" si="698"/>
        <v>1278121</v>
      </c>
      <c r="XN57" s="5">
        <v>635038</v>
      </c>
      <c r="XO57" s="5">
        <v>643083</v>
      </c>
      <c r="XP57" s="84">
        <f t="shared" si="699"/>
        <v>1260183</v>
      </c>
      <c r="XQ57" s="40">
        <v>626840</v>
      </c>
      <c r="XR57" s="40">
        <v>633343</v>
      </c>
      <c r="XS57" s="5">
        <f t="shared" si="700"/>
        <v>38249</v>
      </c>
      <c r="XT57" s="40">
        <v>18066</v>
      </c>
      <c r="XU57" s="40">
        <v>20183</v>
      </c>
      <c r="XV57" s="5">
        <f t="shared" si="701"/>
        <v>29745</v>
      </c>
      <c r="XW57" s="40">
        <v>13278</v>
      </c>
      <c r="XX57" s="40">
        <v>16467</v>
      </c>
      <c r="XY57" s="84">
        <f t="shared" si="702"/>
        <v>101925</v>
      </c>
      <c r="XZ57" s="84">
        <f t="shared" si="703"/>
        <v>52677</v>
      </c>
      <c r="YA57" s="84">
        <f t="shared" si="704"/>
        <v>49248</v>
      </c>
      <c r="YB57" s="587">
        <v>1614605</v>
      </c>
      <c r="YC57" s="40">
        <v>1395373</v>
      </c>
      <c r="YD57" s="40">
        <v>47308</v>
      </c>
      <c r="YE57" s="40">
        <v>43908</v>
      </c>
      <c r="YF57" s="5">
        <v>144995</v>
      </c>
      <c r="YG57" s="590">
        <v>1648874</v>
      </c>
      <c r="YH57" s="3">
        <v>1448823</v>
      </c>
      <c r="YI57" s="3">
        <v>50867</v>
      </c>
      <c r="YJ57" s="3">
        <v>149184</v>
      </c>
      <c r="YK57" s="3">
        <v>45154</v>
      </c>
      <c r="YL57" s="590">
        <v>1698004</v>
      </c>
      <c r="YM57" s="3">
        <v>1493150</v>
      </c>
      <c r="YN57" s="3">
        <v>54287</v>
      </c>
      <c r="YO57" s="3">
        <v>150567</v>
      </c>
      <c r="YP57" s="3">
        <v>46585</v>
      </c>
      <c r="YQ57" s="10">
        <v>1702998</v>
      </c>
      <c r="YR57" s="3">
        <v>1482005</v>
      </c>
      <c r="YS57" s="3">
        <v>58351</v>
      </c>
      <c r="YT57" s="3">
        <v>162642</v>
      </c>
      <c r="YU57" s="3">
        <v>52489</v>
      </c>
      <c r="YV57" s="10">
        <v>1730754.7039999999</v>
      </c>
      <c r="YW57" s="3">
        <v>1502418.318</v>
      </c>
      <c r="YX57" s="3">
        <v>58854.879999999997</v>
      </c>
      <c r="YY57" s="3">
        <v>55287.020000000004</v>
      </c>
      <c r="YZ57" s="3">
        <v>169481.50599999994</v>
      </c>
      <c r="ZA57" s="3">
        <v>1767926</v>
      </c>
      <c r="ZB57" s="3">
        <v>1495293</v>
      </c>
      <c r="ZC57" s="3">
        <v>60833</v>
      </c>
      <c r="ZD57" s="3">
        <v>58091</v>
      </c>
      <c r="ZE57" s="1">
        <v>174204</v>
      </c>
      <c r="ZF57" s="1">
        <v>1804761</v>
      </c>
      <c r="ZG57" s="1">
        <v>1515363</v>
      </c>
      <c r="ZH57" s="1">
        <v>64993</v>
      </c>
      <c r="ZI57" s="1">
        <v>62632</v>
      </c>
      <c r="ZJ57" s="1">
        <v>183328</v>
      </c>
      <c r="ZK57" s="1">
        <v>1916729</v>
      </c>
      <c r="ZL57" s="1">
        <v>1597386</v>
      </c>
      <c r="ZM57" s="1">
        <v>68890</v>
      </c>
      <c r="ZN57" s="1">
        <v>68450</v>
      </c>
      <c r="ZO57" s="1">
        <v>204444</v>
      </c>
      <c r="ZP57" s="1">
        <v>1951689</v>
      </c>
      <c r="ZQ57" s="1">
        <v>1611112</v>
      </c>
      <c r="ZR57" s="1">
        <v>70790</v>
      </c>
      <c r="ZS57" s="1">
        <v>73751</v>
      </c>
      <c r="ZT57" s="1">
        <v>220022</v>
      </c>
      <c r="ZU57" s="1">
        <v>2020346</v>
      </c>
      <c r="ZV57" s="1">
        <v>1661268</v>
      </c>
      <c r="ZW57" s="1">
        <v>78968</v>
      </c>
      <c r="ZX57" s="1">
        <v>77358</v>
      </c>
      <c r="ZY57" s="1">
        <v>226357</v>
      </c>
      <c r="ZZ57" s="394">
        <v>174202</v>
      </c>
      <c r="AAA57" s="1">
        <v>0</v>
      </c>
      <c r="AAB57" s="1">
        <v>1957</v>
      </c>
      <c r="AAC57" s="1">
        <v>29192</v>
      </c>
      <c r="AAD57" s="1">
        <v>21006</v>
      </c>
      <c r="AAE57" s="50">
        <v>2078671</v>
      </c>
      <c r="AAF57" s="1">
        <v>1688677</v>
      </c>
      <c r="AAG57" s="1">
        <v>87437</v>
      </c>
      <c r="AAH57" s="1">
        <v>83168</v>
      </c>
      <c r="AAI57" s="1">
        <v>246212</v>
      </c>
      <c r="AAJ57" s="50">
        <v>2152010</v>
      </c>
      <c r="AAK57" s="1"/>
      <c r="AAL57" s="1"/>
      <c r="AAM57" s="1"/>
      <c r="AAN57" s="1"/>
      <c r="AAO57" s="68">
        <v>2181743</v>
      </c>
      <c r="AAP57" s="37">
        <v>1736002</v>
      </c>
      <c r="AAQ57" s="37">
        <v>98103</v>
      </c>
      <c r="AAR57" s="37">
        <v>101234</v>
      </c>
      <c r="AAS57" s="37">
        <v>285422</v>
      </c>
      <c r="AAT57" s="68">
        <v>2300423</v>
      </c>
      <c r="AAU57" s="37">
        <v>1771776</v>
      </c>
      <c r="AAV57" s="37">
        <v>97906</v>
      </c>
      <c r="AAW57" s="37">
        <v>120345</v>
      </c>
      <c r="AAX57" s="37">
        <v>412919</v>
      </c>
      <c r="AAY57" s="1">
        <v>220658</v>
      </c>
      <c r="AAZ57" s="1">
        <v>0</v>
      </c>
      <c r="ABA57" s="1">
        <v>2229</v>
      </c>
      <c r="ABB57" s="1">
        <v>135655</v>
      </c>
      <c r="ABC57" s="1">
        <v>54377</v>
      </c>
      <c r="ABD57" s="10">
        <v>583741</v>
      </c>
      <c r="ABE57" s="3">
        <v>518348</v>
      </c>
      <c r="ABF57" s="3">
        <v>14786</v>
      </c>
      <c r="ABG57" s="3">
        <v>12988</v>
      </c>
      <c r="ABH57" s="3">
        <v>50607</v>
      </c>
      <c r="ABI57" s="10">
        <v>684406</v>
      </c>
      <c r="ABJ57" s="3">
        <v>582774</v>
      </c>
      <c r="ABK57" s="3">
        <v>17172</v>
      </c>
      <c r="ABL57" s="3">
        <v>17283</v>
      </c>
      <c r="ABM57" s="3">
        <v>72679</v>
      </c>
      <c r="ABN57" s="10">
        <v>731161</v>
      </c>
      <c r="ABO57" s="3">
        <v>626413</v>
      </c>
      <c r="ABP57" s="3">
        <v>20242</v>
      </c>
      <c r="ABQ57" s="3">
        <v>19019</v>
      </c>
      <c r="ABR57" s="3">
        <v>84506</v>
      </c>
      <c r="ABS57" s="10">
        <v>744938.23599999992</v>
      </c>
      <c r="ABT57" s="3">
        <v>639088.38900000008</v>
      </c>
      <c r="ABU57" s="3">
        <v>20494.11</v>
      </c>
      <c r="ABV57" s="3">
        <v>20856.78</v>
      </c>
      <c r="ABW57" s="8">
        <v>85355.736999999834</v>
      </c>
      <c r="ABX57" s="1">
        <v>763033</v>
      </c>
      <c r="ABY57" s="1">
        <v>635998</v>
      </c>
      <c r="ABZ57" s="1">
        <v>21917</v>
      </c>
      <c r="ACA57" s="1">
        <v>22335</v>
      </c>
      <c r="ACB57" s="49">
        <v>89111</v>
      </c>
      <c r="ACC57" s="1">
        <v>786296</v>
      </c>
      <c r="ACD57" s="1">
        <v>648968</v>
      </c>
      <c r="ACE57" s="1">
        <v>23608</v>
      </c>
      <c r="ACF57" s="1">
        <v>24927</v>
      </c>
      <c r="ACG57" s="1">
        <v>95719</v>
      </c>
      <c r="ACH57" s="1">
        <v>838736</v>
      </c>
      <c r="ACI57" s="1">
        <v>683303</v>
      </c>
      <c r="ACJ57" s="1">
        <v>27272</v>
      </c>
      <c r="ACK57" s="1">
        <v>27157</v>
      </c>
      <c r="ACL57" s="1">
        <v>108659</v>
      </c>
      <c r="ACM57" s="1">
        <v>864974</v>
      </c>
      <c r="ACN57" s="1">
        <v>702708</v>
      </c>
      <c r="ACO57" s="1">
        <v>25109</v>
      </c>
      <c r="ACP57" s="1">
        <v>30971</v>
      </c>
      <c r="ACQ57" s="1">
        <v>113616</v>
      </c>
      <c r="ACR57" s="1">
        <v>896051</v>
      </c>
      <c r="ACS57" s="1">
        <v>723531</v>
      </c>
      <c r="ACT57" s="1">
        <v>29481</v>
      </c>
      <c r="ACU57" s="1">
        <v>30892</v>
      </c>
      <c r="ACV57" s="1">
        <v>119638</v>
      </c>
      <c r="ADB57" s="50">
        <v>932085</v>
      </c>
      <c r="ADC57" s="1">
        <v>744517</v>
      </c>
      <c r="ADD57" s="1">
        <v>30888</v>
      </c>
      <c r="ADE57" s="1">
        <v>32590</v>
      </c>
      <c r="ADF57" s="1">
        <v>132227</v>
      </c>
      <c r="ADG57" s="50">
        <v>973142</v>
      </c>
      <c r="ADL57" s="50">
        <v>984535</v>
      </c>
      <c r="ADM57" s="1">
        <v>763621</v>
      </c>
      <c r="ADN57" s="1">
        <v>37548</v>
      </c>
      <c r="ADO57" s="1">
        <v>41892</v>
      </c>
      <c r="ADP57" s="1">
        <v>154316</v>
      </c>
      <c r="ADQ57" s="50">
        <v>1049675</v>
      </c>
      <c r="ADR57" s="1">
        <v>795026</v>
      </c>
      <c r="ADS57" s="1">
        <v>37792</v>
      </c>
      <c r="ADT57" s="1">
        <v>48940</v>
      </c>
      <c r="ADU57" s="1">
        <v>208321</v>
      </c>
      <c r="ADV57" s="1">
        <v>129645</v>
      </c>
      <c r="ADW57" s="1">
        <v>0</v>
      </c>
      <c r="ADX57" s="1">
        <v>1224</v>
      </c>
      <c r="ADY57" s="1">
        <v>60617</v>
      </c>
      <c r="ADZ57" s="1">
        <v>16835</v>
      </c>
    </row>
    <row r="58" spans="1:806" ht="12.75" customHeight="1">
      <c r="A58" s="38" t="s">
        <v>55</v>
      </c>
      <c r="B58" s="175" t="s">
        <v>221</v>
      </c>
      <c r="C58" s="175" t="s">
        <v>221</v>
      </c>
      <c r="D58" s="175" t="s">
        <v>221</v>
      </c>
      <c r="E58" s="175" t="s">
        <v>221</v>
      </c>
      <c r="F58" s="175" t="s">
        <v>221</v>
      </c>
      <c r="G58" s="10">
        <v>47691</v>
      </c>
      <c r="H58" s="3">
        <v>46599</v>
      </c>
      <c r="I58" s="3">
        <v>188</v>
      </c>
      <c r="J58" s="3">
        <v>709</v>
      </c>
      <c r="K58" s="3">
        <v>904</v>
      </c>
      <c r="L58" s="10">
        <v>32426</v>
      </c>
      <c r="M58" s="3">
        <v>30318</v>
      </c>
      <c r="N58" s="3">
        <v>239</v>
      </c>
      <c r="O58" s="3">
        <v>1212</v>
      </c>
      <c r="P58" s="3">
        <v>1869</v>
      </c>
      <c r="Q58" s="3">
        <v>27736</v>
      </c>
      <c r="R58" s="3">
        <v>25187</v>
      </c>
      <c r="S58" s="3">
        <v>526</v>
      </c>
      <c r="T58" s="3">
        <v>1196</v>
      </c>
      <c r="U58" s="8">
        <v>1081</v>
      </c>
      <c r="V58" s="399">
        <v>26054</v>
      </c>
      <c r="W58" s="5">
        <v>23104</v>
      </c>
      <c r="X58" s="5">
        <v>429</v>
      </c>
      <c r="Y58" s="5">
        <v>2480</v>
      </c>
      <c r="Z58" s="5">
        <v>2521</v>
      </c>
      <c r="AA58" s="5">
        <v>24019</v>
      </c>
      <c r="AB58" s="5">
        <v>18866</v>
      </c>
      <c r="AC58" s="5">
        <v>673</v>
      </c>
      <c r="AD58" s="5">
        <v>2497</v>
      </c>
      <c r="AE58" s="5">
        <v>2795</v>
      </c>
      <c r="AF58" s="399">
        <v>24422</v>
      </c>
      <c r="AG58" s="5">
        <v>19358</v>
      </c>
      <c r="AH58" s="5">
        <v>912</v>
      </c>
      <c r="AI58" s="5">
        <v>2435</v>
      </c>
      <c r="AJ58" s="490">
        <v>2715</v>
      </c>
      <c r="AK58" s="490">
        <v>23781</v>
      </c>
      <c r="AL58" s="490">
        <v>19317</v>
      </c>
      <c r="AM58" s="685">
        <v>134</v>
      </c>
      <c r="AN58" s="685">
        <v>2188</v>
      </c>
      <c r="AO58" s="490">
        <v>2614</v>
      </c>
      <c r="AP58" s="394">
        <v>18249</v>
      </c>
      <c r="AQ58" s="394">
        <v>14340</v>
      </c>
      <c r="AR58" s="394">
        <v>286</v>
      </c>
      <c r="AS58" s="394">
        <v>1996</v>
      </c>
      <c r="AT58" s="394">
        <v>1707</v>
      </c>
      <c r="AU58" s="393">
        <v>20623</v>
      </c>
      <c r="AV58" s="394">
        <v>15353</v>
      </c>
      <c r="AW58" s="394">
        <v>612</v>
      </c>
      <c r="AX58" s="394">
        <v>2961</v>
      </c>
      <c r="AY58" s="394">
        <v>2546</v>
      </c>
      <c r="AZ58" s="1">
        <v>1244</v>
      </c>
      <c r="BA58" s="1">
        <v>0</v>
      </c>
      <c r="BB58" s="1">
        <v>0</v>
      </c>
      <c r="BC58" s="1">
        <v>673</v>
      </c>
      <c r="BD58" s="1">
        <v>629</v>
      </c>
      <c r="BE58" s="393">
        <v>18164</v>
      </c>
      <c r="BF58" s="394">
        <v>13717</v>
      </c>
      <c r="BG58" s="394">
        <v>1150</v>
      </c>
      <c r="BH58" s="394">
        <v>1789</v>
      </c>
      <c r="BI58" s="394">
        <v>2158</v>
      </c>
      <c r="BJ58" s="393">
        <v>23689</v>
      </c>
      <c r="BK58" s="394"/>
      <c r="BL58" s="394"/>
      <c r="BM58" s="394"/>
      <c r="BN58" s="394"/>
      <c r="BO58" s="393">
        <v>19331</v>
      </c>
      <c r="BP58" s="394">
        <v>12905</v>
      </c>
      <c r="BQ58" s="394">
        <v>1182</v>
      </c>
      <c r="BR58" s="394">
        <v>3757</v>
      </c>
      <c r="BS58" s="394">
        <v>2310</v>
      </c>
      <c r="BT58" s="393">
        <v>21138</v>
      </c>
      <c r="BU58" s="394">
        <v>14782</v>
      </c>
      <c r="BV58" s="394">
        <v>1067</v>
      </c>
      <c r="BW58" s="394">
        <v>2688</v>
      </c>
      <c r="BX58" s="394">
        <v>1867</v>
      </c>
      <c r="BY58" s="1">
        <v>0</v>
      </c>
      <c r="BZ58" s="1">
        <v>0</v>
      </c>
      <c r="CA58" s="1">
        <v>1786</v>
      </c>
      <c r="CB58" s="1">
        <v>1280</v>
      </c>
      <c r="CC58" s="10">
        <v>79732</v>
      </c>
      <c r="CD58" s="3">
        <v>78574</v>
      </c>
      <c r="CE58" s="3">
        <v>311</v>
      </c>
      <c r="CF58" s="3">
        <v>2688</v>
      </c>
      <c r="CG58" s="3">
        <v>847</v>
      </c>
      <c r="CH58" s="10">
        <v>71328</v>
      </c>
      <c r="CI58" s="3">
        <v>68309</v>
      </c>
      <c r="CJ58" s="3">
        <v>562</v>
      </c>
      <c r="CK58" s="3">
        <v>1408</v>
      </c>
      <c r="CL58" s="3">
        <v>2457</v>
      </c>
      <c r="CM58" s="1">
        <v>62197</v>
      </c>
      <c r="CN58" s="3">
        <v>58986</v>
      </c>
      <c r="CO58" s="3">
        <v>442</v>
      </c>
      <c r="CP58" s="3">
        <v>1299</v>
      </c>
      <c r="CQ58" s="8">
        <v>1969</v>
      </c>
      <c r="CR58" s="3">
        <v>53187</v>
      </c>
      <c r="CS58" s="3">
        <v>50202</v>
      </c>
      <c r="CT58" s="3">
        <v>743</v>
      </c>
      <c r="CU58" s="3">
        <v>1884</v>
      </c>
      <c r="CV58" s="3">
        <v>2242</v>
      </c>
      <c r="CW58" s="3">
        <v>52839</v>
      </c>
      <c r="CX58" s="3">
        <v>48330</v>
      </c>
      <c r="CY58" s="3">
        <v>621</v>
      </c>
      <c r="CZ58" s="3">
        <v>1965</v>
      </c>
      <c r="DA58" s="3">
        <v>2435</v>
      </c>
      <c r="DB58" s="3">
        <v>48940</v>
      </c>
      <c r="DC58" s="3">
        <v>44618</v>
      </c>
      <c r="DD58" s="3">
        <v>451</v>
      </c>
      <c r="DE58" s="3">
        <v>1983</v>
      </c>
      <c r="DF58" s="39">
        <v>2466</v>
      </c>
      <c r="DG58" s="39">
        <v>49222</v>
      </c>
      <c r="DH58" s="39">
        <v>44923</v>
      </c>
      <c r="DI58" s="39">
        <v>199</v>
      </c>
      <c r="DJ58" s="39">
        <v>2078</v>
      </c>
      <c r="DK58" s="39">
        <v>1972</v>
      </c>
      <c r="DL58" s="39">
        <v>46392</v>
      </c>
      <c r="DM58" s="39">
        <v>40826</v>
      </c>
      <c r="DN58" s="39">
        <v>978</v>
      </c>
      <c r="DO58" s="39">
        <v>2875</v>
      </c>
      <c r="DP58" s="39">
        <v>1767</v>
      </c>
      <c r="DQ58" s="39">
        <v>47275</v>
      </c>
      <c r="DR58" s="39">
        <v>42011</v>
      </c>
      <c r="DS58" s="39">
        <v>608</v>
      </c>
      <c r="DT58" s="39">
        <v>3084</v>
      </c>
      <c r="DU58" s="39">
        <v>1795</v>
      </c>
      <c r="DV58" s="118">
        <v>48396</v>
      </c>
      <c r="DW58" s="39">
        <v>42827</v>
      </c>
      <c r="DX58" s="39">
        <v>673</v>
      </c>
      <c r="DY58" s="39">
        <v>2824</v>
      </c>
      <c r="DZ58" s="39">
        <v>2204</v>
      </c>
      <c r="EA58" s="118">
        <v>42821</v>
      </c>
      <c r="EB58" s="39"/>
      <c r="EC58" s="39"/>
      <c r="ED58" s="39"/>
      <c r="EE58" s="39"/>
      <c r="EF58" s="118">
        <v>46341</v>
      </c>
      <c r="EG58" s="39">
        <v>41465</v>
      </c>
      <c r="EH58" s="39">
        <v>747</v>
      </c>
      <c r="EI58" s="39">
        <v>2563</v>
      </c>
      <c r="EJ58" s="39">
        <v>2134</v>
      </c>
      <c r="EK58" s="118">
        <v>46341</v>
      </c>
      <c r="EL58" s="39">
        <v>41465</v>
      </c>
      <c r="EM58" s="39">
        <v>747</v>
      </c>
      <c r="EN58" s="39">
        <v>2563</v>
      </c>
      <c r="EO58" s="39">
        <v>2134</v>
      </c>
      <c r="EP58" s="118">
        <v>34942</v>
      </c>
      <c r="EQ58" s="39">
        <v>30185</v>
      </c>
      <c r="ER58" s="39">
        <v>150</v>
      </c>
      <c r="ES58" s="39">
        <v>2297</v>
      </c>
      <c r="ET58" s="1">
        <v>872</v>
      </c>
      <c r="EU58" s="1">
        <v>0</v>
      </c>
      <c r="EV58" s="1">
        <v>0</v>
      </c>
      <c r="EW58" s="1">
        <v>2179</v>
      </c>
      <c r="EX58" s="1">
        <v>1116</v>
      </c>
      <c r="EY58" s="10">
        <v>77142</v>
      </c>
      <c r="EZ58" s="3">
        <v>71017</v>
      </c>
      <c r="FA58" s="3"/>
      <c r="FB58" s="3">
        <v>4361</v>
      </c>
      <c r="FC58" s="201">
        <f t="shared" si="651"/>
        <v>6125</v>
      </c>
      <c r="FD58" s="174" t="s">
        <v>221</v>
      </c>
      <c r="FE58" s="175" t="s">
        <v>221</v>
      </c>
      <c r="FF58" s="175" t="s">
        <v>221</v>
      </c>
      <c r="FG58" s="175" t="s">
        <v>221</v>
      </c>
      <c r="FH58" s="174" t="s">
        <v>221</v>
      </c>
      <c r="FI58" s="175" t="s">
        <v>221</v>
      </c>
      <c r="FJ58" s="175" t="s">
        <v>221</v>
      </c>
      <c r="FK58" s="175" t="s">
        <v>221</v>
      </c>
      <c r="FL58" s="175" t="s">
        <v>221</v>
      </c>
      <c r="FM58" s="10">
        <v>586471</v>
      </c>
      <c r="FN58" s="3">
        <v>577148</v>
      </c>
      <c r="FO58" s="3">
        <v>3082</v>
      </c>
      <c r="FP58" s="3">
        <v>4455</v>
      </c>
      <c r="FQ58" s="3">
        <v>6241</v>
      </c>
      <c r="FR58" s="10">
        <v>720233</v>
      </c>
      <c r="FS58" s="3">
        <v>698189</v>
      </c>
      <c r="FT58" s="3">
        <v>4326</v>
      </c>
      <c r="FU58" s="3">
        <v>7290</v>
      </c>
      <c r="FV58" s="3">
        <v>17718</v>
      </c>
      <c r="FW58" s="127">
        <v>799074</v>
      </c>
      <c r="FX58" s="3">
        <v>757799</v>
      </c>
      <c r="FY58" s="3">
        <v>5891</v>
      </c>
      <c r="FZ58" s="3">
        <v>15352</v>
      </c>
      <c r="GA58" s="3">
        <v>14053</v>
      </c>
      <c r="GB58" s="10">
        <v>810462</v>
      </c>
      <c r="GC58" s="3">
        <v>778062</v>
      </c>
      <c r="GD58" s="3">
        <v>5724</v>
      </c>
      <c r="GE58" s="3">
        <v>26676</v>
      </c>
      <c r="GF58" s="3">
        <v>14376</v>
      </c>
      <c r="GG58" s="10">
        <v>815266</v>
      </c>
      <c r="GH58" s="40">
        <v>783456</v>
      </c>
      <c r="GI58" s="40">
        <v>6328</v>
      </c>
      <c r="GJ58" s="40">
        <v>25482</v>
      </c>
      <c r="GK58" s="40">
        <v>13948</v>
      </c>
      <c r="GL58" s="10">
        <v>822476</v>
      </c>
      <c r="GM58" s="3">
        <v>788450</v>
      </c>
      <c r="GN58" s="3">
        <v>6537</v>
      </c>
      <c r="GO58" s="3">
        <v>13534</v>
      </c>
      <c r="GP58" s="3">
        <v>20308</v>
      </c>
      <c r="GQ58" s="10">
        <v>830412.82499999995</v>
      </c>
      <c r="GR58" s="3">
        <v>795049.50599999994</v>
      </c>
      <c r="GS58" s="3"/>
      <c r="GT58" s="3">
        <v>14039.2</v>
      </c>
      <c r="GU58" s="373">
        <f t="shared" si="652"/>
        <v>35363.319000000018</v>
      </c>
      <c r="GV58" s="3">
        <v>836894</v>
      </c>
      <c r="GW58" s="3">
        <v>789291</v>
      </c>
      <c r="GX58" s="3">
        <v>7562</v>
      </c>
      <c r="GY58" s="3">
        <v>14927</v>
      </c>
      <c r="GZ58" s="3">
        <v>28829</v>
      </c>
      <c r="HA58" s="3">
        <v>846254</v>
      </c>
      <c r="HB58" s="3">
        <v>795794</v>
      </c>
      <c r="HC58" s="3">
        <v>7992</v>
      </c>
      <c r="HD58" s="3">
        <v>16310</v>
      </c>
      <c r="HE58" s="3">
        <v>30475</v>
      </c>
      <c r="HF58" s="3">
        <v>858301</v>
      </c>
      <c r="HG58" s="3">
        <v>802452</v>
      </c>
      <c r="HH58" s="3">
        <v>9985</v>
      </c>
      <c r="HI58" s="3">
        <v>18144</v>
      </c>
      <c r="HJ58" s="3">
        <v>28106</v>
      </c>
      <c r="HK58" s="3">
        <v>872573</v>
      </c>
      <c r="HL58" s="3">
        <v>815112</v>
      </c>
      <c r="HM58" s="3">
        <v>10608</v>
      </c>
      <c r="HN58" s="3">
        <v>18470</v>
      </c>
      <c r="HO58" s="3">
        <v>28264</v>
      </c>
      <c r="HP58" s="10">
        <v>879688</v>
      </c>
      <c r="HQ58" s="3">
        <v>819493</v>
      </c>
      <c r="HR58" s="3">
        <v>9603</v>
      </c>
      <c r="HS58" s="3">
        <v>19323</v>
      </c>
      <c r="HT58" s="3">
        <v>34825</v>
      </c>
      <c r="HU58" s="394">
        <v>19343</v>
      </c>
      <c r="HV58" s="1">
        <v>0</v>
      </c>
      <c r="HW58" s="1">
        <v>0</v>
      </c>
      <c r="HX58" s="1">
        <v>11430</v>
      </c>
      <c r="HY58" s="1">
        <v>4052</v>
      </c>
      <c r="HZ58" s="10">
        <v>891445</v>
      </c>
      <c r="IA58" s="3">
        <v>826164</v>
      </c>
      <c r="IB58" s="3">
        <v>11749</v>
      </c>
      <c r="IC58" s="3">
        <v>22318</v>
      </c>
      <c r="ID58" s="3">
        <v>32703</v>
      </c>
      <c r="IE58" s="399">
        <v>904238</v>
      </c>
      <c r="IF58" s="5"/>
      <c r="IG58" s="5"/>
      <c r="IH58" s="5"/>
      <c r="II58" s="5"/>
      <c r="IJ58" s="399">
        <v>914078</v>
      </c>
      <c r="IK58" s="5">
        <v>843448</v>
      </c>
      <c r="IL58" s="5">
        <v>11797</v>
      </c>
      <c r="IM58" s="5">
        <v>23318</v>
      </c>
      <c r="IN58" s="5">
        <v>40292</v>
      </c>
      <c r="IO58" s="399">
        <v>952238</v>
      </c>
      <c r="IP58" s="5">
        <v>858465</v>
      </c>
      <c r="IQ58" s="5">
        <v>11329</v>
      </c>
      <c r="IR58" s="5">
        <v>28018</v>
      </c>
      <c r="IS58" s="5">
        <v>77628</v>
      </c>
      <c r="IT58" s="1">
        <v>23261</v>
      </c>
      <c r="IU58" s="1">
        <v>0</v>
      </c>
      <c r="IV58" s="1">
        <v>0</v>
      </c>
      <c r="IW58" s="1">
        <v>43437</v>
      </c>
      <c r="IX58" s="1">
        <v>10930</v>
      </c>
      <c r="IY58" s="380" t="s">
        <v>221</v>
      </c>
      <c r="IZ58" s="188" t="s">
        <v>221</v>
      </c>
      <c r="JA58" s="188" t="s">
        <v>221</v>
      </c>
      <c r="JB58" s="188" t="s">
        <v>221</v>
      </c>
      <c r="JC58" s="188" t="s">
        <v>221</v>
      </c>
      <c r="JD58" s="399">
        <v>186263</v>
      </c>
      <c r="JE58" s="5">
        <v>183379</v>
      </c>
      <c r="JF58" s="5">
        <v>1257</v>
      </c>
      <c r="JG58" s="5">
        <v>1588</v>
      </c>
      <c r="JH58" s="5">
        <v>1627</v>
      </c>
      <c r="JI58" s="399">
        <v>236406</v>
      </c>
      <c r="JJ58" s="5">
        <v>229804</v>
      </c>
      <c r="JK58" s="5">
        <v>1601</v>
      </c>
      <c r="JL58" s="5">
        <v>2741</v>
      </c>
      <c r="JM58" s="5">
        <v>5001</v>
      </c>
      <c r="JN58" s="5">
        <v>241920</v>
      </c>
      <c r="JO58" s="5">
        <v>231071</v>
      </c>
      <c r="JP58" s="5">
        <v>1941</v>
      </c>
      <c r="JQ58" s="5">
        <v>4037</v>
      </c>
      <c r="JR58" s="5">
        <v>6577</v>
      </c>
      <c r="JS58" s="399">
        <v>261192</v>
      </c>
      <c r="JT58" s="5">
        <v>251476</v>
      </c>
      <c r="JU58" s="5">
        <v>2770</v>
      </c>
      <c r="JV58" s="5">
        <v>4653</v>
      </c>
      <c r="JW58" s="5">
        <v>6946</v>
      </c>
      <c r="JX58" s="399">
        <v>263190.94999999995</v>
      </c>
      <c r="JY58" s="5">
        <v>253757.63099999999</v>
      </c>
      <c r="JZ58" s="5"/>
      <c r="KA58" s="5">
        <v>4986.4000000000005</v>
      </c>
      <c r="KB58" s="5">
        <v>9433.3189999999595</v>
      </c>
      <c r="KC58" s="5">
        <v>259618</v>
      </c>
      <c r="KD58" s="5">
        <v>246429</v>
      </c>
      <c r="KE58" s="5">
        <v>2561</v>
      </c>
      <c r="KF58" s="5">
        <v>5032</v>
      </c>
      <c r="KG58" s="439">
        <v>7098</v>
      </c>
      <c r="KH58" s="439">
        <v>262412</v>
      </c>
      <c r="KI58" s="439">
        <v>248596</v>
      </c>
      <c r="KJ58" s="439">
        <v>2632</v>
      </c>
      <c r="KK58" s="439">
        <v>5340</v>
      </c>
      <c r="KL58" s="439">
        <v>7379</v>
      </c>
      <c r="KM58" s="439">
        <v>266278</v>
      </c>
      <c r="KN58" s="439">
        <v>249625</v>
      </c>
      <c r="KO58" s="439">
        <v>3487</v>
      </c>
      <c r="KP58" s="439">
        <v>7006</v>
      </c>
      <c r="KQ58" s="439">
        <v>6515</v>
      </c>
      <c r="KR58" s="439">
        <v>271182</v>
      </c>
      <c r="KS58" s="439">
        <v>254429</v>
      </c>
      <c r="KT58" s="439">
        <v>5221</v>
      </c>
      <c r="KU58" s="439">
        <v>6430</v>
      </c>
      <c r="KV58" s="439">
        <v>5182</v>
      </c>
      <c r="KW58" s="630">
        <v>276765</v>
      </c>
      <c r="KX58" s="439">
        <v>260967</v>
      </c>
      <c r="KY58" s="439">
        <v>2879</v>
      </c>
      <c r="KZ58" s="439">
        <v>6897</v>
      </c>
      <c r="LA58" s="439">
        <v>7095</v>
      </c>
      <c r="LB58" s="652">
        <v>268989</v>
      </c>
      <c r="LC58" s="653">
        <v>251376</v>
      </c>
      <c r="LD58" s="653">
        <v>3338</v>
      </c>
      <c r="LE58" s="653">
        <v>7631</v>
      </c>
      <c r="LF58" s="653">
        <v>7394</v>
      </c>
      <c r="LG58" s="652">
        <v>277457</v>
      </c>
      <c r="LH58" s="653"/>
      <c r="LI58" s="439"/>
      <c r="LJ58" s="439"/>
      <c r="LK58" s="439"/>
      <c r="LL58" s="652">
        <v>270736</v>
      </c>
      <c r="LM58" s="653">
        <v>252613</v>
      </c>
      <c r="LN58" s="653">
        <v>2608</v>
      </c>
      <c r="LO58" s="653">
        <v>7696</v>
      </c>
      <c r="LP58" s="653">
        <v>8905</v>
      </c>
      <c r="LQ58" s="652">
        <v>278519</v>
      </c>
      <c r="LR58" s="653">
        <v>251690</v>
      </c>
      <c r="LS58" s="653">
        <v>4558</v>
      </c>
      <c r="LT58" s="653">
        <v>9233</v>
      </c>
      <c r="LU58" s="653">
        <v>20832</v>
      </c>
      <c r="LV58" s="1">
        <v>3145</v>
      </c>
      <c r="LW58" s="1">
        <v>0</v>
      </c>
      <c r="LX58" s="1">
        <v>0</v>
      </c>
      <c r="LY58" s="1">
        <v>14306</v>
      </c>
      <c r="LZ58" s="1">
        <v>3381</v>
      </c>
      <c r="MA58" s="10">
        <v>57568</v>
      </c>
      <c r="MB58" s="3">
        <v>56889</v>
      </c>
      <c r="MC58" s="3">
        <v>246</v>
      </c>
      <c r="MD58" s="3">
        <v>425</v>
      </c>
      <c r="ME58" s="3">
        <v>433</v>
      </c>
      <c r="MF58" s="10">
        <v>71772</v>
      </c>
      <c r="MG58" s="3">
        <v>69798</v>
      </c>
      <c r="MH58" s="3">
        <v>375</v>
      </c>
      <c r="MI58" s="3">
        <v>689</v>
      </c>
      <c r="MJ58" s="3">
        <v>1599</v>
      </c>
      <c r="MK58" s="3">
        <v>81202</v>
      </c>
      <c r="ML58" s="3">
        <v>78132</v>
      </c>
      <c r="MM58" s="3">
        <v>550</v>
      </c>
      <c r="MN58" s="3">
        <v>1123</v>
      </c>
      <c r="MO58" s="3">
        <v>2045</v>
      </c>
      <c r="MP58" s="10">
        <v>87123</v>
      </c>
      <c r="MQ58" s="3">
        <v>84215</v>
      </c>
      <c r="MR58" s="3">
        <v>732</v>
      </c>
      <c r="MS58" s="3">
        <v>1448</v>
      </c>
      <c r="MT58" s="3">
        <v>2176</v>
      </c>
      <c r="MU58" s="10"/>
      <c r="MV58" s="3"/>
      <c r="MW58" s="3"/>
      <c r="MX58" s="3"/>
      <c r="MY58" s="8"/>
      <c r="MZ58" s="3">
        <v>88093</v>
      </c>
      <c r="NA58" s="3">
        <v>84028</v>
      </c>
      <c r="NB58" s="3">
        <v>740</v>
      </c>
      <c r="NC58" s="3">
        <v>1447</v>
      </c>
      <c r="ND58" s="3">
        <v>2326</v>
      </c>
      <c r="NE58" s="3">
        <v>86971</v>
      </c>
      <c r="NF58" s="3">
        <v>82991</v>
      </c>
      <c r="NG58" s="3">
        <v>845</v>
      </c>
      <c r="NH58" s="3">
        <v>1362</v>
      </c>
      <c r="NI58" s="3">
        <v>2160</v>
      </c>
      <c r="NJ58" s="3">
        <v>91285</v>
      </c>
      <c r="NK58" s="3">
        <v>87059</v>
      </c>
      <c r="NL58" s="3">
        <v>982</v>
      </c>
      <c r="NM58" s="3">
        <v>1203</v>
      </c>
      <c r="NN58" s="3">
        <v>17347</v>
      </c>
      <c r="NO58" s="3">
        <v>91199</v>
      </c>
      <c r="NP58" s="3">
        <v>87658</v>
      </c>
      <c r="NQ58" s="3">
        <v>991</v>
      </c>
      <c r="NR58" s="3">
        <v>1186</v>
      </c>
      <c r="NS58" s="3">
        <v>1217</v>
      </c>
      <c r="NT58" s="3">
        <v>97488</v>
      </c>
      <c r="NU58" s="3">
        <v>91787</v>
      </c>
      <c r="NV58" s="3">
        <v>426</v>
      </c>
      <c r="NW58" s="3">
        <v>2381</v>
      </c>
      <c r="NX58" s="3">
        <v>3295</v>
      </c>
      <c r="NY58" s="10">
        <v>97978</v>
      </c>
      <c r="NZ58" s="3">
        <v>91792</v>
      </c>
      <c r="OA58" s="3">
        <v>1587</v>
      </c>
      <c r="OB58" s="3">
        <v>2518</v>
      </c>
      <c r="OC58" s="3">
        <v>2278</v>
      </c>
      <c r="OD58" s="10">
        <v>99230</v>
      </c>
      <c r="OE58" s="3"/>
      <c r="OF58" s="3"/>
      <c r="OG58" s="3"/>
      <c r="OH58" s="3"/>
      <c r="OI58" s="10">
        <v>96658</v>
      </c>
      <c r="OJ58" s="3">
        <v>90897</v>
      </c>
      <c r="OK58" s="3">
        <v>849</v>
      </c>
      <c r="OL58" s="3">
        <v>1793</v>
      </c>
      <c r="OM58" s="3">
        <v>3347</v>
      </c>
      <c r="ON58" s="10">
        <v>99262</v>
      </c>
      <c r="OO58" s="3">
        <v>90850</v>
      </c>
      <c r="OP58" s="3">
        <v>1458</v>
      </c>
      <c r="OQ58" s="3">
        <v>3502</v>
      </c>
      <c r="OR58" s="3">
        <v>1190</v>
      </c>
      <c r="OS58" s="1">
        <v>683</v>
      </c>
      <c r="OT58" s="1">
        <v>0</v>
      </c>
      <c r="OU58" s="1">
        <v>0</v>
      </c>
      <c r="OV58" s="1">
        <v>4147</v>
      </c>
      <c r="OW58" s="1">
        <v>1190</v>
      </c>
      <c r="OX58" s="402">
        <f t="shared" si="653"/>
        <v>190647</v>
      </c>
      <c r="OY58" s="382">
        <f t="shared" si="654"/>
        <v>172009</v>
      </c>
      <c r="OZ58" s="382">
        <f t="shared" si="655"/>
        <v>826</v>
      </c>
      <c r="PA58" s="382">
        <f t="shared" si="656"/>
        <v>18447</v>
      </c>
      <c r="PB58" s="382">
        <f t="shared" si="657"/>
        <v>6331</v>
      </c>
      <c r="PC58" s="402">
        <f t="shared" si="658"/>
        <v>307876</v>
      </c>
      <c r="PD58" s="382">
        <f t="shared" si="659"/>
        <v>296800</v>
      </c>
      <c r="PE58" s="382">
        <f t="shared" si="660"/>
        <v>1799</v>
      </c>
      <c r="PF58" s="382">
        <f t="shared" si="661"/>
        <v>2938</v>
      </c>
      <c r="PG58" s="382">
        <f t="shared" si="662"/>
        <v>9277</v>
      </c>
      <c r="PH58" s="10">
        <v>329434</v>
      </c>
      <c r="PI58" s="3">
        <v>314143</v>
      </c>
      <c r="PJ58" s="3">
        <v>2521</v>
      </c>
      <c r="PK58" s="3">
        <v>4933</v>
      </c>
      <c r="PL58" s="3">
        <v>12770</v>
      </c>
      <c r="PM58" s="3">
        <v>363635</v>
      </c>
      <c r="PN58" s="3">
        <v>342053</v>
      </c>
      <c r="PO58" s="3">
        <v>2775</v>
      </c>
      <c r="PP58" s="3">
        <v>5718</v>
      </c>
      <c r="PQ58" s="3">
        <v>14675</v>
      </c>
      <c r="PR58" s="399"/>
      <c r="PS58" s="5"/>
      <c r="PT58" s="5"/>
      <c r="PU58" s="5"/>
      <c r="PV58" s="5"/>
      <c r="PW58" s="5">
        <v>395690</v>
      </c>
      <c r="PX58" s="5">
        <v>370854</v>
      </c>
      <c r="PY58" s="5">
        <v>3343</v>
      </c>
      <c r="PZ58" s="5">
        <v>6152</v>
      </c>
      <c r="QA58" s="408">
        <v>16911</v>
      </c>
      <c r="QB58" s="5">
        <v>401490</v>
      </c>
      <c r="QC58" s="5">
        <v>376055</v>
      </c>
      <c r="QD58" s="5">
        <v>3514</v>
      </c>
      <c r="QE58" s="5">
        <v>6172</v>
      </c>
      <c r="QF58" s="5">
        <v>17199</v>
      </c>
      <c r="QG58" s="5">
        <v>417315</v>
      </c>
      <c r="QH58" s="5">
        <v>390783</v>
      </c>
      <c r="QI58" s="5">
        <v>4028</v>
      </c>
      <c r="QJ58" s="5">
        <v>5416</v>
      </c>
      <c r="QK58" s="5">
        <v>17347</v>
      </c>
      <c r="QL58" s="399">
        <v>425512</v>
      </c>
      <c r="QM58" s="5">
        <v>396309</v>
      </c>
      <c r="QN58" s="5">
        <v>3477</v>
      </c>
      <c r="QO58" s="5">
        <v>7310</v>
      </c>
      <c r="QP58" s="5">
        <v>18253</v>
      </c>
      <c r="QQ58" s="399">
        <v>444166</v>
      </c>
      <c r="QR58" s="5">
        <v>411849</v>
      </c>
      <c r="QS58" s="5">
        <v>3609</v>
      </c>
      <c r="QT58" s="5">
        <v>9776</v>
      </c>
      <c r="QU58" s="5">
        <v>21109</v>
      </c>
      <c r="QV58" s="399">
        <v>451870</v>
      </c>
      <c r="QW58" s="5">
        <v>416842</v>
      </c>
      <c r="QX58" s="5">
        <v>5110</v>
      </c>
      <c r="QY58" s="5">
        <v>9189</v>
      </c>
      <c r="QZ58" s="5">
        <v>21073</v>
      </c>
      <c r="RA58" s="399">
        <v>456809</v>
      </c>
      <c r="RB58" s="5"/>
      <c r="RC58" s="5"/>
      <c r="RD58" s="5"/>
      <c r="RE58" s="5"/>
      <c r="RF58" s="5">
        <v>464895</v>
      </c>
      <c r="RG58" s="5">
        <v>426166</v>
      </c>
      <c r="RH58" s="5">
        <v>5920</v>
      </c>
      <c r="RI58" s="5">
        <v>9189</v>
      </c>
      <c r="RJ58" s="5">
        <v>25258</v>
      </c>
      <c r="RK58" s="5">
        <v>505077</v>
      </c>
      <c r="RL58" s="5">
        <v>454584</v>
      </c>
      <c r="RM58" s="5">
        <v>4417</v>
      </c>
      <c r="RN58" s="5">
        <v>13516</v>
      </c>
      <c r="RO58" s="5">
        <v>43348</v>
      </c>
      <c r="RP58" s="1">
        <v>16502</v>
      </c>
      <c r="RQ58" s="1">
        <v>0</v>
      </c>
      <c r="RR58" s="1">
        <v>0</v>
      </c>
      <c r="RS58" s="1">
        <v>21318</v>
      </c>
      <c r="RT58" s="1">
        <v>5528</v>
      </c>
      <c r="RU58" s="10">
        <v>117260</v>
      </c>
      <c r="RV58" s="3">
        <v>115120</v>
      </c>
      <c r="RW58" s="3">
        <v>580</v>
      </c>
      <c r="RX58" s="3">
        <v>851</v>
      </c>
      <c r="RY58" s="3">
        <v>1560</v>
      </c>
      <c r="RZ58" s="10">
        <v>153874</v>
      </c>
      <c r="SA58" s="3">
        <v>148823</v>
      </c>
      <c r="SB58" s="3">
        <v>866</v>
      </c>
      <c r="SC58" s="3">
        <v>1479</v>
      </c>
      <c r="SD58" s="3">
        <v>4185</v>
      </c>
      <c r="SE58" s="10">
        <v>181629</v>
      </c>
      <c r="SF58" s="3">
        <v>171467</v>
      </c>
      <c r="SG58" s="3">
        <v>1206</v>
      </c>
      <c r="SH58" s="3">
        <v>3003</v>
      </c>
      <c r="SI58" s="3"/>
      <c r="SJ58" s="10">
        <v>187448</v>
      </c>
      <c r="SK58" s="3">
        <v>179153</v>
      </c>
      <c r="SL58" s="3">
        <v>1427</v>
      </c>
      <c r="SM58" s="3">
        <v>2785</v>
      </c>
      <c r="SN58" s="3">
        <v>6868</v>
      </c>
      <c r="SO58" s="10">
        <v>188771.44</v>
      </c>
      <c r="SP58" s="3">
        <v>179275.86899999998</v>
      </c>
      <c r="SQ58" s="3"/>
      <c r="SR58" s="3">
        <v>2668</v>
      </c>
      <c r="SS58" s="3">
        <v>9495.5710000000254</v>
      </c>
      <c r="ST58" s="10">
        <v>193143</v>
      </c>
      <c r="SU58" s="3">
        <v>181492</v>
      </c>
      <c r="SV58" s="3">
        <v>1822</v>
      </c>
      <c r="SW58" s="3">
        <v>2992</v>
      </c>
      <c r="SX58" s="3">
        <v>7641</v>
      </c>
      <c r="SY58" s="3">
        <v>199474</v>
      </c>
      <c r="SZ58" s="3">
        <v>187307</v>
      </c>
      <c r="TA58" s="3">
        <v>1822</v>
      </c>
      <c r="TB58" s="3">
        <v>3042</v>
      </c>
      <c r="TC58" s="3">
        <v>7850</v>
      </c>
      <c r="TD58" s="3">
        <v>201723</v>
      </c>
      <c r="TE58" s="3">
        <v>189049</v>
      </c>
      <c r="TF58" s="3">
        <v>1846</v>
      </c>
      <c r="TG58" s="3">
        <v>3167</v>
      </c>
      <c r="TH58" s="3">
        <v>7886</v>
      </c>
      <c r="TI58" s="3">
        <v>205513</v>
      </c>
      <c r="TJ58" s="3">
        <v>191022</v>
      </c>
      <c r="TK58" s="3">
        <v>1975</v>
      </c>
      <c r="TL58" s="3">
        <v>3652</v>
      </c>
      <c r="TM58" s="3">
        <v>8773</v>
      </c>
      <c r="TN58" s="3">
        <v>213461</v>
      </c>
      <c r="TO58" s="3">
        <v>199726</v>
      </c>
      <c r="TP58" s="3">
        <v>1529</v>
      </c>
      <c r="TQ58" s="3">
        <v>4419</v>
      </c>
      <c r="TR58" s="3">
        <v>8978</v>
      </c>
      <c r="TS58" s="10">
        <v>216750</v>
      </c>
      <c r="TT58" s="3">
        <v>200940</v>
      </c>
      <c r="TU58" s="3">
        <v>1921</v>
      </c>
      <c r="TV58" s="3">
        <v>4333</v>
      </c>
      <c r="TW58" s="3">
        <v>9416</v>
      </c>
      <c r="TX58" s="10">
        <v>217282</v>
      </c>
      <c r="TY58" s="3"/>
      <c r="TZ58" s="3"/>
      <c r="UA58" s="3"/>
      <c r="UB58" s="3"/>
      <c r="UC58" s="10">
        <v>224636</v>
      </c>
      <c r="UD58" s="3">
        <v>207244</v>
      </c>
      <c r="UE58" s="3">
        <v>3414</v>
      </c>
      <c r="UF58" s="3">
        <v>4494</v>
      </c>
      <c r="UG58" s="3">
        <v>10184</v>
      </c>
      <c r="UH58" s="10">
        <v>247356</v>
      </c>
      <c r="UI58" s="3">
        <v>224402</v>
      </c>
      <c r="UJ58" s="3">
        <v>1838</v>
      </c>
      <c r="UK58" s="3">
        <v>5540</v>
      </c>
      <c r="UL58" s="3">
        <v>19998</v>
      </c>
      <c r="UM58" s="1">
        <v>8145</v>
      </c>
      <c r="UN58" s="1">
        <v>0</v>
      </c>
      <c r="UO58" s="1">
        <v>0</v>
      </c>
      <c r="UP58" s="1">
        <v>8966</v>
      </c>
      <c r="UQ58" s="1">
        <v>4338</v>
      </c>
      <c r="UR58" s="588">
        <f t="shared" si="663"/>
        <v>24447</v>
      </c>
      <c r="US58" s="40">
        <v>14479</v>
      </c>
      <c r="UT58" s="40">
        <v>9968</v>
      </c>
      <c r="UU58" s="588">
        <f t="shared" si="664"/>
        <v>93</v>
      </c>
      <c r="UV58" s="40">
        <v>49</v>
      </c>
      <c r="UW58" s="40">
        <v>44</v>
      </c>
      <c r="UX58" s="10">
        <v>43206</v>
      </c>
      <c r="UY58" s="588">
        <f t="shared" si="665"/>
        <v>25397</v>
      </c>
      <c r="UZ58" s="588">
        <f t="shared" si="666"/>
        <v>17809</v>
      </c>
      <c r="VA58" s="588">
        <f t="shared" si="667"/>
        <v>42865</v>
      </c>
      <c r="VB58" s="40">
        <v>25178</v>
      </c>
      <c r="VC58" s="40">
        <v>17687</v>
      </c>
      <c r="VD58" s="588">
        <f t="shared" si="668"/>
        <v>166</v>
      </c>
      <c r="VE58" s="40">
        <v>98</v>
      </c>
      <c r="VF58" s="40">
        <v>68</v>
      </c>
      <c r="VG58" s="588">
        <f t="shared" si="669"/>
        <v>175</v>
      </c>
      <c r="VH58" s="40">
        <v>121</v>
      </c>
      <c r="VI58" s="40">
        <v>54</v>
      </c>
      <c r="VJ58" s="10">
        <v>98684</v>
      </c>
      <c r="VK58" s="588">
        <f t="shared" si="670"/>
        <v>57747</v>
      </c>
      <c r="VL58" s="588">
        <f t="shared" si="671"/>
        <v>40937</v>
      </c>
      <c r="VM58" s="240">
        <f t="shared" si="672"/>
        <v>97028</v>
      </c>
      <c r="VN58" s="40">
        <v>56767</v>
      </c>
      <c r="VO58" s="40">
        <v>40261</v>
      </c>
      <c r="VP58" s="40">
        <v>980</v>
      </c>
      <c r="VQ58" s="40">
        <v>676</v>
      </c>
      <c r="VR58" s="240">
        <f t="shared" si="673"/>
        <v>425</v>
      </c>
      <c r="VS58" s="40">
        <v>253</v>
      </c>
      <c r="VT58" s="40">
        <v>172</v>
      </c>
      <c r="VU58" s="240">
        <f t="shared" si="674"/>
        <v>399</v>
      </c>
      <c r="VV58" s="40">
        <v>257</v>
      </c>
      <c r="VW58" s="40">
        <v>142</v>
      </c>
      <c r="VX58" s="233">
        <f t="shared" si="675"/>
        <v>832</v>
      </c>
      <c r="VY58" s="233">
        <f t="shared" si="676"/>
        <v>470</v>
      </c>
      <c r="VZ58" s="233">
        <f t="shared" si="677"/>
        <v>362</v>
      </c>
      <c r="WA58" s="234">
        <f t="shared" si="678"/>
        <v>59</v>
      </c>
      <c r="WB58" s="234">
        <f t="shared" si="679"/>
        <v>40</v>
      </c>
      <c r="WC58" s="234">
        <f t="shared" si="680"/>
        <v>19</v>
      </c>
      <c r="WD58" s="40">
        <v>773</v>
      </c>
      <c r="WE58" s="40">
        <v>430</v>
      </c>
      <c r="WF58" s="40">
        <v>343</v>
      </c>
      <c r="WG58" s="12">
        <f t="shared" si="681"/>
        <v>133079</v>
      </c>
      <c r="WH58" s="588">
        <f t="shared" si="682"/>
        <v>94252</v>
      </c>
      <c r="WI58" s="588">
        <f t="shared" si="683"/>
        <v>79689</v>
      </c>
      <c r="WJ58" s="11">
        <f t="shared" si="684"/>
        <v>115120</v>
      </c>
      <c r="WK58" s="90">
        <f t="shared" si="685"/>
        <v>168965</v>
      </c>
      <c r="WL58" s="40">
        <v>91440</v>
      </c>
      <c r="WM58" s="40">
        <v>77525</v>
      </c>
      <c r="WN58" s="40">
        <v>2812</v>
      </c>
      <c r="WO58" s="40">
        <v>2164</v>
      </c>
      <c r="WP58" s="11">
        <f t="shared" si="686"/>
        <v>580</v>
      </c>
      <c r="WQ58" s="90">
        <f t="shared" si="687"/>
        <v>879</v>
      </c>
      <c r="WR58" s="40">
        <v>497</v>
      </c>
      <c r="WS58" s="40">
        <v>382</v>
      </c>
      <c r="WT58" s="11">
        <f t="shared" si="688"/>
        <v>1452</v>
      </c>
      <c r="WU58" s="40">
        <v>784</v>
      </c>
      <c r="WV58" s="40">
        <v>668</v>
      </c>
      <c r="WW58" s="11">
        <f t="shared" si="689"/>
        <v>5898</v>
      </c>
      <c r="WX58" s="257">
        <f t="shared" si="690"/>
        <v>1531</v>
      </c>
      <c r="WY58" s="235">
        <f t="shared" si="691"/>
        <v>1114</v>
      </c>
      <c r="WZ58" s="236">
        <f t="shared" si="692"/>
        <v>37</v>
      </c>
      <c r="XA58" s="236">
        <f t="shared" si="693"/>
        <v>9</v>
      </c>
      <c r="XB58" s="236">
        <f t="shared" si="694"/>
        <v>28</v>
      </c>
      <c r="XC58" s="589">
        <f t="shared" si="695"/>
        <v>2608</v>
      </c>
      <c r="XD58" s="589">
        <f t="shared" si="696"/>
        <v>1522</v>
      </c>
      <c r="XE58" s="589">
        <f t="shared" si="697"/>
        <v>1086</v>
      </c>
      <c r="XF58" s="40">
        <v>158</v>
      </c>
      <c r="XG58" s="40">
        <v>85</v>
      </c>
      <c r="XH58" s="40">
        <v>1364</v>
      </c>
      <c r="XI58" s="40">
        <v>1001</v>
      </c>
      <c r="XJ58" s="590">
        <v>236104</v>
      </c>
      <c r="XK58" s="40">
        <v>121832</v>
      </c>
      <c r="XL58" s="40">
        <v>114272</v>
      </c>
      <c r="XM58" s="5">
        <f t="shared" si="698"/>
        <v>227002</v>
      </c>
      <c r="XN58" s="5">
        <v>116699</v>
      </c>
      <c r="XO58" s="5">
        <v>110303</v>
      </c>
      <c r="XP58" s="84">
        <f t="shared" si="699"/>
        <v>225333</v>
      </c>
      <c r="XQ58" s="40">
        <v>115869</v>
      </c>
      <c r="XR58" s="40">
        <v>109464</v>
      </c>
      <c r="XS58" s="5">
        <f t="shared" si="700"/>
        <v>1424</v>
      </c>
      <c r="XT58" s="40">
        <v>814</v>
      </c>
      <c r="XU58" s="40">
        <v>610</v>
      </c>
      <c r="XV58" s="5">
        <f t="shared" si="701"/>
        <v>2249</v>
      </c>
      <c r="XW58" s="40">
        <v>1166</v>
      </c>
      <c r="XX58" s="40">
        <v>1083</v>
      </c>
      <c r="XY58" s="84">
        <f t="shared" si="702"/>
        <v>7678</v>
      </c>
      <c r="XZ58" s="84">
        <f t="shared" si="703"/>
        <v>4319</v>
      </c>
      <c r="YA58" s="84">
        <f t="shared" si="704"/>
        <v>3359</v>
      </c>
      <c r="YB58" s="587">
        <v>282433</v>
      </c>
      <c r="YC58" s="40">
        <v>263921</v>
      </c>
      <c r="YD58" s="40">
        <v>2225</v>
      </c>
      <c r="YE58" s="40">
        <v>4595</v>
      </c>
      <c r="YF58" s="5">
        <v>12630</v>
      </c>
      <c r="YG58" s="590">
        <v>291746</v>
      </c>
      <c r="YH58" s="3">
        <v>276581</v>
      </c>
      <c r="YI58" s="3">
        <v>1962</v>
      </c>
      <c r="YJ58" s="3">
        <v>13203</v>
      </c>
      <c r="YK58" s="3">
        <v>4869</v>
      </c>
      <c r="YL58" s="590">
        <v>292534</v>
      </c>
      <c r="YM58" s="3">
        <v>278190</v>
      </c>
      <c r="YN58" s="3">
        <v>1854</v>
      </c>
      <c r="YO58" s="3">
        <v>12490</v>
      </c>
      <c r="YP58" s="3">
        <v>4234</v>
      </c>
      <c r="YQ58" s="10">
        <v>295718</v>
      </c>
      <c r="YR58" s="3">
        <v>280119</v>
      </c>
      <c r="YS58" s="3">
        <v>2084</v>
      </c>
      <c r="YT58" s="3">
        <v>13515</v>
      </c>
      <c r="YU58" s="3">
        <v>4173</v>
      </c>
      <c r="YV58" s="10">
        <v>298585.59499999997</v>
      </c>
      <c r="YW58" s="3">
        <v>281471.77499999997</v>
      </c>
      <c r="YX58" s="3"/>
      <c r="YY58" s="3">
        <v>4140</v>
      </c>
      <c r="YZ58" s="3">
        <v>17113.820000000007</v>
      </c>
      <c r="ZA58" s="3">
        <v>307597</v>
      </c>
      <c r="ZB58" s="3">
        <v>286826</v>
      </c>
      <c r="ZC58" s="3">
        <v>2603</v>
      </c>
      <c r="ZD58" s="3">
        <v>4705</v>
      </c>
      <c r="ZE58" s="1">
        <v>14585</v>
      </c>
      <c r="ZF58" s="1">
        <v>314519</v>
      </c>
      <c r="ZG58" s="1">
        <v>293064</v>
      </c>
      <c r="ZH58" s="1">
        <v>2669</v>
      </c>
      <c r="ZI58" s="1">
        <v>4810</v>
      </c>
      <c r="ZJ58" s="1">
        <v>15039</v>
      </c>
      <c r="ZK58" s="1">
        <v>326030</v>
      </c>
      <c r="ZL58" s="1">
        <v>303724</v>
      </c>
      <c r="ZM58" s="1">
        <v>3046</v>
      </c>
      <c r="ZN58" s="1">
        <v>4213</v>
      </c>
      <c r="ZO58" s="1">
        <v>15387</v>
      </c>
      <c r="ZP58" s="1">
        <v>334313</v>
      </c>
      <c r="ZQ58" s="1">
        <v>308651</v>
      </c>
      <c r="ZR58" s="1">
        <v>2486</v>
      </c>
      <c r="ZS58" s="1">
        <v>6124</v>
      </c>
      <c r="ZT58" s="1">
        <v>17036</v>
      </c>
      <c r="ZU58" s="1">
        <v>346678</v>
      </c>
      <c r="ZV58" s="1">
        <v>320062</v>
      </c>
      <c r="ZW58" s="1">
        <v>3183</v>
      </c>
      <c r="ZX58" s="1">
        <v>7395</v>
      </c>
      <c r="ZY58" s="1">
        <v>17814</v>
      </c>
      <c r="ZZ58" s="394">
        <v>11773</v>
      </c>
      <c r="AAA58" s="1">
        <v>0</v>
      </c>
      <c r="AAB58" s="1">
        <v>0</v>
      </c>
      <c r="AAC58" s="1">
        <v>4183</v>
      </c>
      <c r="AAD58" s="1">
        <v>1858</v>
      </c>
      <c r="AAE58" s="50">
        <v>353892</v>
      </c>
      <c r="AAF58" s="1">
        <v>325050</v>
      </c>
      <c r="AAG58" s="1">
        <v>3523</v>
      </c>
      <c r="AAH58" s="1">
        <v>6671</v>
      </c>
      <c r="AAI58" s="1">
        <v>18795</v>
      </c>
      <c r="AAJ58" s="50">
        <v>357579</v>
      </c>
      <c r="AAK58" s="1"/>
      <c r="AAL58" s="1"/>
      <c r="AAM58" s="1"/>
      <c r="AAN58" s="1"/>
      <c r="AAO58" s="68">
        <v>368237</v>
      </c>
      <c r="AAP58" s="37">
        <v>335269</v>
      </c>
      <c r="AAQ58" s="37">
        <v>5071</v>
      </c>
      <c r="AAR58" s="37">
        <v>7396</v>
      </c>
      <c r="AAS58" s="37">
        <v>21911</v>
      </c>
      <c r="AAT58" s="68">
        <v>405815</v>
      </c>
      <c r="AAU58" s="37">
        <v>363734</v>
      </c>
      <c r="AAV58" s="37">
        <v>2959</v>
      </c>
      <c r="AAW58" s="37">
        <v>10014</v>
      </c>
      <c r="AAX58" s="37">
        <v>37328</v>
      </c>
      <c r="AAY58" s="1">
        <v>15819</v>
      </c>
      <c r="AAZ58" s="1">
        <v>0</v>
      </c>
      <c r="ABA58" s="1">
        <v>0</v>
      </c>
      <c r="ABB58" s="1">
        <v>17171</v>
      </c>
      <c r="ABC58" s="1">
        <v>4338</v>
      </c>
      <c r="ABD58" s="10">
        <v>82230</v>
      </c>
      <c r="ABE58" s="3">
        <v>78179</v>
      </c>
      <c r="ABF58" s="3">
        <v>558</v>
      </c>
      <c r="ABG58" s="3">
        <v>770</v>
      </c>
      <c r="ABH58" s="3">
        <v>3493</v>
      </c>
      <c r="ABI58" s="10">
        <v>100804</v>
      </c>
      <c r="ABJ58" s="3">
        <v>92454</v>
      </c>
      <c r="ABK58" s="3">
        <v>1019</v>
      </c>
      <c r="ABL58" s="3">
        <v>1592</v>
      </c>
      <c r="ABM58" s="3">
        <v>6184</v>
      </c>
      <c r="ABN58" s="10">
        <v>108270</v>
      </c>
      <c r="ABO58" s="3">
        <v>100966</v>
      </c>
      <c r="ABP58" s="3">
        <v>657</v>
      </c>
      <c r="ABQ58" s="3">
        <v>1388</v>
      </c>
      <c r="ABR58" s="3">
        <v>6647</v>
      </c>
      <c r="ABS58" s="10">
        <v>109814.155</v>
      </c>
      <c r="ABT58" s="3">
        <v>102195.906</v>
      </c>
      <c r="ABU58" s="3"/>
      <c r="ABV58" s="3">
        <v>1472</v>
      </c>
      <c r="ABW58" s="8">
        <v>7618.2489999999962</v>
      </c>
      <c r="ABX58" s="1">
        <v>114454</v>
      </c>
      <c r="ABY58" s="1">
        <v>105334</v>
      </c>
      <c r="ABZ58" s="1">
        <v>781</v>
      </c>
      <c r="ACA58" s="1">
        <v>1713</v>
      </c>
      <c r="ACB58" s="49">
        <v>6944</v>
      </c>
      <c r="ACC58" s="1">
        <v>115045</v>
      </c>
      <c r="ACD58" s="1">
        <v>105757</v>
      </c>
      <c r="ACE58" s="1">
        <v>847</v>
      </c>
      <c r="ACF58" s="1">
        <v>1768</v>
      </c>
      <c r="ACG58" s="1">
        <v>7189</v>
      </c>
      <c r="ACH58" s="1">
        <v>124307</v>
      </c>
      <c r="ACI58" s="1">
        <v>114675</v>
      </c>
      <c r="ACJ58" s="1">
        <v>1200</v>
      </c>
      <c r="ACK58" s="1">
        <v>1046</v>
      </c>
      <c r="ACL58" s="1">
        <v>7501</v>
      </c>
      <c r="ACM58" s="1">
        <v>128800</v>
      </c>
      <c r="ACN58" s="1">
        <v>117629</v>
      </c>
      <c r="ACO58" s="1">
        <v>511</v>
      </c>
      <c r="ACP58" s="1">
        <v>2472</v>
      </c>
      <c r="ACQ58" s="1">
        <v>8263</v>
      </c>
      <c r="ACR58" s="1">
        <v>133217</v>
      </c>
      <c r="ACS58" s="1">
        <v>120336</v>
      </c>
      <c r="ACT58" s="1">
        <v>1654</v>
      </c>
      <c r="ACU58" s="1">
        <v>2976</v>
      </c>
      <c r="ACV58" s="1">
        <v>8836</v>
      </c>
      <c r="ADB58" s="50">
        <v>137142</v>
      </c>
      <c r="ADC58" s="1">
        <v>124110</v>
      </c>
      <c r="ADD58" s="1">
        <v>1602</v>
      </c>
      <c r="ADE58" s="1">
        <v>2338</v>
      </c>
      <c r="ADF58" s="1">
        <v>9379</v>
      </c>
      <c r="ADG58" s="50">
        <v>140297</v>
      </c>
      <c r="ADL58" s="50">
        <v>143601</v>
      </c>
      <c r="ADM58" s="1">
        <v>128025</v>
      </c>
      <c r="ADN58" s="1">
        <v>1657</v>
      </c>
      <c r="ADO58" s="1">
        <v>2902</v>
      </c>
      <c r="ADP58" s="1">
        <v>11727</v>
      </c>
      <c r="ADQ58" s="50">
        <v>158459</v>
      </c>
      <c r="ADR58" s="1">
        <v>139332</v>
      </c>
      <c r="ADS58" s="1">
        <v>1121</v>
      </c>
      <c r="ADT58" s="1">
        <v>4474</v>
      </c>
      <c r="ADU58" s="1">
        <v>17330</v>
      </c>
      <c r="ADV58" s="1">
        <v>7674</v>
      </c>
      <c r="ADW58" s="1">
        <v>0</v>
      </c>
      <c r="ADX58" s="1">
        <v>0</v>
      </c>
      <c r="ADY58" s="1">
        <v>8205</v>
      </c>
      <c r="ADZ58" s="1">
        <v>1451</v>
      </c>
    </row>
    <row r="59" spans="1:806" ht="12.75" customHeight="1">
      <c r="A59" s="38" t="s">
        <v>56</v>
      </c>
      <c r="B59" s="175" t="s">
        <v>221</v>
      </c>
      <c r="C59" s="175" t="s">
        <v>221</v>
      </c>
      <c r="D59" s="175" t="s">
        <v>221</v>
      </c>
      <c r="E59" s="175" t="s">
        <v>221</v>
      </c>
      <c r="F59" s="175" t="s">
        <v>221</v>
      </c>
      <c r="G59" s="10">
        <v>486210</v>
      </c>
      <c r="H59" s="3">
        <v>370586</v>
      </c>
      <c r="I59" s="3">
        <v>63378</v>
      </c>
      <c r="J59" s="3">
        <v>103601</v>
      </c>
      <c r="K59" s="3">
        <v>52246</v>
      </c>
      <c r="L59" s="10">
        <v>373429</v>
      </c>
      <c r="M59" s="3">
        <v>238054</v>
      </c>
      <c r="N59" s="3">
        <v>44267</v>
      </c>
      <c r="O59" s="3">
        <v>131847</v>
      </c>
      <c r="P59" s="3">
        <v>91108</v>
      </c>
      <c r="Q59" s="3">
        <v>331622</v>
      </c>
      <c r="R59" s="3">
        <v>128471</v>
      </c>
      <c r="S59" s="3">
        <v>36174</v>
      </c>
      <c r="T59" s="3">
        <v>145723</v>
      </c>
      <c r="U59" s="8">
        <v>102816</v>
      </c>
      <c r="V59" s="399">
        <v>326336</v>
      </c>
      <c r="W59" s="5">
        <v>198280</v>
      </c>
      <c r="X59" s="5">
        <v>36069</v>
      </c>
      <c r="Y59" s="5">
        <v>162967</v>
      </c>
      <c r="Z59" s="5">
        <v>91987</v>
      </c>
      <c r="AA59" s="5">
        <v>327199</v>
      </c>
      <c r="AB59" s="5">
        <v>101557</v>
      </c>
      <c r="AC59" s="5">
        <v>34082</v>
      </c>
      <c r="AD59" s="5">
        <v>170068</v>
      </c>
      <c r="AE59" s="5">
        <v>98644</v>
      </c>
      <c r="AF59" s="399">
        <v>329209</v>
      </c>
      <c r="AG59" s="5">
        <v>98176</v>
      </c>
      <c r="AH59" s="5">
        <v>33692</v>
      </c>
      <c r="AI59" s="5">
        <v>174293</v>
      </c>
      <c r="AJ59" s="490">
        <v>102423</v>
      </c>
      <c r="AK59" s="490">
        <v>316827</v>
      </c>
      <c r="AL59" s="490">
        <v>89789</v>
      </c>
      <c r="AM59" s="685">
        <v>28260</v>
      </c>
      <c r="AN59" s="685">
        <v>175903</v>
      </c>
      <c r="AO59" s="490">
        <v>102766</v>
      </c>
      <c r="AP59" s="394">
        <v>319454</v>
      </c>
      <c r="AQ59" s="394">
        <v>83361</v>
      </c>
      <c r="AR59" s="394">
        <v>31771</v>
      </c>
      <c r="AS59" s="394">
        <v>173365</v>
      </c>
      <c r="AT59" s="394">
        <v>107923</v>
      </c>
      <c r="AU59" s="393">
        <v>317182</v>
      </c>
      <c r="AV59" s="394">
        <v>82158</v>
      </c>
      <c r="AW59" s="394">
        <v>31739</v>
      </c>
      <c r="AX59" s="394">
        <v>181056</v>
      </c>
      <c r="AY59" s="394">
        <v>89531</v>
      </c>
      <c r="AZ59" s="1">
        <v>21787</v>
      </c>
      <c r="BA59" s="1">
        <v>0</v>
      </c>
      <c r="BB59" s="1">
        <v>1788</v>
      </c>
      <c r="BC59" s="1">
        <v>6898</v>
      </c>
      <c r="BD59" s="1">
        <v>59058</v>
      </c>
      <c r="BE59" s="393">
        <v>298109</v>
      </c>
      <c r="BF59" s="394">
        <v>76567</v>
      </c>
      <c r="BG59" s="394">
        <v>32104</v>
      </c>
      <c r="BH59" s="394">
        <v>164995</v>
      </c>
      <c r="BI59" s="394">
        <v>88731</v>
      </c>
      <c r="BJ59" s="393">
        <v>290326</v>
      </c>
      <c r="BK59" s="394"/>
      <c r="BL59" s="394"/>
      <c r="BM59" s="394"/>
      <c r="BN59" s="394"/>
      <c r="BO59" s="393">
        <v>287999</v>
      </c>
      <c r="BP59" s="394">
        <v>63882</v>
      </c>
      <c r="BQ59" s="394">
        <v>29202</v>
      </c>
      <c r="BR59" s="394">
        <v>174851</v>
      </c>
      <c r="BS59" s="394">
        <v>97598</v>
      </c>
      <c r="BT59" s="393">
        <v>291610</v>
      </c>
      <c r="BU59" s="394">
        <v>64337</v>
      </c>
      <c r="BV59" s="394">
        <v>26245</v>
      </c>
      <c r="BW59" s="394">
        <v>171636</v>
      </c>
      <c r="BX59" s="394">
        <v>25030</v>
      </c>
      <c r="BY59" s="1">
        <v>0</v>
      </c>
      <c r="BZ59" s="1">
        <v>4148</v>
      </c>
      <c r="CA59" s="1">
        <v>62189</v>
      </c>
      <c r="CB59" s="1">
        <v>96305</v>
      </c>
      <c r="CC59" s="10">
        <v>718996</v>
      </c>
      <c r="CD59" s="3">
        <v>537921</v>
      </c>
      <c r="CE59" s="3">
        <v>135454</v>
      </c>
      <c r="CF59" s="3">
        <v>171636</v>
      </c>
      <c r="CG59" s="3">
        <v>45621</v>
      </c>
      <c r="CH59" s="10">
        <v>641048</v>
      </c>
      <c r="CI59" s="3">
        <v>418852</v>
      </c>
      <c r="CJ59" s="3">
        <v>128527</v>
      </c>
      <c r="CK59" s="3">
        <v>126826</v>
      </c>
      <c r="CL59" s="3">
        <v>93669</v>
      </c>
      <c r="CM59" s="1">
        <v>470144</v>
      </c>
      <c r="CN59" s="3">
        <v>242823</v>
      </c>
      <c r="CO59" s="3">
        <v>94731</v>
      </c>
      <c r="CP59" s="3">
        <v>110884</v>
      </c>
      <c r="CQ59" s="8">
        <v>80968</v>
      </c>
      <c r="CR59" s="3">
        <v>406304</v>
      </c>
      <c r="CS59" s="3">
        <v>255405</v>
      </c>
      <c r="CT59" s="3">
        <v>85038</v>
      </c>
      <c r="CU59" s="3">
        <v>105439</v>
      </c>
      <c r="CV59" s="3">
        <v>65861</v>
      </c>
      <c r="CW59" s="3">
        <v>385791</v>
      </c>
      <c r="CX59" s="3">
        <v>176749</v>
      </c>
      <c r="CY59" s="3">
        <v>79397</v>
      </c>
      <c r="CZ59" s="3">
        <v>107402</v>
      </c>
      <c r="DA59" s="3">
        <v>70987</v>
      </c>
      <c r="DB59" s="3">
        <v>376225</v>
      </c>
      <c r="DC59" s="3">
        <v>170393</v>
      </c>
      <c r="DD59" s="3">
        <v>76072</v>
      </c>
      <c r="DE59" s="3">
        <v>108271</v>
      </c>
      <c r="DF59" s="39">
        <v>71198</v>
      </c>
      <c r="DG59" s="39">
        <v>353099</v>
      </c>
      <c r="DH59" s="39">
        <v>153089</v>
      </c>
      <c r="DI59" s="39">
        <v>70164</v>
      </c>
      <c r="DJ59" s="39">
        <v>109306</v>
      </c>
      <c r="DK59" s="39">
        <v>70623</v>
      </c>
      <c r="DL59" s="39">
        <v>355305</v>
      </c>
      <c r="DM59" s="39">
        <v>152203</v>
      </c>
      <c r="DN59" s="39">
        <v>64221</v>
      </c>
      <c r="DO59" s="39">
        <v>118399</v>
      </c>
      <c r="DP59" s="39">
        <v>67521</v>
      </c>
      <c r="DQ59" s="39">
        <v>343494</v>
      </c>
      <c r="DR59" s="39">
        <v>145692</v>
      </c>
      <c r="DS59" s="39">
        <v>61065</v>
      </c>
      <c r="DT59" s="39">
        <v>111781</v>
      </c>
      <c r="DU59" s="39">
        <v>69946</v>
      </c>
      <c r="DV59" s="118">
        <v>330076</v>
      </c>
      <c r="DW59" s="39">
        <v>124947</v>
      </c>
      <c r="DX59" s="39">
        <v>70701</v>
      </c>
      <c r="DY59" s="39">
        <v>110760</v>
      </c>
      <c r="DZ59" s="39">
        <v>64745</v>
      </c>
      <c r="EA59" s="118">
        <v>317170</v>
      </c>
      <c r="EB59" s="39"/>
      <c r="EC59" s="39"/>
      <c r="ED59" s="39"/>
      <c r="EE59" s="39"/>
      <c r="EF59" s="118">
        <v>311620</v>
      </c>
      <c r="EG59" s="39">
        <v>120863</v>
      </c>
      <c r="EH59" s="39">
        <v>62162</v>
      </c>
      <c r="EI59" s="39">
        <v>104340</v>
      </c>
      <c r="EJ59" s="39">
        <v>65456</v>
      </c>
      <c r="EK59" s="118">
        <v>311620</v>
      </c>
      <c r="EL59" s="39">
        <v>120863</v>
      </c>
      <c r="EM59" s="39">
        <v>62162</v>
      </c>
      <c r="EN59" s="39">
        <v>104340</v>
      </c>
      <c r="EO59" s="39">
        <v>65456</v>
      </c>
      <c r="EP59" s="118">
        <v>292323</v>
      </c>
      <c r="EQ59" s="39">
        <v>105251</v>
      </c>
      <c r="ER59" s="39">
        <v>51987</v>
      </c>
      <c r="ES59" s="39">
        <v>107602</v>
      </c>
      <c r="ET59" s="1">
        <v>21297</v>
      </c>
      <c r="EU59" s="1">
        <v>0</v>
      </c>
      <c r="EV59" s="1">
        <v>2229</v>
      </c>
      <c r="EW59" s="1">
        <v>42100</v>
      </c>
      <c r="EX59" s="1">
        <v>59607</v>
      </c>
      <c r="EY59" s="10">
        <v>722090</v>
      </c>
      <c r="EZ59" s="3">
        <v>438988</v>
      </c>
      <c r="FA59" s="3">
        <v>116176</v>
      </c>
      <c r="FB59" s="3">
        <v>271419</v>
      </c>
      <c r="FC59" s="201">
        <f t="shared" si="651"/>
        <v>166926</v>
      </c>
      <c r="FD59" s="174" t="s">
        <v>221</v>
      </c>
      <c r="FE59" s="175" t="s">
        <v>221</v>
      </c>
      <c r="FF59" s="175" t="s">
        <v>221</v>
      </c>
      <c r="FG59" s="175" t="s">
        <v>221</v>
      </c>
      <c r="FH59" s="174" t="s">
        <v>221</v>
      </c>
      <c r="FI59" s="175" t="s">
        <v>221</v>
      </c>
      <c r="FJ59" s="175" t="s">
        <v>221</v>
      </c>
      <c r="FK59" s="175" t="s">
        <v>221</v>
      </c>
      <c r="FL59" s="175" t="s">
        <v>221</v>
      </c>
      <c r="FM59" s="10">
        <v>3961027</v>
      </c>
      <c r="FN59" s="3">
        <v>3336602</v>
      </c>
      <c r="FO59" s="3">
        <v>402876</v>
      </c>
      <c r="FP59" s="3">
        <v>220196</v>
      </c>
      <c r="FQ59" s="3">
        <v>221549</v>
      </c>
      <c r="FR59" s="10">
        <v>4643322</v>
      </c>
      <c r="FS59" s="3">
        <v>3623329</v>
      </c>
      <c r="FT59" s="3">
        <v>505116</v>
      </c>
      <c r="FU59" s="3">
        <v>380227</v>
      </c>
      <c r="FV59" s="3">
        <v>514877</v>
      </c>
      <c r="FW59" s="127">
        <v>5033379</v>
      </c>
      <c r="FX59" s="3">
        <v>3457753</v>
      </c>
      <c r="FY59" s="3">
        <v>632736</v>
      </c>
      <c r="FZ59" s="3">
        <v>660134</v>
      </c>
      <c r="GA59" s="3">
        <v>549250</v>
      </c>
      <c r="GB59" s="10">
        <v>5069611</v>
      </c>
      <c r="GC59" s="3">
        <v>3766074</v>
      </c>
      <c r="GD59" s="3">
        <v>596937</v>
      </c>
      <c r="GE59" s="3">
        <v>706600</v>
      </c>
      <c r="GF59" s="3">
        <v>568635</v>
      </c>
      <c r="GG59" s="10">
        <v>5124081</v>
      </c>
      <c r="GH59" s="40">
        <v>3818082</v>
      </c>
      <c r="GI59" s="40">
        <v>611219</v>
      </c>
      <c r="GJ59" s="40">
        <v>694780</v>
      </c>
      <c r="GK59" s="40">
        <v>577601</v>
      </c>
      <c r="GL59" s="10">
        <v>5193129</v>
      </c>
      <c r="GM59" s="3">
        <v>3844351</v>
      </c>
      <c r="GN59" s="3">
        <v>618593</v>
      </c>
      <c r="GO59" s="3">
        <v>618963</v>
      </c>
      <c r="GP59" s="3">
        <v>659519</v>
      </c>
      <c r="GQ59" s="10">
        <v>5245595.9939999999</v>
      </c>
      <c r="GR59" s="3">
        <v>3864814.196</v>
      </c>
      <c r="GS59" s="3">
        <v>628539.46000000008</v>
      </c>
      <c r="GT59" s="3">
        <v>644619.36500000011</v>
      </c>
      <c r="GU59" s="373">
        <f t="shared" si="652"/>
        <v>752242.33799999987</v>
      </c>
      <c r="GV59" s="3">
        <v>5300241</v>
      </c>
      <c r="GW59" s="3">
        <v>3466763</v>
      </c>
      <c r="GX59" s="3">
        <v>641301</v>
      </c>
      <c r="GY59" s="3">
        <v>669192</v>
      </c>
      <c r="GZ59" s="3">
        <v>776197</v>
      </c>
      <c r="HA59" s="3">
        <v>5341964</v>
      </c>
      <c r="HB59" s="3">
        <v>3458803</v>
      </c>
      <c r="HC59" s="3">
        <v>653432</v>
      </c>
      <c r="HD59" s="3">
        <v>691940</v>
      </c>
      <c r="HE59" s="3">
        <v>800013</v>
      </c>
      <c r="HF59" s="3">
        <v>5458005</v>
      </c>
      <c r="HG59" s="3">
        <v>3450036</v>
      </c>
      <c r="HH59" s="3">
        <v>681333</v>
      </c>
      <c r="HI59" s="3">
        <v>749943</v>
      </c>
      <c r="HJ59" s="3">
        <v>874644</v>
      </c>
      <c r="HK59" s="3">
        <v>5491625</v>
      </c>
      <c r="HL59" s="3">
        <v>3441892</v>
      </c>
      <c r="HM59" s="3">
        <v>689784</v>
      </c>
      <c r="HN59" s="3">
        <v>769665</v>
      </c>
      <c r="HO59" s="3">
        <v>888094</v>
      </c>
      <c r="HP59" s="10">
        <v>5510496</v>
      </c>
      <c r="HQ59" s="3">
        <v>3421439</v>
      </c>
      <c r="HR59" s="3">
        <v>694065</v>
      </c>
      <c r="HS59" s="3">
        <v>786528</v>
      </c>
      <c r="HT59" s="3">
        <v>877418</v>
      </c>
      <c r="HU59" s="394">
        <v>556887</v>
      </c>
      <c r="HV59" s="1">
        <v>0</v>
      </c>
      <c r="HW59" s="1">
        <v>9779</v>
      </c>
      <c r="HX59" s="1">
        <v>87019</v>
      </c>
      <c r="HY59" s="1">
        <v>223733</v>
      </c>
      <c r="HZ59" s="10">
        <v>5606353</v>
      </c>
      <c r="IA59" s="3">
        <v>3438095</v>
      </c>
      <c r="IB59" s="3">
        <v>699908</v>
      </c>
      <c r="IC59" s="3">
        <v>841683</v>
      </c>
      <c r="ID59" s="3">
        <v>915628</v>
      </c>
      <c r="IE59" s="399">
        <v>5581747</v>
      </c>
      <c r="IF59" s="5"/>
      <c r="IG59" s="5"/>
      <c r="IH59" s="5"/>
      <c r="II59" s="5"/>
      <c r="IJ59" s="399">
        <v>5591610</v>
      </c>
      <c r="IK59" s="5">
        <v>3393134</v>
      </c>
      <c r="IL59" s="5">
        <v>722452</v>
      </c>
      <c r="IM59" s="5">
        <v>855163</v>
      </c>
      <c r="IN59" s="5">
        <v>917849</v>
      </c>
      <c r="IO59" s="399">
        <v>5890494</v>
      </c>
      <c r="IP59" s="5">
        <v>3426460</v>
      </c>
      <c r="IQ59" s="5">
        <v>731009</v>
      </c>
      <c r="IR59" s="5">
        <v>948604</v>
      </c>
      <c r="IS59" s="5">
        <v>1618293</v>
      </c>
      <c r="IT59" s="1">
        <v>615099</v>
      </c>
      <c r="IU59" s="1">
        <v>0</v>
      </c>
      <c r="IV59" s="1">
        <v>18227</v>
      </c>
      <c r="IW59" s="1">
        <v>561201</v>
      </c>
      <c r="IX59" s="1">
        <v>423766</v>
      </c>
      <c r="IY59" s="380" t="s">
        <v>221</v>
      </c>
      <c r="IZ59" s="188" t="s">
        <v>221</v>
      </c>
      <c r="JA59" s="188" t="s">
        <v>221</v>
      </c>
      <c r="JB59" s="188" t="s">
        <v>221</v>
      </c>
      <c r="JC59" s="188" t="s">
        <v>221</v>
      </c>
      <c r="JD59" s="399">
        <v>1070455</v>
      </c>
      <c r="JE59" s="5">
        <v>882106</v>
      </c>
      <c r="JF59" s="5">
        <v>135625</v>
      </c>
      <c r="JG59" s="5">
        <v>71592</v>
      </c>
      <c r="JH59" s="5">
        <v>52724</v>
      </c>
      <c r="JI59" s="399">
        <v>1296968</v>
      </c>
      <c r="JJ59" s="5">
        <v>990775</v>
      </c>
      <c r="JK59" s="5">
        <v>181539</v>
      </c>
      <c r="JL59" s="5">
        <v>127762</v>
      </c>
      <c r="JM59" s="5">
        <v>124654</v>
      </c>
      <c r="JN59" s="5">
        <v>1294067</v>
      </c>
      <c r="JO59" s="5">
        <v>878051</v>
      </c>
      <c r="JP59" s="5">
        <v>188624</v>
      </c>
      <c r="JQ59" s="5">
        <v>158832</v>
      </c>
      <c r="JR59" s="5">
        <v>145475</v>
      </c>
      <c r="JS59" s="399">
        <v>1385747</v>
      </c>
      <c r="JT59" s="5">
        <v>1016366</v>
      </c>
      <c r="JU59" s="5">
        <v>221142</v>
      </c>
      <c r="JV59" s="5">
        <v>189525</v>
      </c>
      <c r="JW59" s="5">
        <v>148239</v>
      </c>
      <c r="JX59" s="399">
        <v>1390470.838</v>
      </c>
      <c r="JY59" s="5">
        <v>1015697.2720000001</v>
      </c>
      <c r="JZ59" s="5">
        <v>222669.785</v>
      </c>
      <c r="KA59" s="5">
        <v>198979.23499999999</v>
      </c>
      <c r="KB59" s="5">
        <v>152103.78099999987</v>
      </c>
      <c r="KC59" s="5">
        <v>1398073</v>
      </c>
      <c r="KD59" s="5">
        <v>881549</v>
      </c>
      <c r="KE59" s="5">
        <v>227175</v>
      </c>
      <c r="KF59" s="5">
        <v>208116</v>
      </c>
      <c r="KG59" s="439">
        <v>159859</v>
      </c>
      <c r="KH59" s="439">
        <v>1405458</v>
      </c>
      <c r="KI59" s="439">
        <v>876180</v>
      </c>
      <c r="KJ59" s="439">
        <v>230376</v>
      </c>
      <c r="KK59" s="439">
        <v>218004</v>
      </c>
      <c r="KL59" s="439">
        <v>164053</v>
      </c>
      <c r="KM59" s="439">
        <v>1437014</v>
      </c>
      <c r="KN59" s="439">
        <v>875789</v>
      </c>
      <c r="KO59" s="439">
        <v>238283</v>
      </c>
      <c r="KP59" s="439">
        <v>235708</v>
      </c>
      <c r="KQ59" s="439">
        <v>186112</v>
      </c>
      <c r="KR59" s="439">
        <v>1416175</v>
      </c>
      <c r="KS59" s="439">
        <v>846696</v>
      </c>
      <c r="KT59" s="439">
        <v>236492</v>
      </c>
      <c r="KU59" s="439">
        <v>245136</v>
      </c>
      <c r="KV59" s="439">
        <v>185233</v>
      </c>
      <c r="KW59" s="630">
        <v>1424621</v>
      </c>
      <c r="KX59" s="439">
        <v>847193</v>
      </c>
      <c r="KY59" s="439">
        <v>238215</v>
      </c>
      <c r="KZ59" s="439">
        <v>244181</v>
      </c>
      <c r="LA59" s="439">
        <v>184270</v>
      </c>
      <c r="LB59" s="652">
        <v>1432788</v>
      </c>
      <c r="LC59" s="653">
        <v>849474</v>
      </c>
      <c r="LD59" s="653">
        <v>236185</v>
      </c>
      <c r="LE59" s="653">
        <v>259252</v>
      </c>
      <c r="LF59" s="653">
        <v>182482</v>
      </c>
      <c r="LG59" s="652">
        <v>1427357</v>
      </c>
      <c r="LH59" s="653"/>
      <c r="LI59" s="439"/>
      <c r="LJ59" s="439"/>
      <c r="LK59" s="439"/>
      <c r="LL59" s="652">
        <v>1373524</v>
      </c>
      <c r="LM59" s="653">
        <v>804215</v>
      </c>
      <c r="LN59" s="653">
        <v>241873</v>
      </c>
      <c r="LO59" s="653">
        <v>250526</v>
      </c>
      <c r="LP59" s="653">
        <v>163191</v>
      </c>
      <c r="LQ59" s="652">
        <v>1450426</v>
      </c>
      <c r="LR59" s="653">
        <v>806629</v>
      </c>
      <c r="LS59" s="653">
        <v>240686</v>
      </c>
      <c r="LT59" s="653">
        <v>281589</v>
      </c>
      <c r="LU59" s="653">
        <v>366454</v>
      </c>
      <c r="LV59" s="1">
        <v>78326</v>
      </c>
      <c r="LW59" s="1">
        <v>0</v>
      </c>
      <c r="LX59" s="1">
        <v>6155</v>
      </c>
      <c r="LY59" s="1">
        <v>159500</v>
      </c>
      <c r="LZ59" s="1">
        <v>122473</v>
      </c>
      <c r="MA59" s="10">
        <v>268664</v>
      </c>
      <c r="MB59" s="3">
        <v>222278</v>
      </c>
      <c r="MC59" s="3">
        <v>29205</v>
      </c>
      <c r="MD59" s="3">
        <v>17119</v>
      </c>
      <c r="ME59" s="3">
        <v>17181</v>
      </c>
      <c r="MF59" s="10">
        <v>298096</v>
      </c>
      <c r="MG59" s="3">
        <v>231568</v>
      </c>
      <c r="MH59" s="3">
        <v>35672</v>
      </c>
      <c r="MI59" s="3">
        <v>24523</v>
      </c>
      <c r="MJ59" s="3">
        <v>30856</v>
      </c>
      <c r="MK59" s="3">
        <v>355590</v>
      </c>
      <c r="ML59" s="3">
        <v>244679</v>
      </c>
      <c r="MM59" s="3">
        <v>46601</v>
      </c>
      <c r="MN59" s="3">
        <v>39824</v>
      </c>
      <c r="MO59" s="3">
        <v>43285</v>
      </c>
      <c r="MP59" s="10">
        <v>367653</v>
      </c>
      <c r="MQ59" s="3">
        <v>271945</v>
      </c>
      <c r="MR59" s="3">
        <v>51072</v>
      </c>
      <c r="MS59" s="3">
        <v>46471</v>
      </c>
      <c r="MT59" s="3">
        <v>44636</v>
      </c>
      <c r="MU59" s="10"/>
      <c r="MV59" s="3"/>
      <c r="MW59" s="3"/>
      <c r="MX59" s="3"/>
      <c r="MY59" s="8"/>
      <c r="MZ59" s="3">
        <v>370481</v>
      </c>
      <c r="NA59" s="3">
        <v>241793</v>
      </c>
      <c r="NB59" s="3">
        <v>51525</v>
      </c>
      <c r="NC59" s="3">
        <v>50127</v>
      </c>
      <c r="ND59" s="3">
        <v>45520</v>
      </c>
      <c r="NE59" s="3">
        <v>377352</v>
      </c>
      <c r="NF59" s="3">
        <v>244962</v>
      </c>
      <c r="NG59" s="3">
        <v>52624</v>
      </c>
      <c r="NH59" s="3">
        <v>52075</v>
      </c>
      <c r="NI59" s="3">
        <v>46324</v>
      </c>
      <c r="NJ59" s="3">
        <v>391582</v>
      </c>
      <c r="NK59" s="3">
        <v>250269</v>
      </c>
      <c r="NL59" s="3">
        <v>55375</v>
      </c>
      <c r="NM59" s="3">
        <v>55895</v>
      </c>
      <c r="NN59" s="3">
        <v>523032</v>
      </c>
      <c r="NO59" s="3">
        <v>392077</v>
      </c>
      <c r="NP59" s="3">
        <v>245078</v>
      </c>
      <c r="NQ59" s="3">
        <v>54002</v>
      </c>
      <c r="NR59" s="3">
        <v>60267</v>
      </c>
      <c r="NS59" s="3">
        <v>55104</v>
      </c>
      <c r="NT59" s="3">
        <v>400332</v>
      </c>
      <c r="NU59" s="3">
        <v>247359</v>
      </c>
      <c r="NV59" s="3">
        <v>58433</v>
      </c>
      <c r="NW59" s="3">
        <v>61430</v>
      </c>
      <c r="NX59" s="3">
        <v>55060</v>
      </c>
      <c r="NY59" s="10">
        <v>418148</v>
      </c>
      <c r="NZ59" s="3">
        <v>261248</v>
      </c>
      <c r="OA59" s="3">
        <v>59444</v>
      </c>
      <c r="OB59" s="3">
        <v>62651</v>
      </c>
      <c r="OC59" s="3">
        <v>57179</v>
      </c>
      <c r="OD59" s="10">
        <v>409253</v>
      </c>
      <c r="OE59" s="3"/>
      <c r="OF59" s="3"/>
      <c r="OG59" s="3"/>
      <c r="OH59" s="3"/>
      <c r="OI59" s="10">
        <v>398984</v>
      </c>
      <c r="OJ59" s="3">
        <v>243549</v>
      </c>
      <c r="OK59" s="3">
        <v>58892</v>
      </c>
      <c r="OL59" s="3">
        <v>67573</v>
      </c>
      <c r="OM59" s="3">
        <v>49541</v>
      </c>
      <c r="ON59" s="10">
        <v>454004</v>
      </c>
      <c r="OO59" s="3">
        <v>259045</v>
      </c>
      <c r="OP59" s="3">
        <v>62316</v>
      </c>
      <c r="OQ59" s="3">
        <v>87477</v>
      </c>
      <c r="OR59" s="3">
        <v>36391</v>
      </c>
      <c r="OS59" s="1">
        <v>29965</v>
      </c>
      <c r="OT59" s="1">
        <v>0</v>
      </c>
      <c r="OU59" s="1">
        <v>1715</v>
      </c>
      <c r="OV59" s="1">
        <v>52139</v>
      </c>
      <c r="OW59" s="1">
        <v>36391</v>
      </c>
      <c r="OX59" s="402">
        <f t="shared" si="653"/>
        <v>1570858</v>
      </c>
      <c r="OY59" s="382">
        <f t="shared" si="654"/>
        <v>930095</v>
      </c>
      <c r="OZ59" s="382">
        <f t="shared" si="655"/>
        <v>88810</v>
      </c>
      <c r="PA59" s="382">
        <f t="shared" si="656"/>
        <v>256847</v>
      </c>
      <c r="PB59" s="382">
        <f t="shared" si="657"/>
        <v>183484</v>
      </c>
      <c r="PC59" s="402">
        <f t="shared" si="658"/>
        <v>1982957</v>
      </c>
      <c r="PD59" s="382">
        <f t="shared" si="659"/>
        <v>1559049</v>
      </c>
      <c r="PE59" s="382">
        <f t="shared" si="660"/>
        <v>145175</v>
      </c>
      <c r="PF59" s="382">
        <f t="shared" si="661"/>
        <v>104491</v>
      </c>
      <c r="PG59" s="382">
        <f t="shared" si="662"/>
        <v>278733</v>
      </c>
      <c r="PH59" s="10">
        <v>2061122</v>
      </c>
      <c r="PI59" s="3">
        <v>1525739</v>
      </c>
      <c r="PJ59" s="3">
        <v>172558</v>
      </c>
      <c r="PK59" s="3">
        <v>164269</v>
      </c>
      <c r="PL59" s="3">
        <v>362825</v>
      </c>
      <c r="PM59" s="3">
        <v>2319486</v>
      </c>
      <c r="PN59" s="3">
        <v>1637305</v>
      </c>
      <c r="PO59" s="3">
        <v>192571</v>
      </c>
      <c r="PP59" s="3">
        <v>162350</v>
      </c>
      <c r="PQ59" s="3">
        <v>396480</v>
      </c>
      <c r="PR59" s="399"/>
      <c r="PS59" s="5"/>
      <c r="PT59" s="5"/>
      <c r="PU59" s="5"/>
      <c r="PV59" s="5"/>
      <c r="PW59" s="5">
        <v>2520298</v>
      </c>
      <c r="PX59" s="5">
        <v>1713634</v>
      </c>
      <c r="PY59" s="5">
        <v>210903</v>
      </c>
      <c r="PZ59" s="5">
        <v>199092</v>
      </c>
      <c r="QA59" s="408">
        <v>461390</v>
      </c>
      <c r="QB59" s="5">
        <v>2562201</v>
      </c>
      <c r="QC59" s="5">
        <v>1723625</v>
      </c>
      <c r="QD59" s="5">
        <v>214821</v>
      </c>
      <c r="QE59" s="5">
        <v>208724</v>
      </c>
      <c r="QF59" s="5">
        <v>482380</v>
      </c>
      <c r="QG59" s="5">
        <v>2682850</v>
      </c>
      <c r="QH59" s="5">
        <v>1773113</v>
      </c>
      <c r="QI59" s="5">
        <v>233984</v>
      </c>
      <c r="QJ59" s="5">
        <v>234853</v>
      </c>
      <c r="QK59" s="5">
        <v>523032</v>
      </c>
      <c r="QL59" s="399">
        <v>2710150</v>
      </c>
      <c r="QM59" s="5">
        <v>1779475</v>
      </c>
      <c r="QN59" s="5">
        <v>225218</v>
      </c>
      <c r="QO59" s="5">
        <v>249719</v>
      </c>
      <c r="QP59" s="5">
        <v>541373</v>
      </c>
      <c r="QQ59" s="399">
        <v>2780134</v>
      </c>
      <c r="QR59" s="5">
        <v>1817557</v>
      </c>
      <c r="QS59" s="5">
        <v>242977</v>
      </c>
      <c r="QT59" s="5">
        <v>248281</v>
      </c>
      <c r="QU59" s="5">
        <v>543770</v>
      </c>
      <c r="QV59" s="399">
        <v>2894855</v>
      </c>
      <c r="QW59" s="5">
        <v>1854712</v>
      </c>
      <c r="QX59" s="5">
        <v>257622</v>
      </c>
      <c r="QY59" s="5">
        <v>281965</v>
      </c>
      <c r="QZ59" s="5">
        <v>588429</v>
      </c>
      <c r="RA59" s="399">
        <v>2934245</v>
      </c>
      <c r="RB59" s="5"/>
      <c r="RC59" s="5"/>
      <c r="RD59" s="5"/>
      <c r="RE59" s="5"/>
      <c r="RF59" s="5">
        <v>2950749</v>
      </c>
      <c r="RG59" s="5">
        <v>1882357</v>
      </c>
      <c r="RH59" s="5">
        <v>265069</v>
      </c>
      <c r="RI59" s="5">
        <v>306436</v>
      </c>
      <c r="RJ59" s="5">
        <v>589952</v>
      </c>
      <c r="RK59" s="5">
        <v>3244650</v>
      </c>
      <c r="RL59" s="5">
        <v>1981522</v>
      </c>
      <c r="RM59" s="5">
        <v>294638</v>
      </c>
      <c r="RN59" s="5">
        <v>367160</v>
      </c>
      <c r="RO59" s="5">
        <v>913573</v>
      </c>
      <c r="RP59" s="1">
        <v>505272</v>
      </c>
      <c r="RQ59" s="1">
        <v>0</v>
      </c>
      <c r="RR59" s="1">
        <v>5986</v>
      </c>
      <c r="RS59" s="1">
        <v>263357</v>
      </c>
      <c r="RT59" s="1">
        <v>138958</v>
      </c>
      <c r="RU59" s="10">
        <v>826887</v>
      </c>
      <c r="RV59" s="3">
        <v>707817</v>
      </c>
      <c r="RW59" s="3">
        <v>55334</v>
      </c>
      <c r="RX59" s="3">
        <v>28510</v>
      </c>
      <c r="RY59" s="3">
        <v>63736</v>
      </c>
      <c r="RZ59" s="10">
        <v>1063665</v>
      </c>
      <c r="SA59" s="3">
        <v>841431</v>
      </c>
      <c r="SB59" s="3">
        <v>73219</v>
      </c>
      <c r="SC59" s="3">
        <v>51395</v>
      </c>
      <c r="SD59" s="3">
        <v>149015</v>
      </c>
      <c r="SE59" s="10">
        <v>1237567</v>
      </c>
      <c r="SF59" s="3">
        <v>875142</v>
      </c>
      <c r="SG59" s="3">
        <v>100416</v>
      </c>
      <c r="SH59" s="3">
        <v>88558</v>
      </c>
      <c r="SI59" s="3"/>
      <c r="SJ59" s="10">
        <v>1293271</v>
      </c>
      <c r="SK59" s="3">
        <v>960869</v>
      </c>
      <c r="SL59" s="3">
        <v>101358</v>
      </c>
      <c r="SM59" s="3">
        <v>98979</v>
      </c>
      <c r="SN59" s="3">
        <v>231044</v>
      </c>
      <c r="SO59" s="10">
        <v>1312890.92</v>
      </c>
      <c r="SP59" s="3">
        <v>972659.25199999998</v>
      </c>
      <c r="SQ59" s="3">
        <v>102770.67000000001</v>
      </c>
      <c r="SR59" s="3">
        <v>100865.05</v>
      </c>
      <c r="SS59" s="3">
        <v>237460.99799999993</v>
      </c>
      <c r="ST59" s="10">
        <v>1338420</v>
      </c>
      <c r="SU59" s="3">
        <v>917352</v>
      </c>
      <c r="SV59" s="3">
        <v>104089</v>
      </c>
      <c r="SW59" s="3">
        <v>104638</v>
      </c>
      <c r="SX59" s="3">
        <v>245983</v>
      </c>
      <c r="SY59" s="3">
        <v>1356074</v>
      </c>
      <c r="SZ59" s="3">
        <v>921409</v>
      </c>
      <c r="TA59" s="3">
        <v>105133</v>
      </c>
      <c r="TB59" s="3">
        <v>109433</v>
      </c>
      <c r="TC59" s="3">
        <v>255516</v>
      </c>
      <c r="TD59" s="3">
        <v>1415973</v>
      </c>
      <c r="TE59" s="3">
        <v>940960</v>
      </c>
      <c r="TF59" s="3">
        <v>116454</v>
      </c>
      <c r="TG59" s="3">
        <v>124399</v>
      </c>
      <c r="TH59" s="3">
        <v>278394</v>
      </c>
      <c r="TI59" s="3">
        <v>1437307</v>
      </c>
      <c r="TJ59" s="3">
        <v>948860</v>
      </c>
      <c r="TK59" s="3">
        <v>114564</v>
      </c>
      <c r="TL59" s="3">
        <v>136836</v>
      </c>
      <c r="TM59" s="3">
        <v>284561</v>
      </c>
      <c r="TN59" s="3">
        <v>1460518</v>
      </c>
      <c r="TO59" s="3">
        <v>975284</v>
      </c>
      <c r="TP59" s="3">
        <v>120479</v>
      </c>
      <c r="TQ59" s="3">
        <v>128512</v>
      </c>
      <c r="TR59" s="3">
        <v>274005</v>
      </c>
      <c r="TS59" s="10">
        <v>1506899</v>
      </c>
      <c r="TT59" s="3">
        <v>971581</v>
      </c>
      <c r="TU59" s="3">
        <v>127301</v>
      </c>
      <c r="TV59" s="3">
        <v>155875</v>
      </c>
      <c r="TW59" s="3">
        <v>299413</v>
      </c>
      <c r="TX59" s="10">
        <v>1535321</v>
      </c>
      <c r="TY59" s="3"/>
      <c r="TZ59" s="3"/>
      <c r="UA59" s="3"/>
      <c r="UB59" s="3"/>
      <c r="UC59" s="10">
        <v>1555781</v>
      </c>
      <c r="UD59" s="3">
        <v>1002361</v>
      </c>
      <c r="UE59" s="3">
        <v>133857</v>
      </c>
      <c r="UF59" s="3">
        <v>167662</v>
      </c>
      <c r="UG59" s="3">
        <v>303488</v>
      </c>
      <c r="UH59" s="10">
        <v>1664353</v>
      </c>
      <c r="UI59" s="3">
        <v>1039343</v>
      </c>
      <c r="UJ59" s="3">
        <v>141735</v>
      </c>
      <c r="UK59" s="3">
        <v>189290</v>
      </c>
      <c r="UL59" s="3">
        <v>454095</v>
      </c>
      <c r="UM59" s="1">
        <v>243110</v>
      </c>
      <c r="UN59" s="1">
        <v>0</v>
      </c>
      <c r="UO59" s="1">
        <v>2380</v>
      </c>
      <c r="UP59" s="1">
        <v>140548</v>
      </c>
      <c r="UQ59" s="1">
        <v>102567</v>
      </c>
      <c r="UR59" s="588">
        <f t="shared" si="663"/>
        <v>294295</v>
      </c>
      <c r="US59" s="40">
        <v>196585</v>
      </c>
      <c r="UT59" s="40">
        <v>97710</v>
      </c>
      <c r="UU59" s="588">
        <f t="shared" si="664"/>
        <v>8581</v>
      </c>
      <c r="UV59" s="40">
        <v>4392</v>
      </c>
      <c r="UW59" s="40">
        <v>4189</v>
      </c>
      <c r="UX59" s="10">
        <v>474964</v>
      </c>
      <c r="UY59" s="588">
        <f t="shared" si="665"/>
        <v>305630</v>
      </c>
      <c r="UZ59" s="588">
        <f t="shared" si="666"/>
        <v>169334</v>
      </c>
      <c r="VA59" s="588">
        <f t="shared" si="667"/>
        <v>459274</v>
      </c>
      <c r="VB59" s="40">
        <v>297986</v>
      </c>
      <c r="VC59" s="40">
        <v>161288</v>
      </c>
      <c r="VD59" s="588">
        <f t="shared" si="668"/>
        <v>14647</v>
      </c>
      <c r="VE59" s="40">
        <v>7021</v>
      </c>
      <c r="VF59" s="40">
        <v>7626</v>
      </c>
      <c r="VG59" s="588">
        <f t="shared" si="669"/>
        <v>1043</v>
      </c>
      <c r="VH59" s="40">
        <v>623</v>
      </c>
      <c r="VI59" s="40">
        <v>420</v>
      </c>
      <c r="VJ59" s="10">
        <v>826040</v>
      </c>
      <c r="VK59" s="588">
        <f t="shared" si="670"/>
        <v>495716</v>
      </c>
      <c r="VL59" s="588">
        <f t="shared" si="671"/>
        <v>330324</v>
      </c>
      <c r="VM59" s="240">
        <f t="shared" si="672"/>
        <v>729566</v>
      </c>
      <c r="VN59" s="40">
        <v>445854</v>
      </c>
      <c r="VO59" s="40">
        <v>283712</v>
      </c>
      <c r="VP59" s="40">
        <v>49862</v>
      </c>
      <c r="VQ59" s="40">
        <v>46612</v>
      </c>
      <c r="VR59" s="240">
        <f t="shared" si="673"/>
        <v>39724</v>
      </c>
      <c r="VS59" s="40">
        <v>18416</v>
      </c>
      <c r="VT59" s="40">
        <v>21308</v>
      </c>
      <c r="VU59" s="240">
        <f t="shared" si="674"/>
        <v>19774</v>
      </c>
      <c r="VV59" s="40">
        <v>10915</v>
      </c>
      <c r="VW59" s="40">
        <v>8859</v>
      </c>
      <c r="VX59" s="233">
        <f t="shared" si="675"/>
        <v>36976</v>
      </c>
      <c r="VY59" s="233">
        <f t="shared" si="676"/>
        <v>20531</v>
      </c>
      <c r="VZ59" s="233">
        <f t="shared" si="677"/>
        <v>16445</v>
      </c>
      <c r="WA59" s="234">
        <f t="shared" si="678"/>
        <v>579</v>
      </c>
      <c r="WB59" s="234">
        <f t="shared" si="679"/>
        <v>394</v>
      </c>
      <c r="WC59" s="234">
        <f t="shared" si="680"/>
        <v>185</v>
      </c>
      <c r="WD59" s="40">
        <v>36397</v>
      </c>
      <c r="WE59" s="40">
        <v>20137</v>
      </c>
      <c r="WF59" s="40">
        <v>16260</v>
      </c>
      <c r="WG59" s="12">
        <f t="shared" si="681"/>
        <v>1302194</v>
      </c>
      <c r="WH59" s="588">
        <f t="shared" si="682"/>
        <v>707222</v>
      </c>
      <c r="WI59" s="588">
        <f t="shared" si="683"/>
        <v>576795</v>
      </c>
      <c r="WJ59" s="11">
        <f t="shared" si="684"/>
        <v>707817</v>
      </c>
      <c r="WK59" s="90">
        <f t="shared" si="685"/>
        <v>1064716</v>
      </c>
      <c r="WL59" s="40">
        <v>596851</v>
      </c>
      <c r="WM59" s="40">
        <v>467865</v>
      </c>
      <c r="WN59" s="40">
        <v>110371</v>
      </c>
      <c r="WO59" s="40">
        <v>108930</v>
      </c>
      <c r="WP59" s="11">
        <f t="shared" si="686"/>
        <v>59605</v>
      </c>
      <c r="WQ59" s="90">
        <f t="shared" si="687"/>
        <v>79492</v>
      </c>
      <c r="WR59" s="40">
        <v>35680</v>
      </c>
      <c r="WS59" s="40">
        <v>43812</v>
      </c>
      <c r="WT59" s="11">
        <f t="shared" si="688"/>
        <v>43983</v>
      </c>
      <c r="WU59" s="40">
        <v>22218</v>
      </c>
      <c r="WV59" s="40">
        <v>21765</v>
      </c>
      <c r="WW59" s="11">
        <f t="shared" si="689"/>
        <v>166303</v>
      </c>
      <c r="WX59" s="257">
        <f t="shared" si="690"/>
        <v>52473</v>
      </c>
      <c r="WY59" s="235">
        <f t="shared" si="691"/>
        <v>43353</v>
      </c>
      <c r="WZ59" s="236">
        <f t="shared" si="692"/>
        <v>713</v>
      </c>
      <c r="XA59" s="236">
        <f t="shared" si="693"/>
        <v>361</v>
      </c>
      <c r="XB59" s="236">
        <f t="shared" si="694"/>
        <v>352</v>
      </c>
      <c r="XC59" s="589">
        <f t="shared" si="695"/>
        <v>95113</v>
      </c>
      <c r="XD59" s="589">
        <f t="shared" si="696"/>
        <v>52112</v>
      </c>
      <c r="XE59" s="589">
        <f t="shared" si="697"/>
        <v>43001</v>
      </c>
      <c r="XF59" s="40">
        <v>635</v>
      </c>
      <c r="XG59" s="40">
        <v>682</v>
      </c>
      <c r="XH59" s="40">
        <v>51477</v>
      </c>
      <c r="XI59" s="40">
        <v>42319</v>
      </c>
      <c r="XJ59" s="590">
        <v>1684861</v>
      </c>
      <c r="XK59" s="40">
        <v>864039</v>
      </c>
      <c r="XL59" s="40">
        <v>820822</v>
      </c>
      <c r="XM59" s="5">
        <f t="shared" si="698"/>
        <v>1327481</v>
      </c>
      <c r="XN59" s="5">
        <v>689755</v>
      </c>
      <c r="XO59" s="5">
        <v>637726</v>
      </c>
      <c r="XP59" s="84">
        <f t="shared" si="699"/>
        <v>1277101</v>
      </c>
      <c r="XQ59" s="40">
        <v>666396</v>
      </c>
      <c r="XR59" s="40">
        <v>610705</v>
      </c>
      <c r="XS59" s="5">
        <f t="shared" si="700"/>
        <v>109503</v>
      </c>
      <c r="XT59" s="40">
        <v>46557</v>
      </c>
      <c r="XU59" s="40">
        <v>62946</v>
      </c>
      <c r="XV59" s="5">
        <f t="shared" si="701"/>
        <v>79968</v>
      </c>
      <c r="XW59" s="40">
        <v>36721</v>
      </c>
      <c r="XX59" s="40">
        <v>43247</v>
      </c>
      <c r="XY59" s="84">
        <f t="shared" si="702"/>
        <v>247877</v>
      </c>
      <c r="XZ59" s="84">
        <f t="shared" si="703"/>
        <v>127727</v>
      </c>
      <c r="YA59" s="84">
        <f t="shared" si="704"/>
        <v>120150</v>
      </c>
      <c r="YB59" s="587">
        <v>1963896</v>
      </c>
      <c r="YC59" s="40">
        <v>1392626</v>
      </c>
      <c r="YD59" s="40">
        <v>145970</v>
      </c>
      <c r="YE59" s="40">
        <v>122526</v>
      </c>
      <c r="YF59" s="5">
        <v>353195</v>
      </c>
      <c r="YG59" s="590">
        <v>1982528</v>
      </c>
      <c r="YH59" s="3">
        <v>1476646</v>
      </c>
      <c r="YI59" s="3">
        <v>146464</v>
      </c>
      <c r="YJ59" s="3">
        <v>359418</v>
      </c>
      <c r="YK59" s="3">
        <v>127186</v>
      </c>
      <c r="YL59" s="590">
        <v>2014596</v>
      </c>
      <c r="YM59" s="3">
        <v>1506565</v>
      </c>
      <c r="YN59" s="3">
        <v>148170</v>
      </c>
      <c r="YO59" s="3">
        <v>359861</v>
      </c>
      <c r="YP59" s="3">
        <v>129692</v>
      </c>
      <c r="YQ59" s="10">
        <v>2069190</v>
      </c>
      <c r="YR59" s="3">
        <v>1527640</v>
      </c>
      <c r="YS59" s="3">
        <v>150987</v>
      </c>
      <c r="YT59" s="3">
        <v>390563</v>
      </c>
      <c r="YU59" s="3">
        <v>141175</v>
      </c>
      <c r="YV59" s="10">
        <v>2100625.4720000001</v>
      </c>
      <c r="YW59" s="3">
        <v>1545064.9180000001</v>
      </c>
      <c r="YX59" s="3">
        <v>155645.435</v>
      </c>
      <c r="YY59" s="3">
        <v>143044.98000000001</v>
      </c>
      <c r="YZ59" s="3">
        <v>399915.11900000001</v>
      </c>
      <c r="ZA59" s="3">
        <v>2149817</v>
      </c>
      <c r="ZB59" s="3">
        <v>1471841</v>
      </c>
      <c r="ZC59" s="3">
        <v>159378</v>
      </c>
      <c r="ZD59" s="3">
        <v>148965</v>
      </c>
      <c r="ZE59" s="1">
        <v>415870</v>
      </c>
      <c r="ZF59" s="1">
        <v>2184849</v>
      </c>
      <c r="ZG59" s="1">
        <v>1478663</v>
      </c>
      <c r="ZH59" s="1">
        <v>162197</v>
      </c>
      <c r="ZI59" s="1">
        <v>156649</v>
      </c>
      <c r="ZJ59" s="1">
        <v>436056</v>
      </c>
      <c r="ZK59" s="1">
        <v>2291268</v>
      </c>
      <c r="ZL59" s="1">
        <v>1522844</v>
      </c>
      <c r="ZM59" s="1">
        <v>178609</v>
      </c>
      <c r="ZN59" s="1">
        <v>178958</v>
      </c>
      <c r="ZO59" s="1">
        <v>470030</v>
      </c>
      <c r="ZP59" s="1">
        <v>2318073</v>
      </c>
      <c r="ZQ59" s="1">
        <v>1534397</v>
      </c>
      <c r="ZR59" s="1">
        <v>171216</v>
      </c>
      <c r="ZS59" s="1">
        <v>189452</v>
      </c>
      <c r="ZT59" s="1">
        <v>486269</v>
      </c>
      <c r="ZU59" s="1">
        <v>2379802</v>
      </c>
      <c r="ZV59" s="1">
        <v>1570198</v>
      </c>
      <c r="ZW59" s="1">
        <v>184544</v>
      </c>
      <c r="ZX59" s="1">
        <v>186851</v>
      </c>
      <c r="ZY59" s="1">
        <v>488710</v>
      </c>
      <c r="ZZ59" s="394">
        <v>412934</v>
      </c>
      <c r="AAA59" s="1">
        <v>0</v>
      </c>
      <c r="AAB59" s="1">
        <v>2556</v>
      </c>
      <c r="AAC59" s="1">
        <v>35854</v>
      </c>
      <c r="AAD59" s="1">
        <v>37366</v>
      </c>
      <c r="AAE59" s="50">
        <v>2476707</v>
      </c>
      <c r="AAF59" s="1">
        <v>1593464</v>
      </c>
      <c r="AAG59" s="1">
        <v>198178</v>
      </c>
      <c r="AAH59" s="1">
        <v>219314</v>
      </c>
      <c r="AAI59" s="1">
        <v>531250</v>
      </c>
      <c r="AAJ59" s="50">
        <v>2524992</v>
      </c>
      <c r="AAK59" s="1"/>
      <c r="AAL59" s="1"/>
      <c r="AAM59" s="1"/>
      <c r="AAN59" s="1"/>
      <c r="AAO59" s="68">
        <v>2551765</v>
      </c>
      <c r="AAP59" s="37">
        <v>1638808</v>
      </c>
      <c r="AAQ59" s="37">
        <v>206177</v>
      </c>
      <c r="AAR59" s="37">
        <v>238863</v>
      </c>
      <c r="AAS59" s="37">
        <v>540411</v>
      </c>
      <c r="AAT59" s="68">
        <v>2790646</v>
      </c>
      <c r="AAU59" s="37">
        <v>1722477</v>
      </c>
      <c r="AAV59" s="37">
        <v>232322</v>
      </c>
      <c r="AAW59" s="37">
        <v>279683</v>
      </c>
      <c r="AAX59" s="37">
        <v>793363</v>
      </c>
      <c r="AAY59" s="1">
        <v>475307</v>
      </c>
      <c r="AAZ59" s="1">
        <v>0</v>
      </c>
      <c r="ABA59" s="1">
        <v>4271</v>
      </c>
      <c r="ABB59" s="1">
        <v>211218</v>
      </c>
      <c r="ABC59" s="1">
        <v>102567</v>
      </c>
      <c r="ABD59" s="10">
        <v>621196</v>
      </c>
      <c r="ABE59" s="3">
        <v>486050</v>
      </c>
      <c r="ABF59" s="3">
        <v>36284</v>
      </c>
      <c r="ABG59" s="3">
        <v>28573</v>
      </c>
      <c r="ABH59" s="3">
        <v>98862</v>
      </c>
      <c r="ABI59" s="10">
        <v>726329</v>
      </c>
      <c r="ABJ59" s="3">
        <v>517484</v>
      </c>
      <c r="ABK59" s="3">
        <v>45554</v>
      </c>
      <c r="ABL59" s="3">
        <v>33968</v>
      </c>
      <c r="ABM59" s="3">
        <v>140705</v>
      </c>
      <c r="ABN59" s="10">
        <v>775919</v>
      </c>
      <c r="ABO59" s="3">
        <v>566771</v>
      </c>
      <c r="ABP59" s="3">
        <v>49629</v>
      </c>
      <c r="ABQ59" s="3">
        <v>42196</v>
      </c>
      <c r="ABR59" s="3">
        <v>159519</v>
      </c>
      <c r="ABS59" s="10">
        <v>787734.55200000003</v>
      </c>
      <c r="ABT59" s="3">
        <v>572405.66600000008</v>
      </c>
      <c r="ABU59" s="3">
        <v>52874.764999999992</v>
      </c>
      <c r="ABV59" s="3">
        <v>42179.93</v>
      </c>
      <c r="ABW59" s="8">
        <v>162454.12099999996</v>
      </c>
      <c r="ABX59" s="1">
        <v>811397</v>
      </c>
      <c r="ABY59" s="1">
        <v>554489</v>
      </c>
      <c r="ABZ59" s="1">
        <v>55289</v>
      </c>
      <c r="ACA59" s="1">
        <v>44327</v>
      </c>
      <c r="ACB59" s="49">
        <v>169887</v>
      </c>
      <c r="ACC59" s="1">
        <v>828775</v>
      </c>
      <c r="ACD59" s="1">
        <v>557254</v>
      </c>
      <c r="ACE59" s="1">
        <v>57064</v>
      </c>
      <c r="ACF59" s="1">
        <v>47216</v>
      </c>
      <c r="ACG59" s="1">
        <v>180540</v>
      </c>
      <c r="ACH59" s="1">
        <v>875295</v>
      </c>
      <c r="ACI59" s="1">
        <v>581884</v>
      </c>
      <c r="ACJ59" s="1">
        <v>62155</v>
      </c>
      <c r="ACK59" s="1">
        <v>54559</v>
      </c>
      <c r="ACL59" s="1">
        <v>191636</v>
      </c>
      <c r="ACM59" s="1">
        <v>880766</v>
      </c>
      <c r="ACN59" s="1">
        <v>585537</v>
      </c>
      <c r="ACO59" s="1">
        <v>56652</v>
      </c>
      <c r="ACP59" s="1">
        <v>52616</v>
      </c>
      <c r="ACQ59" s="1">
        <v>201708</v>
      </c>
      <c r="ACR59" s="1">
        <v>919284</v>
      </c>
      <c r="ACS59" s="1">
        <v>594914</v>
      </c>
      <c r="ACT59" s="1">
        <v>64065</v>
      </c>
      <c r="ACU59" s="1">
        <v>58339</v>
      </c>
      <c r="ACV59" s="1">
        <v>214705</v>
      </c>
      <c r="ADB59" s="50">
        <v>969808</v>
      </c>
      <c r="ADC59" s="1">
        <v>621883</v>
      </c>
      <c r="ADD59" s="1">
        <v>70877</v>
      </c>
      <c r="ADE59" s="1">
        <v>63439</v>
      </c>
      <c r="ADF59" s="1">
        <v>231837</v>
      </c>
      <c r="ADG59" s="50">
        <v>989671</v>
      </c>
      <c r="ADL59" s="50">
        <v>995984</v>
      </c>
      <c r="ADM59" s="1">
        <v>636447</v>
      </c>
      <c r="ADN59" s="1">
        <v>72320</v>
      </c>
      <c r="ADO59" s="1">
        <v>71201</v>
      </c>
      <c r="ADP59" s="1">
        <v>236923</v>
      </c>
      <c r="ADQ59" s="50">
        <v>1126293</v>
      </c>
      <c r="ADR59" s="1">
        <v>683134</v>
      </c>
      <c r="ADS59" s="1">
        <v>90587</v>
      </c>
      <c r="ADT59" s="1">
        <v>90393</v>
      </c>
      <c r="ADU59" s="1">
        <v>339268</v>
      </c>
      <c r="ADV59" s="1">
        <v>232197</v>
      </c>
      <c r="ADW59" s="1">
        <v>0</v>
      </c>
      <c r="ADX59" s="1">
        <v>1891</v>
      </c>
      <c r="ADY59" s="1">
        <v>70670</v>
      </c>
      <c r="ADZ59" s="1">
        <v>34510</v>
      </c>
    </row>
    <row r="60" spans="1:806" ht="12.75" customHeight="1">
      <c r="A60" s="38" t="s">
        <v>57</v>
      </c>
      <c r="B60" s="175" t="s">
        <v>221</v>
      </c>
      <c r="C60" s="175" t="s">
        <v>221</v>
      </c>
      <c r="D60" s="175" t="s">
        <v>221</v>
      </c>
      <c r="E60" s="175" t="s">
        <v>221</v>
      </c>
      <c r="F60" s="175" t="s">
        <v>221</v>
      </c>
      <c r="G60" s="10">
        <v>1200827</v>
      </c>
      <c r="H60" s="3">
        <v>778242</v>
      </c>
      <c r="I60" s="3">
        <v>197324</v>
      </c>
      <c r="J60" s="3">
        <v>313968</v>
      </c>
      <c r="K60" s="3">
        <v>225261</v>
      </c>
      <c r="L60" s="10">
        <v>1005805</v>
      </c>
      <c r="M60" s="3">
        <v>515028</v>
      </c>
      <c r="N60" s="3">
        <v>140771</v>
      </c>
      <c r="O60" s="3">
        <v>377392</v>
      </c>
      <c r="P60" s="3">
        <v>350006</v>
      </c>
      <c r="Q60" s="3">
        <v>903922</v>
      </c>
      <c r="R60" s="3">
        <v>286048</v>
      </c>
      <c r="S60" s="3">
        <v>126142</v>
      </c>
      <c r="T60" s="3">
        <v>375904</v>
      </c>
      <c r="U60" s="8">
        <v>355067</v>
      </c>
      <c r="V60" s="399">
        <v>917406</v>
      </c>
      <c r="W60" s="5">
        <v>416853</v>
      </c>
      <c r="X60" s="5">
        <v>132004</v>
      </c>
      <c r="Y60" s="5">
        <v>406049</v>
      </c>
      <c r="Z60" s="5">
        <v>368549</v>
      </c>
      <c r="AA60" s="5">
        <v>903906</v>
      </c>
      <c r="AB60" s="5">
        <v>227383</v>
      </c>
      <c r="AC60" s="5">
        <v>128107</v>
      </c>
      <c r="AD60" s="5">
        <v>411911</v>
      </c>
      <c r="AE60" s="5">
        <v>389706</v>
      </c>
      <c r="AF60" s="399">
        <v>899229</v>
      </c>
      <c r="AG60" s="5">
        <v>219557</v>
      </c>
      <c r="AH60" s="5">
        <v>132077</v>
      </c>
      <c r="AI60" s="5">
        <v>411876</v>
      </c>
      <c r="AJ60" s="490">
        <v>389345</v>
      </c>
      <c r="AK60" s="490">
        <v>902591</v>
      </c>
      <c r="AL60" s="490">
        <v>211458</v>
      </c>
      <c r="AM60" s="685">
        <v>122804</v>
      </c>
      <c r="AN60" s="685">
        <v>419991</v>
      </c>
      <c r="AO60" s="490">
        <v>419677</v>
      </c>
      <c r="AP60" s="394">
        <v>903295</v>
      </c>
      <c r="AQ60" s="394">
        <v>205800</v>
      </c>
      <c r="AR60" s="394">
        <v>117327</v>
      </c>
      <c r="AS60" s="394">
        <v>418150</v>
      </c>
      <c r="AT60" s="394">
        <v>425711</v>
      </c>
      <c r="AU60" s="393">
        <v>865976</v>
      </c>
      <c r="AV60" s="394">
        <v>191792</v>
      </c>
      <c r="AW60" s="394">
        <v>114280</v>
      </c>
      <c r="AX60" s="394">
        <v>407334</v>
      </c>
      <c r="AY60" s="394">
        <v>405815</v>
      </c>
      <c r="AZ60" s="1">
        <v>149095</v>
      </c>
      <c r="BA60" s="1">
        <v>799</v>
      </c>
      <c r="BB60" s="1">
        <v>6004</v>
      </c>
      <c r="BC60" s="1">
        <v>26963</v>
      </c>
      <c r="BD60" s="1">
        <v>222954</v>
      </c>
      <c r="BE60" s="393">
        <v>842286</v>
      </c>
      <c r="BF60" s="394">
        <v>179065</v>
      </c>
      <c r="BG60" s="394">
        <v>113646</v>
      </c>
      <c r="BH60" s="394">
        <v>396599</v>
      </c>
      <c r="BI60" s="394">
        <v>407578</v>
      </c>
      <c r="BJ60" s="393">
        <v>827890</v>
      </c>
      <c r="BK60" s="394"/>
      <c r="BL60" s="394"/>
      <c r="BM60" s="394"/>
      <c r="BN60" s="394"/>
      <c r="BO60" s="393">
        <v>795539</v>
      </c>
      <c r="BP60" s="394">
        <v>175501</v>
      </c>
      <c r="BQ60" s="394">
        <v>105438</v>
      </c>
      <c r="BR60" s="394">
        <v>357346</v>
      </c>
      <c r="BS60" s="394">
        <v>380961</v>
      </c>
      <c r="BT60" s="393">
        <v>822952</v>
      </c>
      <c r="BU60" s="394">
        <v>162691</v>
      </c>
      <c r="BV60" s="394">
        <v>99347</v>
      </c>
      <c r="BW60" s="394">
        <v>376546</v>
      </c>
      <c r="BX60" s="394">
        <v>159235</v>
      </c>
      <c r="BY60" s="1">
        <v>0</v>
      </c>
      <c r="BZ60" s="1">
        <v>12206</v>
      </c>
      <c r="CA60" s="1">
        <v>123060</v>
      </c>
      <c r="CB60" s="1">
        <v>244885</v>
      </c>
      <c r="CC60" s="10">
        <v>1776777</v>
      </c>
      <c r="CD60" s="3">
        <v>1188067</v>
      </c>
      <c r="CE60" s="3">
        <v>397368</v>
      </c>
      <c r="CF60" s="3">
        <v>376546</v>
      </c>
      <c r="CG60" s="3">
        <v>191342</v>
      </c>
      <c r="CH60" s="10">
        <v>1620519</v>
      </c>
      <c r="CI60" s="3">
        <v>915826</v>
      </c>
      <c r="CJ60" s="3">
        <v>383322</v>
      </c>
      <c r="CK60" s="3">
        <v>354354</v>
      </c>
      <c r="CL60" s="3">
        <v>321371</v>
      </c>
      <c r="CM60" s="1">
        <v>1172212</v>
      </c>
      <c r="CN60" s="3">
        <v>545918</v>
      </c>
      <c r="CO60" s="3">
        <v>254426</v>
      </c>
      <c r="CP60" s="3">
        <v>293662</v>
      </c>
      <c r="CQ60" s="8">
        <v>265672</v>
      </c>
      <c r="CR60" s="3">
        <v>1089877</v>
      </c>
      <c r="CS60" s="3">
        <v>592345</v>
      </c>
      <c r="CT60" s="3">
        <v>246335</v>
      </c>
      <c r="CU60" s="3">
        <v>301060</v>
      </c>
      <c r="CV60" s="3">
        <v>251197</v>
      </c>
      <c r="CW60" s="3">
        <v>1067250</v>
      </c>
      <c r="CX60" s="3">
        <v>426883</v>
      </c>
      <c r="CY60" s="3">
        <v>237630</v>
      </c>
      <c r="CZ60" s="3">
        <v>311120</v>
      </c>
      <c r="DA60" s="3">
        <v>278253</v>
      </c>
      <c r="DB60" s="3">
        <v>1055220</v>
      </c>
      <c r="DC60" s="3">
        <v>415015</v>
      </c>
      <c r="DD60" s="3">
        <v>232910</v>
      </c>
      <c r="DE60" s="3">
        <v>309241</v>
      </c>
      <c r="DF60" s="39">
        <v>285817</v>
      </c>
      <c r="DG60" s="39">
        <v>1027984</v>
      </c>
      <c r="DH60" s="39">
        <v>389300</v>
      </c>
      <c r="DI60" s="39">
        <v>223486</v>
      </c>
      <c r="DJ60" s="39">
        <v>313739</v>
      </c>
      <c r="DK60" s="39">
        <v>287900</v>
      </c>
      <c r="DL60" s="39">
        <v>1012572</v>
      </c>
      <c r="DM60" s="39">
        <v>366565</v>
      </c>
      <c r="DN60" s="39">
        <v>222492</v>
      </c>
      <c r="DO60" s="39">
        <v>318475</v>
      </c>
      <c r="DP60" s="39">
        <v>294542</v>
      </c>
      <c r="DQ60" s="39">
        <v>1002316</v>
      </c>
      <c r="DR60" s="39">
        <v>364618</v>
      </c>
      <c r="DS60" s="39">
        <v>223311</v>
      </c>
      <c r="DT60" s="39">
        <v>307085</v>
      </c>
      <c r="DU60" s="39">
        <v>289924</v>
      </c>
      <c r="DV60" s="118">
        <v>1012659</v>
      </c>
      <c r="DW60" s="39">
        <v>350110</v>
      </c>
      <c r="DX60" s="39">
        <v>234399</v>
      </c>
      <c r="DY60" s="39">
        <v>317900</v>
      </c>
      <c r="DZ60" s="39">
        <v>304154</v>
      </c>
      <c r="EA60" s="118">
        <v>929474</v>
      </c>
      <c r="EB60" s="39"/>
      <c r="EC60" s="39"/>
      <c r="ED60" s="39"/>
      <c r="EE60" s="39"/>
      <c r="EF60" s="118">
        <v>898691</v>
      </c>
      <c r="EG60" s="39">
        <v>319776</v>
      </c>
      <c r="EH60" s="39">
        <v>208163</v>
      </c>
      <c r="EI60" s="39">
        <v>288645</v>
      </c>
      <c r="EJ60" s="39">
        <v>262639</v>
      </c>
      <c r="EK60" s="118">
        <v>898691</v>
      </c>
      <c r="EL60" s="39">
        <v>319776</v>
      </c>
      <c r="EM60" s="39">
        <v>208163</v>
      </c>
      <c r="EN60" s="39">
        <v>288645</v>
      </c>
      <c r="EO60" s="39">
        <v>262639</v>
      </c>
      <c r="EP60" s="118">
        <v>850628</v>
      </c>
      <c r="EQ60" s="39">
        <v>278880</v>
      </c>
      <c r="ER60" s="39">
        <v>173424</v>
      </c>
      <c r="ES60" s="39">
        <v>274419</v>
      </c>
      <c r="ET60" s="1">
        <v>92894</v>
      </c>
      <c r="EU60" s="1">
        <v>0</v>
      </c>
      <c r="EV60" s="1">
        <v>10159</v>
      </c>
      <c r="EW60" s="1">
        <v>110333</v>
      </c>
      <c r="EX60" s="1">
        <v>159840</v>
      </c>
      <c r="EY60" s="10">
        <v>1990516</v>
      </c>
      <c r="EZ60" s="3">
        <v>970896</v>
      </c>
      <c r="FA60" s="3">
        <v>369229</v>
      </c>
      <c r="FB60" s="3">
        <v>713765</v>
      </c>
      <c r="FC60" s="201">
        <f t="shared" si="651"/>
        <v>650391</v>
      </c>
      <c r="FD60" s="174" t="s">
        <v>221</v>
      </c>
      <c r="FE60" s="175" t="s">
        <v>221</v>
      </c>
      <c r="FF60" s="175" t="s">
        <v>221</v>
      </c>
      <c r="FG60" s="175" t="s">
        <v>221</v>
      </c>
      <c r="FH60" s="174" t="s">
        <v>221</v>
      </c>
      <c r="FI60" s="175" t="s">
        <v>221</v>
      </c>
      <c r="FJ60" s="175" t="s">
        <v>221</v>
      </c>
      <c r="FK60" s="175" t="s">
        <v>221</v>
      </c>
      <c r="FL60" s="175" t="s">
        <v>221</v>
      </c>
      <c r="FM60" s="10">
        <v>8840965</v>
      </c>
      <c r="FN60" s="3">
        <v>7175569</v>
      </c>
      <c r="FO60" s="3">
        <v>1088842</v>
      </c>
      <c r="FP60" s="3">
        <v>613378</v>
      </c>
      <c r="FQ60" s="3">
        <v>576554</v>
      </c>
      <c r="FR60" s="10">
        <v>9916212</v>
      </c>
      <c r="FS60" s="3">
        <v>7506789</v>
      </c>
      <c r="FT60" s="3">
        <v>1260693</v>
      </c>
      <c r="FU60" s="3">
        <v>895367</v>
      </c>
      <c r="FV60" s="3">
        <v>1148730</v>
      </c>
      <c r="FW60" s="127">
        <v>10790327</v>
      </c>
      <c r="FX60" s="3">
        <v>7335300</v>
      </c>
      <c r="FY60" s="3">
        <v>1570319</v>
      </c>
      <c r="FZ60" s="3">
        <v>1483563</v>
      </c>
      <c r="GA60" s="3">
        <v>1189901</v>
      </c>
      <c r="GB60" s="10">
        <v>10928747</v>
      </c>
      <c r="GC60" s="3">
        <v>7950198</v>
      </c>
      <c r="GD60" s="3">
        <v>1478222</v>
      </c>
      <c r="GE60" s="3">
        <v>1500327</v>
      </c>
      <c r="GF60" s="3">
        <v>1214544</v>
      </c>
      <c r="GG60" s="10">
        <v>11066646</v>
      </c>
      <c r="GH60" s="40">
        <v>8109185</v>
      </c>
      <c r="GI60" s="40">
        <v>1512441</v>
      </c>
      <c r="GJ60" s="40">
        <v>1445020</v>
      </c>
      <c r="GK60" s="40">
        <v>1209695</v>
      </c>
      <c r="GL60" s="10">
        <v>10986178</v>
      </c>
      <c r="GM60" s="3">
        <v>7979460</v>
      </c>
      <c r="GN60" s="3">
        <v>1519578</v>
      </c>
      <c r="GO60" s="3">
        <v>1274227</v>
      </c>
      <c r="GP60" s="3">
        <v>1332141</v>
      </c>
      <c r="GQ60" s="10">
        <v>11118080.349000001</v>
      </c>
      <c r="GR60" s="3">
        <v>8027870.8610000005</v>
      </c>
      <c r="GS60" s="3">
        <v>1545788.84</v>
      </c>
      <c r="GT60" s="3">
        <v>1317720.3120000002</v>
      </c>
      <c r="GU60" s="373">
        <f t="shared" si="652"/>
        <v>1544420.6480000007</v>
      </c>
      <c r="GV60" s="3">
        <v>11234085</v>
      </c>
      <c r="GW60" s="3">
        <v>7422867</v>
      </c>
      <c r="GX60" s="3">
        <v>1562098</v>
      </c>
      <c r="GY60" s="3">
        <v>1358427</v>
      </c>
      <c r="GZ60" s="3">
        <v>1610772</v>
      </c>
      <c r="HA60" s="3">
        <v>11365266</v>
      </c>
      <c r="HB60" s="3">
        <v>7453651</v>
      </c>
      <c r="HC60" s="3">
        <v>1588460</v>
      </c>
      <c r="HD60" s="3">
        <v>1404392</v>
      </c>
      <c r="HE60" s="3">
        <v>1664847</v>
      </c>
      <c r="HF60" s="3">
        <v>11609037</v>
      </c>
      <c r="HG60" s="3">
        <v>7464118</v>
      </c>
      <c r="HH60" s="3">
        <v>1664737</v>
      </c>
      <c r="HI60" s="3">
        <v>1491741</v>
      </c>
      <c r="HJ60" s="3">
        <v>1798104</v>
      </c>
      <c r="HK60" s="3">
        <v>11725606</v>
      </c>
      <c r="HL60" s="3">
        <v>7472297</v>
      </c>
      <c r="HM60" s="3">
        <v>1676477</v>
      </c>
      <c r="HN60" s="3">
        <v>1540260</v>
      </c>
      <c r="HO60" s="3">
        <v>1639716</v>
      </c>
      <c r="HP60" s="10">
        <v>11785300</v>
      </c>
      <c r="HQ60" s="3">
        <v>7447577</v>
      </c>
      <c r="HR60" s="3">
        <v>1708101</v>
      </c>
      <c r="HS60" s="3">
        <v>1584888</v>
      </c>
      <c r="HT60" s="3">
        <v>1677707</v>
      </c>
      <c r="HU60" s="394">
        <v>935891</v>
      </c>
      <c r="HV60" s="1">
        <v>4851</v>
      </c>
      <c r="HW60" s="1">
        <v>35028</v>
      </c>
      <c r="HX60" s="1">
        <v>0</v>
      </c>
      <c r="HY60" s="1">
        <v>701937</v>
      </c>
      <c r="HZ60" s="10">
        <v>11966187</v>
      </c>
      <c r="IA60" s="3">
        <v>7493452</v>
      </c>
      <c r="IB60" s="3">
        <v>1750419</v>
      </c>
      <c r="IC60" s="3">
        <v>1651191</v>
      </c>
      <c r="ID60" s="3">
        <v>1976849</v>
      </c>
      <c r="IE60" s="399">
        <v>11914979</v>
      </c>
      <c r="IF60" s="5"/>
      <c r="IG60" s="5"/>
      <c r="IH60" s="5"/>
      <c r="II60" s="5"/>
      <c r="IJ60" s="399">
        <v>11970504</v>
      </c>
      <c r="IK60" s="5">
        <v>7399414</v>
      </c>
      <c r="IL60" s="5">
        <v>1783534</v>
      </c>
      <c r="IM60" s="5">
        <v>1713541</v>
      </c>
      <c r="IN60" s="5">
        <v>2008209</v>
      </c>
      <c r="IO60" s="399">
        <v>12313514</v>
      </c>
      <c r="IP60" s="5">
        <v>7412905</v>
      </c>
      <c r="IQ60" s="5">
        <v>1662365</v>
      </c>
      <c r="IR60" s="5">
        <v>1810606</v>
      </c>
      <c r="IS60" s="5">
        <v>3022263</v>
      </c>
      <c r="IT60" s="1">
        <v>995848</v>
      </c>
      <c r="IU60" s="1">
        <v>0</v>
      </c>
      <c r="IV60" s="1">
        <v>53956</v>
      </c>
      <c r="IW60" s="1">
        <v>1058207</v>
      </c>
      <c r="IX60" s="1">
        <v>914252</v>
      </c>
      <c r="IY60" s="380" t="s">
        <v>221</v>
      </c>
      <c r="IZ60" s="188" t="s">
        <v>221</v>
      </c>
      <c r="JA60" s="188" t="s">
        <v>221</v>
      </c>
      <c r="JB60" s="188" t="s">
        <v>221</v>
      </c>
      <c r="JC60" s="188" t="s">
        <v>221</v>
      </c>
      <c r="JD60" s="399">
        <v>2621450</v>
      </c>
      <c r="JE60" s="5">
        <v>2058145</v>
      </c>
      <c r="JF60" s="5">
        <v>398977</v>
      </c>
      <c r="JG60" s="5">
        <v>214944</v>
      </c>
      <c r="JH60" s="5">
        <v>164328</v>
      </c>
      <c r="JI60" s="399">
        <v>3002232</v>
      </c>
      <c r="JJ60" s="5">
        <v>2197137</v>
      </c>
      <c r="JK60" s="5">
        <v>475192</v>
      </c>
      <c r="JL60" s="5">
        <v>323856</v>
      </c>
      <c r="JM60" s="5">
        <v>329903</v>
      </c>
      <c r="JN60" s="5">
        <v>2978574</v>
      </c>
      <c r="JO60" s="5">
        <v>1982298</v>
      </c>
      <c r="JP60" s="5">
        <v>478027</v>
      </c>
      <c r="JQ60" s="5">
        <v>364230</v>
      </c>
      <c r="JR60" s="5">
        <v>372084</v>
      </c>
      <c r="JS60" s="399">
        <v>3203816</v>
      </c>
      <c r="JT60" s="5">
        <v>2266326</v>
      </c>
      <c r="JU60" s="5">
        <v>553615</v>
      </c>
      <c r="JV60" s="5">
        <v>430291</v>
      </c>
      <c r="JW60" s="5">
        <v>383875</v>
      </c>
      <c r="JX60" s="399">
        <v>3234588.747</v>
      </c>
      <c r="JY60" s="5">
        <v>2274413.5810000002</v>
      </c>
      <c r="JZ60" s="5">
        <v>558626.65999999992</v>
      </c>
      <c r="KA60" s="5">
        <v>447374.18</v>
      </c>
      <c r="KB60" s="5">
        <v>401548.50599999982</v>
      </c>
      <c r="KC60" s="5">
        <v>3266374</v>
      </c>
      <c r="KD60" s="5">
        <v>2071814</v>
      </c>
      <c r="KE60" s="5">
        <v>565400</v>
      </c>
      <c r="KF60" s="5">
        <v>459741</v>
      </c>
      <c r="KG60" s="439">
        <v>421296</v>
      </c>
      <c r="KH60" s="439">
        <v>3299008</v>
      </c>
      <c r="KI60" s="439">
        <v>2072639</v>
      </c>
      <c r="KJ60" s="439">
        <v>573483</v>
      </c>
      <c r="KK60" s="439">
        <v>471584</v>
      </c>
      <c r="KL60" s="439">
        <v>439799</v>
      </c>
      <c r="KM60" s="439">
        <v>3341148</v>
      </c>
      <c r="KN60" s="439">
        <v>2051665</v>
      </c>
      <c r="KO60" s="439">
        <v>587473</v>
      </c>
      <c r="KP60" s="439">
        <v>501289</v>
      </c>
      <c r="KQ60" s="439">
        <v>481695</v>
      </c>
      <c r="KR60" s="439">
        <v>3332120</v>
      </c>
      <c r="KS60" s="439">
        <v>2044106</v>
      </c>
      <c r="KT60" s="439">
        <v>579952</v>
      </c>
      <c r="KU60" s="439">
        <v>512178</v>
      </c>
      <c r="KV60" s="439">
        <v>476378</v>
      </c>
      <c r="KW60" s="630">
        <v>3342674</v>
      </c>
      <c r="KX60" s="439">
        <v>2019539</v>
      </c>
      <c r="KY60" s="439">
        <v>601960</v>
      </c>
      <c r="KZ60" s="439">
        <v>522573</v>
      </c>
      <c r="LA60" s="439">
        <v>493089</v>
      </c>
      <c r="LB60" s="652">
        <v>3351960</v>
      </c>
      <c r="LC60" s="653">
        <v>2019294</v>
      </c>
      <c r="LD60" s="653">
        <v>589788</v>
      </c>
      <c r="LE60" s="653">
        <v>535912</v>
      </c>
      <c r="LF60" s="653">
        <v>513671</v>
      </c>
      <c r="LG60" s="652">
        <v>3276724</v>
      </c>
      <c r="LH60" s="653"/>
      <c r="LI60" s="439"/>
      <c r="LJ60" s="439"/>
      <c r="LK60" s="439"/>
      <c r="LL60" s="652">
        <v>3280094</v>
      </c>
      <c r="LM60" s="653">
        <v>1950443</v>
      </c>
      <c r="LN60" s="653">
        <v>594039</v>
      </c>
      <c r="LO60" s="653">
        <v>538927</v>
      </c>
      <c r="LP60" s="653">
        <v>503556</v>
      </c>
      <c r="LQ60" s="652">
        <v>3320401</v>
      </c>
      <c r="LR60" s="653">
        <v>1905047</v>
      </c>
      <c r="LS60" s="653">
        <v>555555</v>
      </c>
      <c r="LT60" s="653">
        <v>576819</v>
      </c>
      <c r="LU60" s="653">
        <v>793552</v>
      </c>
      <c r="LV60" s="1">
        <v>166055</v>
      </c>
      <c r="LW60" s="1">
        <v>0</v>
      </c>
      <c r="LX60" s="1">
        <v>18409</v>
      </c>
      <c r="LY60" s="1">
        <v>316882</v>
      </c>
      <c r="LZ60" s="1">
        <v>292206</v>
      </c>
      <c r="MA60" s="10">
        <v>770268</v>
      </c>
      <c r="MB60" s="3">
        <v>620777</v>
      </c>
      <c r="MC60" s="3">
        <v>100055</v>
      </c>
      <c r="MD60" s="3">
        <v>53348</v>
      </c>
      <c r="ME60" s="3">
        <v>49436</v>
      </c>
      <c r="MF60" s="10">
        <v>898828</v>
      </c>
      <c r="MG60" s="3">
        <v>680557</v>
      </c>
      <c r="MH60" s="3">
        <v>124679</v>
      </c>
      <c r="MI60" s="3">
        <v>78684</v>
      </c>
      <c r="MJ60" s="3">
        <v>93592</v>
      </c>
      <c r="MK60" s="3">
        <v>1035958</v>
      </c>
      <c r="ML60" s="3">
        <v>711353</v>
      </c>
      <c r="MM60" s="3">
        <v>149171</v>
      </c>
      <c r="MN60" s="3">
        <v>113842</v>
      </c>
      <c r="MO60" s="3">
        <v>130703</v>
      </c>
      <c r="MP60" s="10">
        <v>1071501</v>
      </c>
      <c r="MQ60" s="3">
        <v>787948</v>
      </c>
      <c r="MR60" s="3">
        <v>161900</v>
      </c>
      <c r="MS60" s="3">
        <v>119592</v>
      </c>
      <c r="MT60" s="3">
        <v>121653</v>
      </c>
      <c r="MU60" s="10"/>
      <c r="MV60" s="3"/>
      <c r="MW60" s="3"/>
      <c r="MX60" s="3"/>
      <c r="MY60" s="8"/>
      <c r="MZ60" s="3">
        <v>1098932</v>
      </c>
      <c r="NA60" s="3">
        <v>743960</v>
      </c>
      <c r="NB60" s="3">
        <v>157729</v>
      </c>
      <c r="NC60" s="3">
        <v>129768</v>
      </c>
      <c r="ND60" s="3">
        <v>134784</v>
      </c>
      <c r="NE60" s="3">
        <v>1128760</v>
      </c>
      <c r="NF60" s="3">
        <v>755809</v>
      </c>
      <c r="NG60" s="3">
        <v>160904</v>
      </c>
      <c r="NH60" s="3">
        <v>134598</v>
      </c>
      <c r="NI60" s="3">
        <v>148522</v>
      </c>
      <c r="NJ60" s="3">
        <v>1163427</v>
      </c>
      <c r="NK60" s="3">
        <v>758408</v>
      </c>
      <c r="NL60" s="3">
        <v>168926</v>
      </c>
      <c r="NM60" s="3">
        <v>150693</v>
      </c>
      <c r="NN60" s="3">
        <v>897553</v>
      </c>
      <c r="NO60" s="3">
        <v>1155067</v>
      </c>
      <c r="NP60" s="3">
        <v>758937</v>
      </c>
      <c r="NQ60" s="3">
        <v>172275</v>
      </c>
      <c r="NR60" s="3">
        <v>142825</v>
      </c>
      <c r="NS60" s="3">
        <v>157733</v>
      </c>
      <c r="NT60" s="3">
        <v>1191816</v>
      </c>
      <c r="NU60" s="3">
        <v>773931</v>
      </c>
      <c r="NV60" s="3">
        <v>182548</v>
      </c>
      <c r="NW60" s="3">
        <v>154725</v>
      </c>
      <c r="NX60" s="3">
        <v>166673</v>
      </c>
      <c r="NY60" s="10">
        <v>1218132</v>
      </c>
      <c r="NZ60" s="3">
        <v>780410</v>
      </c>
      <c r="OA60" s="3">
        <v>179248</v>
      </c>
      <c r="OB60" s="3">
        <v>168409</v>
      </c>
      <c r="OC60" s="3">
        <v>182841</v>
      </c>
      <c r="OD60" s="10">
        <v>1193573</v>
      </c>
      <c r="OE60" s="3"/>
      <c r="OF60" s="3"/>
      <c r="OG60" s="3"/>
      <c r="OH60" s="3"/>
      <c r="OI60" s="10">
        <v>1204588</v>
      </c>
      <c r="OJ60" s="3">
        <v>762575</v>
      </c>
      <c r="OK60" s="3">
        <v>177235</v>
      </c>
      <c r="OL60" s="3">
        <v>182166</v>
      </c>
      <c r="OM60" s="3">
        <v>181256</v>
      </c>
      <c r="ON60" s="10">
        <v>1238762</v>
      </c>
      <c r="OO60" s="3">
        <v>756526</v>
      </c>
      <c r="OP60" s="3">
        <v>177932</v>
      </c>
      <c r="OQ60" s="3">
        <v>186014</v>
      </c>
      <c r="OR60" s="3">
        <v>95179</v>
      </c>
      <c r="OS60" s="1">
        <v>72724</v>
      </c>
      <c r="OT60" s="1">
        <v>0</v>
      </c>
      <c r="OU60" s="1">
        <v>4956</v>
      </c>
      <c r="OV60" s="1">
        <v>108498</v>
      </c>
      <c r="OW60" s="1">
        <v>95179</v>
      </c>
      <c r="OX60" s="402">
        <f t="shared" si="653"/>
        <v>2949050</v>
      </c>
      <c r="OY60" s="382">
        <f t="shared" si="654"/>
        <v>1923501</v>
      </c>
      <c r="OZ60" s="382">
        <f t="shared" si="655"/>
        <v>250298</v>
      </c>
      <c r="PA60" s="382">
        <f t="shared" si="656"/>
        <v>546334</v>
      </c>
      <c r="PB60" s="382">
        <f t="shared" si="657"/>
        <v>424134</v>
      </c>
      <c r="PC60" s="402">
        <f t="shared" si="658"/>
        <v>4332040</v>
      </c>
      <c r="PD60" s="382">
        <f t="shared" si="659"/>
        <v>3402761</v>
      </c>
      <c r="PE60" s="382">
        <f t="shared" si="660"/>
        <v>407394</v>
      </c>
      <c r="PF60" s="382">
        <f t="shared" si="661"/>
        <v>265567</v>
      </c>
      <c r="PG60" s="382">
        <f t="shared" si="662"/>
        <v>521885</v>
      </c>
      <c r="PH60" s="10">
        <v>4292256</v>
      </c>
      <c r="PI60" s="3">
        <v>3201977</v>
      </c>
      <c r="PJ60" s="3">
        <v>462527</v>
      </c>
      <c r="PK60" s="3">
        <v>368969</v>
      </c>
      <c r="PL60" s="3">
        <v>627752</v>
      </c>
      <c r="PM60" s="3">
        <v>5045228</v>
      </c>
      <c r="PN60" s="3">
        <v>3644167</v>
      </c>
      <c r="PO60" s="3">
        <v>507654</v>
      </c>
      <c r="PP60" s="3">
        <v>391029</v>
      </c>
      <c r="PQ60" s="3">
        <v>713532</v>
      </c>
      <c r="PR60" s="399"/>
      <c r="PS60" s="5"/>
      <c r="PT60" s="5"/>
      <c r="PU60" s="5"/>
      <c r="PV60" s="5"/>
      <c r="PW60" s="5">
        <v>5455007</v>
      </c>
      <c r="PX60" s="5">
        <v>3862727</v>
      </c>
      <c r="PY60" s="5">
        <v>557627</v>
      </c>
      <c r="PZ60" s="5">
        <v>460177</v>
      </c>
      <c r="QA60" s="408">
        <v>793598</v>
      </c>
      <c r="QB60" s="5">
        <v>5596436</v>
      </c>
      <c r="QC60" s="5">
        <v>3933178</v>
      </c>
      <c r="QD60" s="5">
        <v>574560</v>
      </c>
      <c r="QE60" s="5">
        <v>484967</v>
      </c>
      <c r="QF60" s="5">
        <v>836506</v>
      </c>
      <c r="QG60" s="5">
        <v>5831409</v>
      </c>
      <c r="QH60" s="5">
        <v>4026497</v>
      </c>
      <c r="QI60" s="5">
        <v>629076</v>
      </c>
      <c r="QJ60" s="5">
        <v>538338</v>
      </c>
      <c r="QK60" s="5">
        <v>897553</v>
      </c>
      <c r="QL60" s="399">
        <v>5933530</v>
      </c>
      <c r="QM60" s="5">
        <v>4055188</v>
      </c>
      <c r="QN60" s="5">
        <v>642250</v>
      </c>
      <c r="QO60" s="5">
        <v>543972</v>
      </c>
      <c r="QP60" s="5">
        <v>845883</v>
      </c>
      <c r="QQ60" s="399">
        <v>6059628</v>
      </c>
      <c r="QR60" s="5">
        <v>4140649</v>
      </c>
      <c r="QS60" s="5">
        <v>664065</v>
      </c>
      <c r="QT60" s="5">
        <v>571713</v>
      </c>
      <c r="QU60" s="5">
        <v>847228</v>
      </c>
      <c r="QV60" s="399">
        <v>6198294</v>
      </c>
      <c r="QW60" s="5">
        <v>4207785</v>
      </c>
      <c r="QX60" s="5">
        <v>681053</v>
      </c>
      <c r="QY60" s="5">
        <v>605687</v>
      </c>
      <c r="QZ60" s="5">
        <v>1004383</v>
      </c>
      <c r="RA60" s="399">
        <v>6285039</v>
      </c>
      <c r="RB60" s="5"/>
      <c r="RC60" s="5"/>
      <c r="RD60" s="5"/>
      <c r="RE60" s="5"/>
      <c r="RF60" s="5">
        <v>6370806</v>
      </c>
      <c r="RG60" s="5">
        <v>4275714</v>
      </c>
      <c r="RH60" s="5">
        <v>691306</v>
      </c>
      <c r="RI60" s="5">
        <v>679251</v>
      </c>
      <c r="RJ60" s="5">
        <v>1059374</v>
      </c>
      <c r="RK60" s="5">
        <v>6822449</v>
      </c>
      <c r="RL60" s="5">
        <v>4417478</v>
      </c>
      <c r="RM60" s="5">
        <v>711299</v>
      </c>
      <c r="RN60" s="5">
        <v>759726</v>
      </c>
      <c r="RO60" s="5">
        <v>1589156</v>
      </c>
      <c r="RP60" s="1">
        <v>689787</v>
      </c>
      <c r="RQ60" s="1">
        <v>0</v>
      </c>
      <c r="RR60" s="1">
        <v>19480</v>
      </c>
      <c r="RS60" s="1">
        <v>533288</v>
      </c>
      <c r="RT60" s="1">
        <v>346601</v>
      </c>
      <c r="RU60" s="10">
        <v>1561719</v>
      </c>
      <c r="RV60" s="3">
        <v>1302724</v>
      </c>
      <c r="RW60" s="3">
        <v>135719</v>
      </c>
      <c r="RX60" s="3">
        <v>68196</v>
      </c>
      <c r="RY60" s="3">
        <v>123276</v>
      </c>
      <c r="RZ60" s="10">
        <v>1954242</v>
      </c>
      <c r="SA60" s="3">
        <v>1513361</v>
      </c>
      <c r="SB60" s="3">
        <v>179782</v>
      </c>
      <c r="SC60" s="3">
        <v>113026</v>
      </c>
      <c r="SD60" s="3">
        <v>261099</v>
      </c>
      <c r="SE60" s="10">
        <v>2298740</v>
      </c>
      <c r="SF60" s="3">
        <v>1607013</v>
      </c>
      <c r="SG60" s="3">
        <v>235423</v>
      </c>
      <c r="SH60" s="3">
        <v>184893</v>
      </c>
      <c r="SI60" s="3"/>
      <c r="SJ60" s="10">
        <v>2393968</v>
      </c>
      <c r="SK60" s="3">
        <v>1751253</v>
      </c>
      <c r="SL60" s="3">
        <v>251625</v>
      </c>
      <c r="SM60" s="3">
        <v>206466</v>
      </c>
      <c r="SN60" s="3">
        <v>391090</v>
      </c>
      <c r="SO60" s="10">
        <v>2435763.1860000002</v>
      </c>
      <c r="SP60" s="3">
        <v>1779975.8460000001</v>
      </c>
      <c r="SQ60" s="3">
        <v>256356.07</v>
      </c>
      <c r="SR60" s="3">
        <v>209452.45700000002</v>
      </c>
      <c r="SS60" s="3">
        <v>399431.27000000008</v>
      </c>
      <c r="ST60" s="10">
        <v>2479786</v>
      </c>
      <c r="SU60" s="3">
        <v>1701670</v>
      </c>
      <c r="SV60" s="3">
        <v>257945</v>
      </c>
      <c r="SW60" s="3">
        <v>215635</v>
      </c>
      <c r="SX60" s="3">
        <v>409781</v>
      </c>
      <c r="SY60" s="3">
        <v>2536442</v>
      </c>
      <c r="SZ60" s="3">
        <v>1728819</v>
      </c>
      <c r="TA60" s="3">
        <v>264895</v>
      </c>
      <c r="TB60" s="3">
        <v>229592</v>
      </c>
      <c r="TC60" s="3">
        <v>426392</v>
      </c>
      <c r="TD60" s="3">
        <v>2651150</v>
      </c>
      <c r="TE60" s="3">
        <v>1765535</v>
      </c>
      <c r="TF60" s="3">
        <v>297669</v>
      </c>
      <c r="TG60" s="3">
        <v>259159</v>
      </c>
      <c r="TH60" s="3">
        <v>454244</v>
      </c>
      <c r="TI60" s="3">
        <v>2727078</v>
      </c>
      <c r="TJ60" s="3">
        <v>1801204</v>
      </c>
      <c r="TK60" s="3">
        <v>298957</v>
      </c>
      <c r="TL60" s="3">
        <v>264429</v>
      </c>
      <c r="TM60" s="3">
        <v>496029</v>
      </c>
      <c r="TN60" s="3">
        <v>2749619</v>
      </c>
      <c r="TO60" s="3">
        <v>1820611</v>
      </c>
      <c r="TP60" s="3">
        <v>307985</v>
      </c>
      <c r="TQ60" s="3">
        <v>273248</v>
      </c>
      <c r="TR60" s="3">
        <v>486872</v>
      </c>
      <c r="TS60" s="10">
        <v>2794920</v>
      </c>
      <c r="TT60" s="3">
        <v>1832722</v>
      </c>
      <c r="TU60" s="3">
        <v>313518</v>
      </c>
      <c r="TV60" s="3">
        <v>289123</v>
      </c>
      <c r="TW60" s="3">
        <v>507728</v>
      </c>
      <c r="TX60" s="10">
        <v>2846770</v>
      </c>
      <c r="TY60" s="3"/>
      <c r="TZ60" s="3"/>
      <c r="UA60" s="3"/>
      <c r="UB60" s="3"/>
      <c r="UC60" s="10">
        <v>2898440</v>
      </c>
      <c r="UD60" s="3">
        <v>1891075</v>
      </c>
      <c r="UE60" s="3">
        <v>322073</v>
      </c>
      <c r="UF60" s="3">
        <v>314899</v>
      </c>
      <c r="UG60" s="3">
        <v>528566</v>
      </c>
      <c r="UH60" s="10">
        <v>3105839</v>
      </c>
      <c r="UI60" s="3">
        <v>1947458</v>
      </c>
      <c r="UJ60" s="3">
        <v>331769</v>
      </c>
      <c r="UK60" s="3">
        <v>364318</v>
      </c>
      <c r="UL60" s="3">
        <v>778932</v>
      </c>
      <c r="UM60" s="1">
        <v>355514</v>
      </c>
      <c r="UN60" s="1">
        <v>0</v>
      </c>
      <c r="UO60" s="1">
        <v>10686</v>
      </c>
      <c r="UP60" s="1">
        <v>247446</v>
      </c>
      <c r="UQ60" s="1">
        <v>251422</v>
      </c>
      <c r="UR60" s="588">
        <f t="shared" si="663"/>
        <v>868995</v>
      </c>
      <c r="US60" s="40">
        <v>540607</v>
      </c>
      <c r="UT60" s="40">
        <v>328388</v>
      </c>
      <c r="UU60" s="588">
        <f t="shared" si="664"/>
        <v>33105</v>
      </c>
      <c r="UV60" s="40">
        <v>17236</v>
      </c>
      <c r="UW60" s="40">
        <v>15869</v>
      </c>
      <c r="UX60" s="10">
        <v>1219088</v>
      </c>
      <c r="UY60" s="588">
        <f t="shared" si="665"/>
        <v>727600</v>
      </c>
      <c r="UZ60" s="588">
        <f t="shared" si="666"/>
        <v>491488</v>
      </c>
      <c r="VA60" s="588">
        <f t="shared" si="667"/>
        <v>1168895</v>
      </c>
      <c r="VB60" s="40">
        <v>702555</v>
      </c>
      <c r="VC60" s="40">
        <v>466340</v>
      </c>
      <c r="VD60" s="588">
        <f t="shared" si="668"/>
        <v>45698</v>
      </c>
      <c r="VE60" s="40">
        <v>22550</v>
      </c>
      <c r="VF60" s="40">
        <v>23148</v>
      </c>
      <c r="VG60" s="588">
        <f t="shared" si="669"/>
        <v>4495</v>
      </c>
      <c r="VH60" s="40">
        <v>2495</v>
      </c>
      <c r="VI60" s="40">
        <v>2000</v>
      </c>
      <c r="VJ60" s="10">
        <v>1923547</v>
      </c>
      <c r="VK60" s="588">
        <f t="shared" si="670"/>
        <v>1086569</v>
      </c>
      <c r="VL60" s="588">
        <f t="shared" si="671"/>
        <v>836978</v>
      </c>
      <c r="VM60" s="240">
        <f t="shared" si="672"/>
        <v>1678463</v>
      </c>
      <c r="VN60" s="40">
        <v>959057</v>
      </c>
      <c r="VO60" s="40">
        <v>719406</v>
      </c>
      <c r="VP60" s="40">
        <v>127512</v>
      </c>
      <c r="VQ60" s="40">
        <v>117572</v>
      </c>
      <c r="VR60" s="240">
        <f t="shared" si="673"/>
        <v>108632</v>
      </c>
      <c r="VS60" s="40">
        <v>50731</v>
      </c>
      <c r="VT60" s="40">
        <v>57901</v>
      </c>
      <c r="VU60" s="240">
        <f t="shared" si="674"/>
        <v>56488</v>
      </c>
      <c r="VV60" s="40">
        <v>30947</v>
      </c>
      <c r="VW60" s="40">
        <v>25541</v>
      </c>
      <c r="VX60" s="233">
        <f t="shared" si="675"/>
        <v>79964</v>
      </c>
      <c r="VY60" s="233">
        <f t="shared" si="676"/>
        <v>45834</v>
      </c>
      <c r="VZ60" s="233">
        <f t="shared" si="677"/>
        <v>34130</v>
      </c>
      <c r="WA60" s="234">
        <f t="shared" si="678"/>
        <v>2237</v>
      </c>
      <c r="WB60" s="234">
        <f t="shared" si="679"/>
        <v>1386</v>
      </c>
      <c r="WC60" s="234">
        <f t="shared" si="680"/>
        <v>851</v>
      </c>
      <c r="WD60" s="40">
        <v>77727</v>
      </c>
      <c r="WE60" s="40">
        <v>44448</v>
      </c>
      <c r="WF60" s="40">
        <v>33279</v>
      </c>
      <c r="WG60" s="12">
        <f t="shared" si="681"/>
        <v>2178782</v>
      </c>
      <c r="WH60" s="588">
        <f t="shared" si="682"/>
        <v>1431718</v>
      </c>
      <c r="WI60" s="588">
        <f t="shared" si="683"/>
        <v>1302111</v>
      </c>
      <c r="WJ60" s="11">
        <f t="shared" si="684"/>
        <v>1302724</v>
      </c>
      <c r="WK60" s="90">
        <f t="shared" si="685"/>
        <v>2247189</v>
      </c>
      <c r="WL60" s="40">
        <v>1197907</v>
      </c>
      <c r="WM60" s="40">
        <v>1049282</v>
      </c>
      <c r="WN60" s="40">
        <v>233811</v>
      </c>
      <c r="WO60" s="40">
        <v>252829</v>
      </c>
      <c r="WP60" s="11">
        <f t="shared" si="686"/>
        <v>150243</v>
      </c>
      <c r="WQ60" s="90">
        <f t="shared" si="687"/>
        <v>199679</v>
      </c>
      <c r="WR60" s="40">
        <v>83552</v>
      </c>
      <c r="WS60" s="40">
        <v>116127</v>
      </c>
      <c r="WT60" s="11">
        <f t="shared" si="688"/>
        <v>112882</v>
      </c>
      <c r="WU60" s="40">
        <v>55935</v>
      </c>
      <c r="WV60" s="40">
        <v>56947</v>
      </c>
      <c r="WW60" s="11">
        <f t="shared" si="689"/>
        <v>374698</v>
      </c>
      <c r="WX60" s="257">
        <f t="shared" si="690"/>
        <v>94324</v>
      </c>
      <c r="WY60" s="235">
        <f t="shared" si="691"/>
        <v>79755</v>
      </c>
      <c r="WZ60" s="236">
        <f t="shared" si="692"/>
        <v>1838</v>
      </c>
      <c r="XA60" s="236">
        <f t="shared" si="693"/>
        <v>925</v>
      </c>
      <c r="XB60" s="236">
        <f t="shared" si="694"/>
        <v>913</v>
      </c>
      <c r="XC60" s="589">
        <f t="shared" si="695"/>
        <v>172241</v>
      </c>
      <c r="XD60" s="589">
        <f t="shared" si="696"/>
        <v>93399</v>
      </c>
      <c r="XE60" s="589">
        <f t="shared" si="697"/>
        <v>78842</v>
      </c>
      <c r="XF60" s="40">
        <v>1891</v>
      </c>
      <c r="XG60" s="40">
        <v>2226</v>
      </c>
      <c r="XH60" s="40">
        <v>91508</v>
      </c>
      <c r="XI60" s="40">
        <v>76616</v>
      </c>
      <c r="XJ60" s="590">
        <v>3433212</v>
      </c>
      <c r="XK60" s="40">
        <v>1685798</v>
      </c>
      <c r="XL60" s="40">
        <v>1747414</v>
      </c>
      <c r="XM60" s="5">
        <f t="shared" si="698"/>
        <v>2722204</v>
      </c>
      <c r="XN60" s="5">
        <v>1361909</v>
      </c>
      <c r="XO60" s="5">
        <v>1360295</v>
      </c>
      <c r="XP60" s="84">
        <f t="shared" si="699"/>
        <v>2622785</v>
      </c>
      <c r="XQ60" s="40">
        <v>1316187</v>
      </c>
      <c r="XR60" s="40">
        <v>1306598</v>
      </c>
      <c r="XS60" s="5">
        <f t="shared" si="700"/>
        <v>282715</v>
      </c>
      <c r="XT60" s="40">
        <v>112351</v>
      </c>
      <c r="XU60" s="40">
        <v>170364</v>
      </c>
      <c r="XV60" s="5">
        <f t="shared" si="701"/>
        <v>186883</v>
      </c>
      <c r="XW60" s="40">
        <v>82522</v>
      </c>
      <c r="XX60" s="40">
        <v>104361</v>
      </c>
      <c r="XY60" s="84">
        <f t="shared" si="702"/>
        <v>428293</v>
      </c>
      <c r="XZ60" s="84">
        <f t="shared" si="703"/>
        <v>211538</v>
      </c>
      <c r="YA60" s="84">
        <f t="shared" si="704"/>
        <v>216755</v>
      </c>
      <c r="YB60" s="587">
        <v>4009270</v>
      </c>
      <c r="YC60" s="40">
        <v>2932814</v>
      </c>
      <c r="YD60" s="40">
        <v>358483</v>
      </c>
      <c r="YE60" s="40">
        <v>277187</v>
      </c>
      <c r="YF60" s="5">
        <v>582829</v>
      </c>
      <c r="YG60" s="590">
        <v>4109649</v>
      </c>
      <c r="YH60" s="3">
        <v>3145923</v>
      </c>
      <c r="YI60" s="3">
        <v>369093</v>
      </c>
      <c r="YJ60" s="3">
        <v>594633</v>
      </c>
      <c r="YK60" s="3">
        <v>289000</v>
      </c>
      <c r="YL60" s="590">
        <v>4228298</v>
      </c>
      <c r="YM60" s="3">
        <v>3249577</v>
      </c>
      <c r="YN60" s="3">
        <v>386231</v>
      </c>
      <c r="YO60" s="3">
        <v>592490</v>
      </c>
      <c r="YP60" s="3">
        <v>292714</v>
      </c>
      <c r="YQ60" s="10">
        <v>4200035</v>
      </c>
      <c r="YR60" s="3">
        <v>3187956</v>
      </c>
      <c r="YS60" s="3">
        <v>386477</v>
      </c>
      <c r="YT60" s="3">
        <v>625602</v>
      </c>
      <c r="YU60" s="3">
        <v>312803</v>
      </c>
      <c r="YV60" s="10">
        <v>4269133.3260000004</v>
      </c>
      <c r="YW60" s="3">
        <v>3236319.72</v>
      </c>
      <c r="YX60" s="3">
        <v>396012.73499999999</v>
      </c>
      <c r="YY60" s="3">
        <v>319262.48300000001</v>
      </c>
      <c r="YZ60" s="3">
        <v>636800.87100000016</v>
      </c>
      <c r="ZA60" s="3">
        <v>4356075</v>
      </c>
      <c r="ZB60" s="3">
        <v>3118767</v>
      </c>
      <c r="ZC60" s="3">
        <v>399898</v>
      </c>
      <c r="ZD60" s="3">
        <v>330409</v>
      </c>
      <c r="ZE60" s="1">
        <v>658814</v>
      </c>
      <c r="ZF60" s="1">
        <v>4467676</v>
      </c>
      <c r="ZG60" s="1">
        <v>3177369</v>
      </c>
      <c r="ZH60" s="1">
        <v>413656</v>
      </c>
      <c r="ZI60" s="1">
        <v>350369</v>
      </c>
      <c r="ZJ60" s="1">
        <v>687984</v>
      </c>
      <c r="ZK60" s="1">
        <v>4667982</v>
      </c>
      <c r="ZL60" s="1">
        <v>3268089</v>
      </c>
      <c r="ZM60" s="1">
        <v>460150</v>
      </c>
      <c r="ZN60" s="1">
        <v>387645</v>
      </c>
      <c r="ZO60" s="1">
        <v>730656</v>
      </c>
      <c r="ZP60" s="1">
        <v>4778463</v>
      </c>
      <c r="ZQ60" s="1">
        <v>3296251</v>
      </c>
      <c r="ZR60" s="1">
        <v>469975</v>
      </c>
      <c r="ZS60" s="1">
        <v>401147</v>
      </c>
      <c r="ZT60" s="1">
        <v>709966</v>
      </c>
      <c r="ZU60" s="1">
        <v>4867812</v>
      </c>
      <c r="ZV60" s="1">
        <v>3366718</v>
      </c>
      <c r="ZW60" s="1">
        <v>481517</v>
      </c>
      <c r="ZX60" s="1">
        <v>416988</v>
      </c>
      <c r="ZY60" s="1">
        <v>703996</v>
      </c>
      <c r="ZZ60" s="394">
        <v>548388</v>
      </c>
      <c r="AAA60" s="1">
        <v>1188</v>
      </c>
      <c r="AAB60" s="1">
        <v>7670</v>
      </c>
      <c r="AAC60" s="1">
        <v>0</v>
      </c>
      <c r="AAD60" s="1">
        <v>145885</v>
      </c>
      <c r="AAE60" s="50">
        <v>4980162</v>
      </c>
      <c r="AAF60" s="1">
        <v>3427375</v>
      </c>
      <c r="AAG60" s="1">
        <v>501805</v>
      </c>
      <c r="AAH60" s="1">
        <v>437278</v>
      </c>
      <c r="AAI60" s="1">
        <v>821542</v>
      </c>
      <c r="AAJ60" s="50">
        <v>5091466</v>
      </c>
      <c r="AAK60" s="1"/>
      <c r="AAL60" s="1"/>
      <c r="AAM60" s="1"/>
      <c r="AAN60" s="1"/>
      <c r="AAO60" s="68">
        <v>5166218</v>
      </c>
      <c r="AAP60" s="37">
        <v>3513139</v>
      </c>
      <c r="AAQ60" s="37">
        <v>514071</v>
      </c>
      <c r="AAR60" s="37">
        <v>497085</v>
      </c>
      <c r="AAS60" s="37">
        <v>878118</v>
      </c>
      <c r="AAT60" s="68">
        <v>5583687</v>
      </c>
      <c r="AAU60" s="37">
        <v>3660952</v>
      </c>
      <c r="AAV60" s="37">
        <v>533367</v>
      </c>
      <c r="AAW60" s="37">
        <v>573712</v>
      </c>
      <c r="AAX60" s="37">
        <v>1307799</v>
      </c>
      <c r="AAY60" s="1">
        <v>617063</v>
      </c>
      <c r="AAZ60" s="1">
        <v>0</v>
      </c>
      <c r="ABA60" s="1">
        <v>14524</v>
      </c>
      <c r="ABB60" s="1">
        <v>424790</v>
      </c>
      <c r="ABC60" s="1">
        <v>251422</v>
      </c>
      <c r="ABD60" s="10">
        <v>1478970</v>
      </c>
      <c r="ABE60" s="3">
        <v>1208843</v>
      </c>
      <c r="ABF60" s="3">
        <v>102933</v>
      </c>
      <c r="ABG60" s="3">
        <v>73857</v>
      </c>
      <c r="ABH60" s="3">
        <v>167194</v>
      </c>
      <c r="ABI60" s="10">
        <v>1710530</v>
      </c>
      <c r="ABJ60" s="3">
        <v>1325801</v>
      </c>
      <c r="ABK60" s="3">
        <v>123060</v>
      </c>
      <c r="ABL60" s="3">
        <v>92294</v>
      </c>
      <c r="ABM60" s="3">
        <v>211162</v>
      </c>
      <c r="ABN60" s="10">
        <v>1806067</v>
      </c>
      <c r="ABO60" s="3">
        <v>1436703</v>
      </c>
      <c r="ABP60" s="3">
        <v>134852</v>
      </c>
      <c r="ABQ60" s="3">
        <v>106337</v>
      </c>
      <c r="ABR60" s="3">
        <v>234512</v>
      </c>
      <c r="ABS60" s="10">
        <v>1833370.1400000001</v>
      </c>
      <c r="ABT60" s="3">
        <v>1456343.8740000001</v>
      </c>
      <c r="ABU60" s="3">
        <v>139656.66499999998</v>
      </c>
      <c r="ABV60" s="3">
        <v>109810.02600000001</v>
      </c>
      <c r="ABW60" s="8">
        <v>237369.60100000008</v>
      </c>
      <c r="ABX60" s="1">
        <v>1876289</v>
      </c>
      <c r="ABY60" s="1">
        <v>1417097</v>
      </c>
      <c r="ABZ60" s="1">
        <v>141953</v>
      </c>
      <c r="ACA60" s="1">
        <v>114774</v>
      </c>
      <c r="ACB60" s="49">
        <v>249033</v>
      </c>
      <c r="ACC60" s="1">
        <v>1931234</v>
      </c>
      <c r="ACD60" s="1">
        <v>1448550</v>
      </c>
      <c r="ACE60" s="1">
        <v>148761</v>
      </c>
      <c r="ACF60" s="1">
        <v>120777</v>
      </c>
      <c r="ACG60" s="1">
        <v>261592</v>
      </c>
      <c r="ACH60" s="1">
        <v>2016832</v>
      </c>
      <c r="ACI60" s="1">
        <v>1502554</v>
      </c>
      <c r="ACJ60" s="1">
        <v>162481</v>
      </c>
      <c r="ACK60" s="1">
        <v>128486</v>
      </c>
      <c r="ACL60" s="1">
        <v>276412</v>
      </c>
      <c r="ACM60" s="1">
        <v>2051385</v>
      </c>
      <c r="ACN60" s="1">
        <v>1495047</v>
      </c>
      <c r="ACO60" s="1">
        <v>171018</v>
      </c>
      <c r="ACP60" s="1">
        <v>136718</v>
      </c>
      <c r="ACQ60" s="1">
        <v>302992</v>
      </c>
      <c r="ACR60" s="1">
        <v>2118193</v>
      </c>
      <c r="ACS60" s="1">
        <v>1546107</v>
      </c>
      <c r="ACT60" s="1">
        <v>173532</v>
      </c>
      <c r="ACU60" s="1">
        <v>143740</v>
      </c>
      <c r="ACV60" s="1">
        <v>313245</v>
      </c>
      <c r="ADB60" s="50">
        <v>2185242</v>
      </c>
      <c r="ADC60" s="1">
        <v>1594653</v>
      </c>
      <c r="ADD60" s="1">
        <v>188287</v>
      </c>
      <c r="ADE60" s="1">
        <v>148155</v>
      </c>
      <c r="ADF60" s="1">
        <v>313814</v>
      </c>
      <c r="ADG60" s="50">
        <v>2244696</v>
      </c>
      <c r="ADL60" s="50">
        <v>2267778</v>
      </c>
      <c r="ADM60" s="1">
        <v>1622064</v>
      </c>
      <c r="ADN60" s="1">
        <v>191998</v>
      </c>
      <c r="ADO60" s="1">
        <v>182186</v>
      </c>
      <c r="ADP60" s="1">
        <v>349552</v>
      </c>
      <c r="ADQ60" s="50">
        <v>2477848</v>
      </c>
      <c r="ADR60" s="1">
        <v>1713494</v>
      </c>
      <c r="ADS60" s="1">
        <v>201598</v>
      </c>
      <c r="ADT60" s="1">
        <v>209394</v>
      </c>
      <c r="ADU60" s="1">
        <v>528867</v>
      </c>
      <c r="ADV60" s="1">
        <v>261549</v>
      </c>
      <c r="ADW60" s="1">
        <v>0</v>
      </c>
      <c r="ADX60" s="1">
        <v>3838</v>
      </c>
      <c r="ADY60" s="1">
        <v>177344</v>
      </c>
      <c r="ADZ60" s="1">
        <v>86136</v>
      </c>
    </row>
    <row r="61" spans="1:806" ht="12.75" customHeight="1">
      <c r="A61" s="38" t="s">
        <v>58</v>
      </c>
      <c r="B61" s="175" t="s">
        <v>221</v>
      </c>
      <c r="C61" s="175" t="s">
        <v>221</v>
      </c>
      <c r="D61" s="175" t="s">
        <v>221</v>
      </c>
      <c r="E61" s="175" t="s">
        <v>221</v>
      </c>
      <c r="F61" s="175" t="s">
        <v>221</v>
      </c>
      <c r="G61" s="10">
        <v>741167</v>
      </c>
      <c r="H61" s="3">
        <v>650161</v>
      </c>
      <c r="I61" s="3">
        <v>64272</v>
      </c>
      <c r="J61" s="3">
        <v>25274</v>
      </c>
      <c r="K61" s="3">
        <v>26734</v>
      </c>
      <c r="L61" s="10">
        <v>452069</v>
      </c>
      <c r="M61" s="3">
        <v>369595</v>
      </c>
      <c r="N61" s="3">
        <v>40132</v>
      </c>
      <c r="O61" s="3">
        <v>37353</v>
      </c>
      <c r="P61" s="3">
        <v>42342</v>
      </c>
      <c r="Q61" s="3">
        <v>347785</v>
      </c>
      <c r="R61" s="3">
        <v>251649</v>
      </c>
      <c r="S61" s="3">
        <v>32973</v>
      </c>
      <c r="T61" s="3">
        <v>46644</v>
      </c>
      <c r="U61" s="8">
        <v>42669</v>
      </c>
      <c r="V61" s="399">
        <v>337073</v>
      </c>
      <c r="W61" s="5">
        <v>253837</v>
      </c>
      <c r="X61" s="5">
        <v>32361</v>
      </c>
      <c r="Y61" s="5">
        <v>59888</v>
      </c>
      <c r="Z61" s="5">
        <v>50875</v>
      </c>
      <c r="AA61" s="5">
        <v>319189</v>
      </c>
      <c r="AB61" s="5">
        <v>199435</v>
      </c>
      <c r="AC61" s="5">
        <v>31137</v>
      </c>
      <c r="AD61" s="5">
        <v>61446</v>
      </c>
      <c r="AE61" s="5">
        <v>55861</v>
      </c>
      <c r="AF61" s="399">
        <v>315630</v>
      </c>
      <c r="AG61" s="5">
        <v>196714</v>
      </c>
      <c r="AH61" s="5">
        <v>30122</v>
      </c>
      <c r="AI61" s="5">
        <v>61206</v>
      </c>
      <c r="AJ61" s="490">
        <v>57447</v>
      </c>
      <c r="AK61" s="490">
        <v>308874</v>
      </c>
      <c r="AL61" s="490">
        <v>177098</v>
      </c>
      <c r="AM61" s="685">
        <v>29009</v>
      </c>
      <c r="AN61" s="685">
        <v>72467</v>
      </c>
      <c r="AO61" s="490">
        <v>61668</v>
      </c>
      <c r="AP61" s="394">
        <v>297088</v>
      </c>
      <c r="AQ61" s="394">
        <v>173254</v>
      </c>
      <c r="AR61" s="394">
        <v>29442</v>
      </c>
      <c r="AS61" s="394">
        <v>62845</v>
      </c>
      <c r="AT61" s="394">
        <v>59591</v>
      </c>
      <c r="AU61" s="393">
        <v>289165</v>
      </c>
      <c r="AV61" s="394">
        <v>161483</v>
      </c>
      <c r="AW61" s="394">
        <v>28314</v>
      </c>
      <c r="AX61" s="394">
        <v>69223</v>
      </c>
      <c r="AY61" s="394">
        <v>60788</v>
      </c>
      <c r="AZ61" s="1">
        <v>30029</v>
      </c>
      <c r="BA61" s="1">
        <v>0</v>
      </c>
      <c r="BB61" s="1">
        <v>2902</v>
      </c>
      <c r="BC61" s="1">
        <v>5625</v>
      </c>
      <c r="BD61" s="1">
        <v>22232</v>
      </c>
      <c r="BE61" s="393">
        <v>283386</v>
      </c>
      <c r="BF61" s="394">
        <v>158063</v>
      </c>
      <c r="BG61" s="394">
        <v>29827</v>
      </c>
      <c r="BH61" s="394">
        <v>63689</v>
      </c>
      <c r="BI61" s="394">
        <v>55755</v>
      </c>
      <c r="BJ61" s="393">
        <v>279306</v>
      </c>
      <c r="BK61" s="394"/>
      <c r="BL61" s="394"/>
      <c r="BM61" s="394"/>
      <c r="BN61" s="394"/>
      <c r="BO61" s="393">
        <v>273775</v>
      </c>
      <c r="BP61" s="394">
        <v>144721</v>
      </c>
      <c r="BQ61" s="394">
        <v>25233</v>
      </c>
      <c r="BR61" s="394">
        <v>73106</v>
      </c>
      <c r="BS61" s="394">
        <v>74224</v>
      </c>
      <c r="BT61" s="393">
        <v>269096</v>
      </c>
      <c r="BU61" s="394">
        <v>128788</v>
      </c>
      <c r="BV61" s="394">
        <v>26914</v>
      </c>
      <c r="BW61" s="394">
        <v>73881</v>
      </c>
      <c r="BX61" s="394">
        <v>33707</v>
      </c>
      <c r="BY61" s="1">
        <v>0</v>
      </c>
      <c r="BZ61" s="1">
        <v>1800</v>
      </c>
      <c r="CA61" s="1">
        <v>22929</v>
      </c>
      <c r="CB61" s="1">
        <v>47900</v>
      </c>
      <c r="CC61" s="10">
        <v>1253111</v>
      </c>
      <c r="CD61" s="3">
        <v>1059225</v>
      </c>
      <c r="CE61" s="3">
        <v>169968</v>
      </c>
      <c r="CF61" s="3">
        <v>73881</v>
      </c>
      <c r="CG61" s="3">
        <v>23918</v>
      </c>
      <c r="CH61" s="10">
        <v>1044036</v>
      </c>
      <c r="CI61" s="3">
        <v>833641</v>
      </c>
      <c r="CJ61" s="3">
        <v>160494</v>
      </c>
      <c r="CK61" s="3">
        <v>44975</v>
      </c>
      <c r="CL61" s="3">
        <v>49901</v>
      </c>
      <c r="CM61" s="1">
        <v>799719</v>
      </c>
      <c r="CN61" s="3">
        <v>606918</v>
      </c>
      <c r="CO61" s="3">
        <v>124091</v>
      </c>
      <c r="CP61" s="3">
        <v>50851</v>
      </c>
      <c r="CQ61" s="8">
        <v>48140</v>
      </c>
      <c r="CR61" s="3">
        <v>703766</v>
      </c>
      <c r="CS61" s="3">
        <v>540424</v>
      </c>
      <c r="CT61" s="3">
        <v>109877</v>
      </c>
      <c r="CU61" s="3">
        <v>58110</v>
      </c>
      <c r="CV61" s="3">
        <v>53465</v>
      </c>
      <c r="CW61" s="3">
        <v>669882</v>
      </c>
      <c r="CX61" s="3">
        <v>474408</v>
      </c>
      <c r="CY61" s="3">
        <v>111268</v>
      </c>
      <c r="CZ61" s="3">
        <v>63649</v>
      </c>
      <c r="DA61" s="3">
        <v>54052</v>
      </c>
      <c r="DB61" s="3">
        <v>657606</v>
      </c>
      <c r="DC61" s="3">
        <v>462930</v>
      </c>
      <c r="DD61" s="3">
        <v>107014</v>
      </c>
      <c r="DE61" s="3">
        <v>66733</v>
      </c>
      <c r="DF61" s="39">
        <v>56137</v>
      </c>
      <c r="DG61" s="39">
        <v>626094</v>
      </c>
      <c r="DH61" s="39">
        <v>434077</v>
      </c>
      <c r="DI61" s="39">
        <v>100769</v>
      </c>
      <c r="DJ61" s="39">
        <v>69256</v>
      </c>
      <c r="DK61" s="39">
        <v>56117</v>
      </c>
      <c r="DL61" s="39">
        <v>620062</v>
      </c>
      <c r="DM61" s="39">
        <v>422082</v>
      </c>
      <c r="DN61" s="39">
        <v>105722</v>
      </c>
      <c r="DO61" s="39">
        <v>73278</v>
      </c>
      <c r="DP61" s="39">
        <v>53865</v>
      </c>
      <c r="DQ61" s="39">
        <v>591181</v>
      </c>
      <c r="DR61" s="39">
        <v>398865</v>
      </c>
      <c r="DS61" s="39">
        <v>99548</v>
      </c>
      <c r="DT61" s="39">
        <v>71147</v>
      </c>
      <c r="DU61" s="39">
        <v>55183</v>
      </c>
      <c r="DV61" s="118">
        <v>560910</v>
      </c>
      <c r="DW61" s="39">
        <v>383536</v>
      </c>
      <c r="DX61" s="39">
        <v>85625</v>
      </c>
      <c r="DY61" s="39">
        <v>70549</v>
      </c>
      <c r="DZ61" s="39">
        <v>52894</v>
      </c>
      <c r="EA61" s="118">
        <v>532792</v>
      </c>
      <c r="EB61" s="39"/>
      <c r="EC61" s="39"/>
      <c r="ED61" s="39"/>
      <c r="EE61" s="39"/>
      <c r="EF61" s="118">
        <v>538057</v>
      </c>
      <c r="EG61" s="39">
        <v>355824</v>
      </c>
      <c r="EH61" s="39">
        <v>87274</v>
      </c>
      <c r="EI61" s="39">
        <v>74274</v>
      </c>
      <c r="EJ61" s="39">
        <v>63914</v>
      </c>
      <c r="EK61" s="118">
        <v>538057</v>
      </c>
      <c r="EL61" s="39">
        <v>355824</v>
      </c>
      <c r="EM61" s="39">
        <v>87274</v>
      </c>
      <c r="EN61" s="39">
        <v>74274</v>
      </c>
      <c r="EO61" s="39">
        <v>63914</v>
      </c>
      <c r="EP61" s="118">
        <v>474188</v>
      </c>
      <c r="EQ61" s="39">
        <v>290750</v>
      </c>
      <c r="ER61" s="39">
        <v>80498</v>
      </c>
      <c r="ES61" s="39">
        <v>67161</v>
      </c>
      <c r="ET61" s="1">
        <v>20648</v>
      </c>
      <c r="EU61" s="1">
        <v>0</v>
      </c>
      <c r="EV61" s="1">
        <v>1854</v>
      </c>
      <c r="EW61" s="1">
        <v>37715</v>
      </c>
      <c r="EX61" s="1">
        <v>35222</v>
      </c>
      <c r="EY61" s="10">
        <v>1013512</v>
      </c>
      <c r="EZ61" s="3">
        <v>761506</v>
      </c>
      <c r="FA61" s="3">
        <v>143313</v>
      </c>
      <c r="FB61" s="3">
        <v>122590</v>
      </c>
      <c r="FC61" s="201">
        <f t="shared" si="651"/>
        <v>108693</v>
      </c>
      <c r="FD61" s="174" t="s">
        <v>221</v>
      </c>
      <c r="FE61" s="175" t="s">
        <v>221</v>
      </c>
      <c r="FF61" s="175" t="s">
        <v>221</v>
      </c>
      <c r="FG61" s="175" t="s">
        <v>221</v>
      </c>
      <c r="FH61" s="174" t="s">
        <v>221</v>
      </c>
      <c r="FI61" s="175" t="s">
        <v>221</v>
      </c>
      <c r="FJ61" s="175" t="s">
        <v>221</v>
      </c>
      <c r="FK61" s="175" t="s">
        <v>221</v>
      </c>
      <c r="FL61" s="175" t="s">
        <v>221</v>
      </c>
      <c r="FM61" s="10">
        <v>5878654</v>
      </c>
      <c r="FN61" s="3">
        <v>5384435</v>
      </c>
      <c r="FO61" s="3">
        <v>407861</v>
      </c>
      <c r="FP61" s="3">
        <v>55159</v>
      </c>
      <c r="FQ61" s="3">
        <v>86358</v>
      </c>
      <c r="FR61" s="10">
        <v>6770179</v>
      </c>
      <c r="FS61" s="3">
        <v>6048662</v>
      </c>
      <c r="FT61" s="3">
        <v>511896</v>
      </c>
      <c r="FU61" s="3">
        <v>108578</v>
      </c>
      <c r="FV61" s="3">
        <v>209621</v>
      </c>
      <c r="FW61" s="127">
        <v>7257181</v>
      </c>
      <c r="FX61" s="3">
        <v>6275854</v>
      </c>
      <c r="FY61" s="3">
        <v>661138</v>
      </c>
      <c r="FZ61" s="3">
        <v>226355</v>
      </c>
      <c r="GA61" s="3">
        <v>175504</v>
      </c>
      <c r="GB61" s="10">
        <v>7329388</v>
      </c>
      <c r="GC61" s="3">
        <v>6415974</v>
      </c>
      <c r="GD61" s="3">
        <v>617903</v>
      </c>
      <c r="GE61" s="3">
        <v>295511</v>
      </c>
      <c r="GF61" s="3">
        <v>185648</v>
      </c>
      <c r="GG61" s="10">
        <v>7479483</v>
      </c>
      <c r="GH61" s="40">
        <v>6542287</v>
      </c>
      <c r="GI61" s="40">
        <v>638248</v>
      </c>
      <c r="GJ61" s="40">
        <v>298948</v>
      </c>
      <c r="GK61" s="40">
        <v>200517</v>
      </c>
      <c r="GL61" s="10">
        <v>7563268</v>
      </c>
      <c r="GM61" s="3">
        <v>6570871</v>
      </c>
      <c r="GN61" s="3">
        <v>667056</v>
      </c>
      <c r="GO61" s="3">
        <v>227694</v>
      </c>
      <c r="GP61" s="3">
        <v>263677</v>
      </c>
      <c r="GQ61" s="10">
        <v>7657642.9279999994</v>
      </c>
      <c r="GR61" s="3">
        <v>6639152.8680000007</v>
      </c>
      <c r="GS61" s="3">
        <v>680325.81400000001</v>
      </c>
      <c r="GT61" s="3">
        <v>242260.4</v>
      </c>
      <c r="GU61" s="373">
        <f t="shared" si="652"/>
        <v>338164.24599999865</v>
      </c>
      <c r="GV61" s="3">
        <v>7719911</v>
      </c>
      <c r="GW61" s="3">
        <v>6522461</v>
      </c>
      <c r="GX61" s="3">
        <v>692370</v>
      </c>
      <c r="GY61" s="3">
        <v>257045</v>
      </c>
      <c r="GZ61" s="3">
        <v>351571</v>
      </c>
      <c r="HA61" s="3">
        <v>7790896</v>
      </c>
      <c r="HB61" s="3">
        <v>6551086</v>
      </c>
      <c r="HC61" s="3">
        <v>708260</v>
      </c>
      <c r="HD61" s="3">
        <v>273076</v>
      </c>
      <c r="HE61" s="3">
        <v>371866</v>
      </c>
      <c r="HF61" s="3">
        <v>7923897</v>
      </c>
      <c r="HG61" s="3">
        <v>6601581</v>
      </c>
      <c r="HH61" s="3">
        <v>743025</v>
      </c>
      <c r="HI61" s="3">
        <v>292460</v>
      </c>
      <c r="HJ61" s="3">
        <v>401745</v>
      </c>
      <c r="HK61" s="3">
        <v>7978577</v>
      </c>
      <c r="HL61" s="3">
        <v>6617939</v>
      </c>
      <c r="HM61" s="3">
        <v>742924</v>
      </c>
      <c r="HN61" s="3">
        <v>315639</v>
      </c>
      <c r="HO61" s="3">
        <v>427955</v>
      </c>
      <c r="HP61" s="10">
        <v>8041629</v>
      </c>
      <c r="HQ61" s="3">
        <v>6636695</v>
      </c>
      <c r="HR61" s="3">
        <v>758472</v>
      </c>
      <c r="HS61" s="3">
        <v>332475</v>
      </c>
      <c r="HT61" s="3">
        <v>448088</v>
      </c>
      <c r="HU61" s="394">
        <v>233861</v>
      </c>
      <c r="HV61" s="1">
        <v>0</v>
      </c>
      <c r="HW61" s="1">
        <v>10219</v>
      </c>
      <c r="HX61" s="1">
        <v>109031</v>
      </c>
      <c r="HY61" s="1">
        <v>94977</v>
      </c>
      <c r="HZ61" s="10">
        <v>8116546</v>
      </c>
      <c r="IA61" s="3">
        <v>6639584</v>
      </c>
      <c r="IB61" s="3">
        <v>788905</v>
      </c>
      <c r="IC61" s="3">
        <v>362806</v>
      </c>
      <c r="ID61" s="3">
        <v>462368</v>
      </c>
      <c r="IE61" s="399">
        <v>8182529</v>
      </c>
      <c r="IF61" s="5"/>
      <c r="IG61" s="5"/>
      <c r="IH61" s="5"/>
      <c r="II61" s="5"/>
      <c r="IJ61" s="399">
        <v>8216204</v>
      </c>
      <c r="IK61" s="5">
        <v>6654480</v>
      </c>
      <c r="IL61" s="5">
        <v>818947</v>
      </c>
      <c r="IM61" s="5">
        <v>396845</v>
      </c>
      <c r="IN61" s="5">
        <v>516503</v>
      </c>
      <c r="IO61" s="399">
        <v>8418661</v>
      </c>
      <c r="IP61" s="5">
        <v>6669950</v>
      </c>
      <c r="IQ61" s="5">
        <v>784339</v>
      </c>
      <c r="IR61" s="5">
        <v>450250</v>
      </c>
      <c r="IS61" s="5">
        <v>887476</v>
      </c>
      <c r="IT61" s="1">
        <v>272598</v>
      </c>
      <c r="IU61" s="1">
        <v>0</v>
      </c>
      <c r="IV61" s="1">
        <v>11449</v>
      </c>
      <c r="IW61" s="1">
        <v>392596</v>
      </c>
      <c r="IX61" s="1">
        <v>210833</v>
      </c>
      <c r="IY61" s="380" t="s">
        <v>221</v>
      </c>
      <c r="IZ61" s="188" t="s">
        <v>221</v>
      </c>
      <c r="JA61" s="188" t="s">
        <v>221</v>
      </c>
      <c r="JB61" s="188" t="s">
        <v>221</v>
      </c>
      <c r="JC61" s="188" t="s">
        <v>221</v>
      </c>
      <c r="JD61" s="399">
        <v>1430828</v>
      </c>
      <c r="JE61" s="5">
        <v>1284555</v>
      </c>
      <c r="JF61" s="5">
        <v>126761</v>
      </c>
      <c r="JG61" s="5">
        <v>16297</v>
      </c>
      <c r="JH61" s="5">
        <v>19512</v>
      </c>
      <c r="JI61" s="399">
        <v>1772535</v>
      </c>
      <c r="JJ61" s="5">
        <v>1543822</v>
      </c>
      <c r="JK61" s="5">
        <v>175659</v>
      </c>
      <c r="JL61" s="5">
        <v>34118</v>
      </c>
      <c r="JM61" s="5">
        <v>53054</v>
      </c>
      <c r="JN61" s="5">
        <v>1864197</v>
      </c>
      <c r="JO61" s="5">
        <v>1578115</v>
      </c>
      <c r="JP61" s="5">
        <v>194937</v>
      </c>
      <c r="JQ61" s="5">
        <v>51156</v>
      </c>
      <c r="JR61" s="5">
        <v>66595</v>
      </c>
      <c r="JS61" s="399">
        <v>2048500</v>
      </c>
      <c r="JT61" s="5">
        <v>1738316</v>
      </c>
      <c r="JU61" s="5">
        <v>231875</v>
      </c>
      <c r="JV61" s="5">
        <v>71571</v>
      </c>
      <c r="JW61" s="5">
        <v>78309</v>
      </c>
      <c r="JX61" s="399">
        <v>2078998.0799999998</v>
      </c>
      <c r="JY61" s="5">
        <v>1759597.3080000002</v>
      </c>
      <c r="JZ61" s="5">
        <v>238855.31</v>
      </c>
      <c r="KA61" s="5">
        <v>78077.899999999994</v>
      </c>
      <c r="KB61" s="5">
        <v>80545.46199999965</v>
      </c>
      <c r="KC61" s="5">
        <v>2099060</v>
      </c>
      <c r="KD61" s="5">
        <v>1716302</v>
      </c>
      <c r="KE61" s="5">
        <v>245186</v>
      </c>
      <c r="KF61" s="5">
        <v>84112</v>
      </c>
      <c r="KG61" s="439">
        <v>86444</v>
      </c>
      <c r="KH61" s="439">
        <v>2116594</v>
      </c>
      <c r="KI61" s="439">
        <v>1723271</v>
      </c>
      <c r="KJ61" s="439">
        <v>251803</v>
      </c>
      <c r="KK61" s="439">
        <v>87380</v>
      </c>
      <c r="KL61" s="439">
        <v>90947</v>
      </c>
      <c r="KM61" s="439">
        <v>2135845</v>
      </c>
      <c r="KN61" s="439">
        <v>1726186</v>
      </c>
      <c r="KO61" s="439">
        <v>256614</v>
      </c>
      <c r="KP61" s="439">
        <v>91248</v>
      </c>
      <c r="KQ61" s="439">
        <v>97377</v>
      </c>
      <c r="KR61" s="439">
        <v>2162752</v>
      </c>
      <c r="KS61" s="439">
        <v>1736049</v>
      </c>
      <c r="KT61" s="439">
        <v>261610</v>
      </c>
      <c r="KU61" s="439">
        <v>104644</v>
      </c>
      <c r="KV61" s="439">
        <v>103629</v>
      </c>
      <c r="KW61" s="630">
        <v>2161448</v>
      </c>
      <c r="KX61" s="439">
        <v>1720656</v>
      </c>
      <c r="KY61" s="439">
        <v>270256</v>
      </c>
      <c r="KZ61" s="439">
        <v>109564</v>
      </c>
      <c r="LA61" s="439">
        <v>106972</v>
      </c>
      <c r="LB61" s="652">
        <v>2164813</v>
      </c>
      <c r="LC61" s="653">
        <v>1717012</v>
      </c>
      <c r="LD61" s="653">
        <v>267102</v>
      </c>
      <c r="LE61" s="653">
        <v>113443</v>
      </c>
      <c r="LF61" s="653">
        <v>111192</v>
      </c>
      <c r="LG61" s="652">
        <v>2206049</v>
      </c>
      <c r="LH61" s="653"/>
      <c r="LI61" s="439"/>
      <c r="LJ61" s="439"/>
      <c r="LK61" s="439"/>
      <c r="LL61" s="652">
        <v>2195756</v>
      </c>
      <c r="LM61" s="653">
        <v>1727418</v>
      </c>
      <c r="LN61" s="653">
        <v>272083</v>
      </c>
      <c r="LO61" s="653">
        <v>126097</v>
      </c>
      <c r="LP61" s="653">
        <v>125819</v>
      </c>
      <c r="LQ61" s="652">
        <v>2205697</v>
      </c>
      <c r="LR61" s="653">
        <v>1691642</v>
      </c>
      <c r="LS61" s="653">
        <v>262174</v>
      </c>
      <c r="LT61" s="653">
        <v>136507</v>
      </c>
      <c r="LU61" s="653">
        <v>229847</v>
      </c>
      <c r="LV61" s="1">
        <v>40010</v>
      </c>
      <c r="LW61" s="1">
        <v>0</v>
      </c>
      <c r="LX61" s="1">
        <v>3996</v>
      </c>
      <c r="LY61" s="1">
        <v>123676</v>
      </c>
      <c r="LZ61" s="1">
        <v>62165</v>
      </c>
      <c r="MA61" s="10">
        <v>412931</v>
      </c>
      <c r="MB61" s="3">
        <v>377828</v>
      </c>
      <c r="MC61" s="3">
        <v>29044</v>
      </c>
      <c r="MD61" s="3">
        <v>3956</v>
      </c>
      <c r="ME61" s="3">
        <v>6059</v>
      </c>
      <c r="MF61" s="10">
        <v>487804</v>
      </c>
      <c r="MG61" s="3">
        <v>434445</v>
      </c>
      <c r="MH61" s="3">
        <v>39642</v>
      </c>
      <c r="MI61" s="3">
        <v>7753</v>
      </c>
      <c r="MJ61" s="3">
        <v>13717</v>
      </c>
      <c r="MK61" s="3">
        <v>599581</v>
      </c>
      <c r="ML61" s="3">
        <v>520395</v>
      </c>
      <c r="MM61" s="3">
        <v>51407</v>
      </c>
      <c r="MN61" s="3">
        <v>13195</v>
      </c>
      <c r="MO61" s="3">
        <v>21575</v>
      </c>
      <c r="MP61" s="10">
        <v>629749</v>
      </c>
      <c r="MQ61" s="3">
        <v>553319</v>
      </c>
      <c r="MR61" s="3">
        <v>54299</v>
      </c>
      <c r="MS61" s="3">
        <v>16847</v>
      </c>
      <c r="MT61" s="3">
        <v>22131</v>
      </c>
      <c r="MU61" s="10"/>
      <c r="MV61" s="3"/>
      <c r="MW61" s="3"/>
      <c r="MX61" s="3"/>
      <c r="MY61" s="8"/>
      <c r="MZ61" s="3">
        <v>662053</v>
      </c>
      <c r="NA61" s="3">
        <v>569143</v>
      </c>
      <c r="NB61" s="3">
        <v>57205</v>
      </c>
      <c r="NC61" s="3">
        <v>20101</v>
      </c>
      <c r="ND61" s="3">
        <v>22954</v>
      </c>
      <c r="NE61" s="3">
        <v>679921</v>
      </c>
      <c r="NF61" s="3">
        <v>583465</v>
      </c>
      <c r="NG61" s="3">
        <v>59684</v>
      </c>
      <c r="NH61" s="3">
        <v>19898</v>
      </c>
      <c r="NI61" s="3">
        <v>24915</v>
      </c>
      <c r="NJ61" s="3">
        <v>700919</v>
      </c>
      <c r="NK61" s="3">
        <v>588368</v>
      </c>
      <c r="NL61" s="3">
        <v>67705</v>
      </c>
      <c r="NM61" s="3">
        <v>24894</v>
      </c>
      <c r="NN61" s="3">
        <v>214091</v>
      </c>
      <c r="NO61" s="3">
        <v>739478</v>
      </c>
      <c r="NP61" s="3">
        <v>618053</v>
      </c>
      <c r="NQ61" s="3">
        <v>67930</v>
      </c>
      <c r="NR61" s="3">
        <v>30267</v>
      </c>
      <c r="NS61" s="3">
        <v>33099</v>
      </c>
      <c r="NT61" s="3">
        <v>730217</v>
      </c>
      <c r="NU61" s="3">
        <v>608789</v>
      </c>
      <c r="NV61" s="3">
        <v>67308</v>
      </c>
      <c r="NW61" s="3">
        <v>31347</v>
      </c>
      <c r="NX61" s="3">
        <v>36507</v>
      </c>
      <c r="NY61" s="10">
        <v>747997</v>
      </c>
      <c r="NZ61" s="3">
        <v>623753</v>
      </c>
      <c r="OA61" s="3">
        <v>67602</v>
      </c>
      <c r="OB61" s="3">
        <v>32673</v>
      </c>
      <c r="OC61" s="3">
        <v>36929</v>
      </c>
      <c r="OD61" s="10">
        <v>773645</v>
      </c>
      <c r="OE61" s="3"/>
      <c r="OF61" s="3"/>
      <c r="OG61" s="3"/>
      <c r="OH61" s="3"/>
      <c r="OI61" s="10">
        <v>775694</v>
      </c>
      <c r="OJ61" s="3">
        <v>635894</v>
      </c>
      <c r="OK61" s="3">
        <v>77018</v>
      </c>
      <c r="OL61" s="3">
        <v>41221</v>
      </c>
      <c r="OM61" s="3">
        <v>39501</v>
      </c>
      <c r="ON61" s="10">
        <v>811426</v>
      </c>
      <c r="OO61" s="3">
        <v>651430</v>
      </c>
      <c r="OP61" s="3">
        <v>71929</v>
      </c>
      <c r="OQ61" s="3">
        <v>48127</v>
      </c>
      <c r="OR61" s="3">
        <v>20994</v>
      </c>
      <c r="OS61" s="1">
        <v>15698</v>
      </c>
      <c r="OT61" s="1">
        <v>0</v>
      </c>
      <c r="OU61" s="1">
        <v>1654</v>
      </c>
      <c r="OV61" s="1">
        <v>42268</v>
      </c>
      <c r="OW61" s="1">
        <v>20994</v>
      </c>
      <c r="OX61" s="402">
        <f t="shared" si="653"/>
        <v>1491133</v>
      </c>
      <c r="OY61" s="382">
        <f t="shared" si="654"/>
        <v>1208651</v>
      </c>
      <c r="OZ61" s="382">
        <f t="shared" si="655"/>
        <v>73334</v>
      </c>
      <c r="PA61" s="382">
        <f t="shared" si="656"/>
        <v>141083</v>
      </c>
      <c r="PB61" s="382">
        <f t="shared" si="657"/>
        <v>73211</v>
      </c>
      <c r="PC61" s="402">
        <f t="shared" si="658"/>
        <v>2335435</v>
      </c>
      <c r="PD61" s="382">
        <f t="shared" si="659"/>
        <v>2109537</v>
      </c>
      <c r="PE61" s="382">
        <f t="shared" si="660"/>
        <v>124804</v>
      </c>
      <c r="PF61" s="382">
        <f t="shared" si="661"/>
        <v>30675</v>
      </c>
      <c r="PG61" s="382">
        <f t="shared" si="662"/>
        <v>101094</v>
      </c>
      <c r="PH61" s="10">
        <v>2486175</v>
      </c>
      <c r="PI61" s="3">
        <v>2202351</v>
      </c>
      <c r="PJ61" s="3">
        <v>147411</v>
      </c>
      <c r="PK61" s="3">
        <v>54318</v>
      </c>
      <c r="PL61" s="3">
        <v>136413</v>
      </c>
      <c r="PM61" s="3">
        <v>2748456</v>
      </c>
      <c r="PN61" s="3">
        <v>2410747</v>
      </c>
      <c r="PO61" s="3">
        <v>161269</v>
      </c>
      <c r="PP61" s="3">
        <v>49165</v>
      </c>
      <c r="PQ61" s="3">
        <v>148298</v>
      </c>
      <c r="PR61" s="399"/>
      <c r="PS61" s="5"/>
      <c r="PT61" s="5"/>
      <c r="PU61" s="5"/>
      <c r="PV61" s="5"/>
      <c r="PW61" s="5">
        <v>3043251</v>
      </c>
      <c r="PX61" s="5">
        <v>2629297</v>
      </c>
      <c r="PY61" s="5">
        <v>183418</v>
      </c>
      <c r="PZ61" s="5">
        <v>71100</v>
      </c>
      <c r="QA61" s="408">
        <v>180603</v>
      </c>
      <c r="QB61" s="5">
        <v>3123992</v>
      </c>
      <c r="QC61" s="5">
        <v>2684429</v>
      </c>
      <c r="QD61" s="5">
        <v>194951</v>
      </c>
      <c r="QE61" s="5">
        <v>76821</v>
      </c>
      <c r="QF61" s="5">
        <v>192468</v>
      </c>
      <c r="QG61" s="5">
        <v>3268644</v>
      </c>
      <c r="QH61" s="5">
        <v>2785106</v>
      </c>
      <c r="QI61" s="5">
        <v>210790</v>
      </c>
      <c r="QJ61" s="5">
        <v>84917</v>
      </c>
      <c r="QK61" s="5">
        <v>214091</v>
      </c>
      <c r="QL61" s="399">
        <v>3380501</v>
      </c>
      <c r="QM61" s="5">
        <v>2863530</v>
      </c>
      <c r="QN61" s="5">
        <v>217673</v>
      </c>
      <c r="QO61" s="5">
        <v>98691</v>
      </c>
      <c r="QP61" s="5">
        <v>230189</v>
      </c>
      <c r="QQ61" s="399">
        <v>3477954</v>
      </c>
      <c r="QR61" s="5">
        <v>2924185</v>
      </c>
      <c r="QS61" s="5">
        <v>240175</v>
      </c>
      <c r="QT61" s="5">
        <v>104572</v>
      </c>
      <c r="QU61" s="5">
        <v>244347</v>
      </c>
      <c r="QV61" s="399">
        <v>3565233</v>
      </c>
      <c r="QW61" s="5">
        <v>2990055</v>
      </c>
      <c r="QX61" s="5">
        <v>242131</v>
      </c>
      <c r="QY61" s="5">
        <v>112503</v>
      </c>
      <c r="QZ61" s="5">
        <v>258275</v>
      </c>
      <c r="RA61" s="399">
        <v>3636127</v>
      </c>
      <c r="RB61" s="5"/>
      <c r="RC61" s="5"/>
      <c r="RD61" s="5"/>
      <c r="RE61" s="5"/>
      <c r="RF61" s="5">
        <v>3693096</v>
      </c>
      <c r="RG61" s="5">
        <v>3063738</v>
      </c>
      <c r="RH61" s="5">
        <v>264816</v>
      </c>
      <c r="RI61" s="5">
        <v>131159</v>
      </c>
      <c r="RJ61" s="5">
        <v>280577</v>
      </c>
      <c r="RK61" s="5">
        <v>3976411</v>
      </c>
      <c r="RL61" s="5">
        <v>3223983</v>
      </c>
      <c r="RM61" s="5">
        <v>267216</v>
      </c>
      <c r="RN61" s="5">
        <v>166552</v>
      </c>
      <c r="RO61" s="5">
        <v>449870</v>
      </c>
      <c r="RP61" s="1">
        <v>203240</v>
      </c>
      <c r="RQ61" s="1">
        <v>0</v>
      </c>
      <c r="RR61" s="1">
        <v>4403</v>
      </c>
      <c r="RS61" s="1">
        <v>172377</v>
      </c>
      <c r="RT61" s="1">
        <v>69850</v>
      </c>
      <c r="RU61" s="10">
        <v>890660</v>
      </c>
      <c r="RV61" s="3">
        <v>830823</v>
      </c>
      <c r="RW61" s="3">
        <v>41541</v>
      </c>
      <c r="RX61" s="3">
        <v>7018</v>
      </c>
      <c r="RY61" s="3">
        <v>18296</v>
      </c>
      <c r="RZ61" s="10">
        <v>1153383</v>
      </c>
      <c r="SA61" s="3">
        <v>1055399</v>
      </c>
      <c r="SB61" s="3">
        <v>54596</v>
      </c>
      <c r="SC61" s="3">
        <v>13106</v>
      </c>
      <c r="SD61" s="3">
        <v>43388</v>
      </c>
      <c r="SE61" s="10">
        <v>1329793</v>
      </c>
      <c r="SF61" s="3">
        <v>1182628</v>
      </c>
      <c r="SG61" s="3">
        <v>69497</v>
      </c>
      <c r="SH61" s="3">
        <v>22363</v>
      </c>
      <c r="SI61" s="3"/>
      <c r="SJ61" s="10">
        <v>1415386</v>
      </c>
      <c r="SK61" s="3">
        <v>1264594</v>
      </c>
      <c r="SL61" s="3">
        <v>75172</v>
      </c>
      <c r="SM61" s="3">
        <v>28889</v>
      </c>
      <c r="SN61" s="3">
        <v>75620</v>
      </c>
      <c r="SO61" s="10">
        <v>1429311.1800000002</v>
      </c>
      <c r="SP61" s="3">
        <v>1279035.0180000002</v>
      </c>
      <c r="SQ61" s="3">
        <v>77422.066000000006</v>
      </c>
      <c r="SR61" s="3">
        <v>29917.699999999997</v>
      </c>
      <c r="SS61" s="3">
        <v>72854.096000000005</v>
      </c>
      <c r="ST61" s="10">
        <v>1459230</v>
      </c>
      <c r="SU61" s="3">
        <v>1277366</v>
      </c>
      <c r="SV61" s="3">
        <v>79411</v>
      </c>
      <c r="SW61" s="3">
        <v>31688</v>
      </c>
      <c r="SX61" s="3">
        <v>79798</v>
      </c>
      <c r="SY61" s="3">
        <v>1492526</v>
      </c>
      <c r="SZ61" s="3">
        <v>1297060</v>
      </c>
      <c r="TA61" s="3">
        <v>86243</v>
      </c>
      <c r="TB61" s="3">
        <v>35095</v>
      </c>
      <c r="TC61" s="3">
        <v>85467</v>
      </c>
      <c r="TD61" s="3">
        <v>1554120</v>
      </c>
      <c r="TE61" s="3">
        <v>1347994</v>
      </c>
      <c r="TF61" s="3">
        <v>87078</v>
      </c>
      <c r="TG61" s="3">
        <v>38566</v>
      </c>
      <c r="TH61" s="3">
        <v>92613</v>
      </c>
      <c r="TI61" s="3">
        <v>1611499</v>
      </c>
      <c r="TJ61" s="3">
        <v>1380709</v>
      </c>
      <c r="TK61" s="3">
        <v>95445</v>
      </c>
      <c r="TL61" s="3">
        <v>43293</v>
      </c>
      <c r="TM61" s="3">
        <v>103410</v>
      </c>
      <c r="TN61" s="3">
        <v>1676971</v>
      </c>
      <c r="TO61" s="3">
        <v>1426027</v>
      </c>
      <c r="TP61" s="3">
        <v>107656</v>
      </c>
      <c r="TQ61" s="3">
        <v>47584</v>
      </c>
      <c r="TR61" s="3">
        <v>110960</v>
      </c>
      <c r="TS61" s="10">
        <v>1697397</v>
      </c>
      <c r="TT61" s="3">
        <v>1449045</v>
      </c>
      <c r="TU61" s="3">
        <v>106887</v>
      </c>
      <c r="TV61" s="3">
        <v>50054</v>
      </c>
      <c r="TW61" s="3">
        <v>106740</v>
      </c>
      <c r="TX61" s="10">
        <v>1723226</v>
      </c>
      <c r="TY61" s="3"/>
      <c r="TZ61" s="3"/>
      <c r="UA61" s="3"/>
      <c r="UB61" s="3"/>
      <c r="UC61" s="10">
        <v>1761627</v>
      </c>
      <c r="UD61" s="3">
        <v>1479040</v>
      </c>
      <c r="UE61" s="3">
        <v>119698</v>
      </c>
      <c r="UF61" s="3">
        <v>57931</v>
      </c>
      <c r="UG61" s="3">
        <v>125706</v>
      </c>
      <c r="UH61" s="10">
        <v>1887722</v>
      </c>
      <c r="UI61" s="3">
        <v>1558792</v>
      </c>
      <c r="UJ61" s="3">
        <v>114383</v>
      </c>
      <c r="UK61" s="3">
        <v>74318</v>
      </c>
      <c r="UL61" s="3">
        <v>197213</v>
      </c>
      <c r="UM61" s="1">
        <v>88224</v>
      </c>
      <c r="UN61" s="1">
        <v>0</v>
      </c>
      <c r="UO61" s="1">
        <v>1820</v>
      </c>
      <c r="UP61" s="1">
        <v>76388</v>
      </c>
      <c r="UQ61" s="1">
        <v>48856</v>
      </c>
      <c r="UR61" s="588">
        <f t="shared" si="663"/>
        <v>412222</v>
      </c>
      <c r="US61" s="40">
        <v>264594</v>
      </c>
      <c r="UT61" s="40">
        <v>147628</v>
      </c>
      <c r="UU61" s="588">
        <f t="shared" si="664"/>
        <v>12643</v>
      </c>
      <c r="UV61" s="40">
        <v>6641</v>
      </c>
      <c r="UW61" s="40">
        <v>6002</v>
      </c>
      <c r="UX61" s="10">
        <v>580375</v>
      </c>
      <c r="UY61" s="588">
        <f t="shared" si="665"/>
        <v>359527</v>
      </c>
      <c r="UZ61" s="588">
        <f t="shared" si="666"/>
        <v>220848</v>
      </c>
      <c r="VA61" s="588">
        <f t="shared" si="667"/>
        <v>562575</v>
      </c>
      <c r="VB61" s="40">
        <v>351046</v>
      </c>
      <c r="VC61" s="40">
        <v>211529</v>
      </c>
      <c r="VD61" s="588">
        <f t="shared" si="668"/>
        <v>17421</v>
      </c>
      <c r="VE61" s="40">
        <v>8256</v>
      </c>
      <c r="VF61" s="40">
        <v>9165</v>
      </c>
      <c r="VG61" s="588">
        <f t="shared" si="669"/>
        <v>379</v>
      </c>
      <c r="VH61" s="40">
        <v>225</v>
      </c>
      <c r="VI61" s="40">
        <v>154</v>
      </c>
      <c r="VJ61" s="10">
        <v>981416</v>
      </c>
      <c r="VK61" s="588">
        <f t="shared" si="670"/>
        <v>582062</v>
      </c>
      <c r="VL61" s="588">
        <f t="shared" si="671"/>
        <v>399354</v>
      </c>
      <c r="VM61" s="240">
        <f t="shared" si="672"/>
        <v>920052</v>
      </c>
      <c r="VN61" s="40">
        <v>549678</v>
      </c>
      <c r="VO61" s="40">
        <v>370374</v>
      </c>
      <c r="VP61" s="40">
        <v>32384</v>
      </c>
      <c r="VQ61" s="40">
        <v>28980</v>
      </c>
      <c r="VR61" s="240">
        <f t="shared" si="673"/>
        <v>36037</v>
      </c>
      <c r="VS61" s="40">
        <v>17246</v>
      </c>
      <c r="VT61" s="40">
        <v>18791</v>
      </c>
      <c r="VU61" s="240">
        <f t="shared" si="674"/>
        <v>7346</v>
      </c>
      <c r="VV61" s="40">
        <v>4430</v>
      </c>
      <c r="VW61" s="40">
        <v>2916</v>
      </c>
      <c r="VX61" s="233">
        <f t="shared" si="675"/>
        <v>17981</v>
      </c>
      <c r="VY61" s="233">
        <f t="shared" si="676"/>
        <v>10708</v>
      </c>
      <c r="VZ61" s="233">
        <f t="shared" si="677"/>
        <v>7273</v>
      </c>
      <c r="WA61" s="234">
        <f t="shared" si="678"/>
        <v>525</v>
      </c>
      <c r="WB61" s="234">
        <f t="shared" si="679"/>
        <v>314</v>
      </c>
      <c r="WC61" s="234">
        <f t="shared" si="680"/>
        <v>211</v>
      </c>
      <c r="WD61" s="40">
        <v>17456</v>
      </c>
      <c r="WE61" s="40">
        <v>10394</v>
      </c>
      <c r="WF61" s="40">
        <v>7062</v>
      </c>
      <c r="WG61" s="12">
        <f t="shared" si="681"/>
        <v>1078202</v>
      </c>
      <c r="WH61" s="588">
        <f t="shared" si="682"/>
        <v>768715</v>
      </c>
      <c r="WI61" s="588">
        <f t="shared" si="683"/>
        <v>644031</v>
      </c>
      <c r="WJ61" s="11">
        <f t="shared" si="684"/>
        <v>830823</v>
      </c>
      <c r="WK61" s="90">
        <f t="shared" si="685"/>
        <v>1301673</v>
      </c>
      <c r="WL61" s="40">
        <v>714098</v>
      </c>
      <c r="WM61" s="40">
        <v>587575</v>
      </c>
      <c r="WN61" s="40">
        <v>54617</v>
      </c>
      <c r="WO61" s="40">
        <v>56456</v>
      </c>
      <c r="WP61" s="11">
        <f t="shared" si="686"/>
        <v>44290</v>
      </c>
      <c r="WQ61" s="90">
        <f t="shared" si="687"/>
        <v>63540</v>
      </c>
      <c r="WR61" s="40">
        <v>27673</v>
      </c>
      <c r="WS61" s="40">
        <v>35867</v>
      </c>
      <c r="WT61" s="11">
        <f t="shared" si="688"/>
        <v>12457</v>
      </c>
      <c r="WU61" s="40">
        <v>6716</v>
      </c>
      <c r="WV61" s="40">
        <v>5741</v>
      </c>
      <c r="WW61" s="11">
        <f t="shared" si="689"/>
        <v>67152</v>
      </c>
      <c r="WX61" s="257">
        <f t="shared" si="690"/>
        <v>20228</v>
      </c>
      <c r="WY61" s="235">
        <f t="shared" si="691"/>
        <v>14848</v>
      </c>
      <c r="WZ61" s="236">
        <f t="shared" si="692"/>
        <v>470</v>
      </c>
      <c r="XA61" s="236">
        <f t="shared" si="693"/>
        <v>237</v>
      </c>
      <c r="XB61" s="236">
        <f t="shared" si="694"/>
        <v>233</v>
      </c>
      <c r="XC61" s="589">
        <f t="shared" si="695"/>
        <v>34606</v>
      </c>
      <c r="XD61" s="589">
        <f t="shared" si="696"/>
        <v>19991</v>
      </c>
      <c r="XE61" s="589">
        <f t="shared" si="697"/>
        <v>14615</v>
      </c>
      <c r="XF61" s="40">
        <v>551</v>
      </c>
      <c r="XG61" s="40">
        <v>501</v>
      </c>
      <c r="XH61" s="40">
        <v>19440</v>
      </c>
      <c r="XI61" s="40">
        <v>14114</v>
      </c>
      <c r="XJ61" s="590">
        <v>1847631</v>
      </c>
      <c r="XK61" s="40">
        <v>943074</v>
      </c>
      <c r="XL61" s="40">
        <v>904557</v>
      </c>
      <c r="XM61" s="5">
        <f t="shared" si="698"/>
        <v>1675092</v>
      </c>
      <c r="XN61" s="5">
        <v>860992</v>
      </c>
      <c r="XO61" s="5">
        <v>814100</v>
      </c>
      <c r="XP61" s="84">
        <f t="shared" si="699"/>
        <v>1660683</v>
      </c>
      <c r="XQ61" s="40">
        <v>854075</v>
      </c>
      <c r="XR61" s="40">
        <v>806608</v>
      </c>
      <c r="XS61" s="5">
        <f t="shared" si="700"/>
        <v>85162</v>
      </c>
      <c r="XT61" s="40">
        <v>35846</v>
      </c>
      <c r="XU61" s="40">
        <v>49316</v>
      </c>
      <c r="XV61" s="5">
        <f t="shared" si="701"/>
        <v>22922</v>
      </c>
      <c r="XW61" s="40">
        <v>10949</v>
      </c>
      <c r="XX61" s="40">
        <v>11973</v>
      </c>
      <c r="XY61" s="84">
        <f t="shared" si="702"/>
        <v>87377</v>
      </c>
      <c r="XZ61" s="84">
        <f t="shared" si="703"/>
        <v>46236</v>
      </c>
      <c r="YA61" s="84">
        <f t="shared" si="704"/>
        <v>41141</v>
      </c>
      <c r="YB61" s="587">
        <v>2148875</v>
      </c>
      <c r="YC61" s="40">
        <v>1890352</v>
      </c>
      <c r="YD61" s="40">
        <v>109862</v>
      </c>
      <c r="YE61" s="40">
        <v>35970</v>
      </c>
      <c r="YF61" s="5">
        <v>126723</v>
      </c>
      <c r="YG61" s="590">
        <v>2190012</v>
      </c>
      <c r="YH61" s="3">
        <v>1945098</v>
      </c>
      <c r="YI61" s="3">
        <v>113955</v>
      </c>
      <c r="YJ61" s="3">
        <v>130959</v>
      </c>
      <c r="YK61" s="3">
        <v>38690</v>
      </c>
      <c r="YL61" s="590">
        <v>2251760</v>
      </c>
      <c r="YM61" s="3">
        <v>2005186</v>
      </c>
      <c r="YN61" s="3">
        <v>115961</v>
      </c>
      <c r="YO61" s="3">
        <v>130613</v>
      </c>
      <c r="YP61" s="3">
        <v>42035</v>
      </c>
      <c r="YQ61" s="10">
        <v>2295019</v>
      </c>
      <c r="YR61" s="3">
        <v>2027781</v>
      </c>
      <c r="YS61" s="3">
        <v>120297</v>
      </c>
      <c r="YT61" s="3">
        <v>146941</v>
      </c>
      <c r="YU61" s="3">
        <v>47033</v>
      </c>
      <c r="YV61" s="10">
        <v>2330210.3480000002</v>
      </c>
      <c r="YW61" s="3">
        <v>2062721.2140000002</v>
      </c>
      <c r="YX61" s="3">
        <v>121898.57200000001</v>
      </c>
      <c r="YY61" s="3">
        <v>48525.049999999996</v>
      </c>
      <c r="YZ61" s="3">
        <v>145590.56200000006</v>
      </c>
      <c r="ZA61" s="3">
        <v>2381198</v>
      </c>
      <c r="ZB61" s="3">
        <v>2060154</v>
      </c>
      <c r="ZC61" s="3">
        <v>126213</v>
      </c>
      <c r="ZD61" s="3">
        <v>50999</v>
      </c>
      <c r="ZE61" s="1">
        <v>157649</v>
      </c>
      <c r="ZF61" s="1">
        <v>2444071</v>
      </c>
      <c r="ZG61" s="1">
        <v>2100964</v>
      </c>
      <c r="ZH61" s="1">
        <v>135267</v>
      </c>
      <c r="ZI61" s="1">
        <v>56923</v>
      </c>
      <c r="ZJ61" s="1">
        <v>167553</v>
      </c>
      <c r="ZK61" s="1">
        <v>2567725</v>
      </c>
      <c r="ZL61" s="1">
        <v>2196738</v>
      </c>
      <c r="ZM61" s="1">
        <v>143085</v>
      </c>
      <c r="ZN61" s="1">
        <v>60023</v>
      </c>
      <c r="ZO61" s="1">
        <v>185585</v>
      </c>
      <c r="ZP61" s="1">
        <v>2641023</v>
      </c>
      <c r="ZQ61" s="1">
        <v>2245477</v>
      </c>
      <c r="ZR61" s="1">
        <v>149743</v>
      </c>
      <c r="ZS61" s="1">
        <v>68424</v>
      </c>
      <c r="ZT61" s="1">
        <v>197090</v>
      </c>
      <c r="ZU61" s="1">
        <v>2747737</v>
      </c>
      <c r="ZV61" s="1">
        <v>2315396</v>
      </c>
      <c r="ZW61" s="1">
        <v>172867</v>
      </c>
      <c r="ZX61" s="1">
        <v>73225</v>
      </c>
      <c r="ZY61" s="1">
        <v>207840</v>
      </c>
      <c r="ZZ61" s="394">
        <v>155628</v>
      </c>
      <c r="AAA61" s="1">
        <v>0</v>
      </c>
      <c r="AAB61" s="1">
        <v>2075</v>
      </c>
      <c r="AAC61" s="1">
        <v>36477</v>
      </c>
      <c r="AAD61" s="1">
        <v>13660</v>
      </c>
      <c r="AAE61" s="50">
        <v>2817236</v>
      </c>
      <c r="AAF61" s="1">
        <v>2366302</v>
      </c>
      <c r="AAG61" s="1">
        <v>174529</v>
      </c>
      <c r="AAH61" s="1">
        <v>79830</v>
      </c>
      <c r="AAI61" s="1">
        <v>221346</v>
      </c>
      <c r="AAJ61" s="50">
        <v>2862482</v>
      </c>
      <c r="AAK61" s="1"/>
      <c r="AAL61" s="1"/>
      <c r="AAM61" s="1"/>
      <c r="AAN61" s="1"/>
      <c r="AAO61" s="68">
        <v>2917402</v>
      </c>
      <c r="AAP61" s="37">
        <v>2427844</v>
      </c>
      <c r="AAQ61" s="37">
        <v>187798</v>
      </c>
      <c r="AAR61" s="37">
        <v>89938</v>
      </c>
      <c r="AAS61" s="37">
        <v>241076</v>
      </c>
      <c r="AAT61" s="68">
        <v>3164985</v>
      </c>
      <c r="AAU61" s="37">
        <v>2572553</v>
      </c>
      <c r="AAV61" s="37">
        <v>195287</v>
      </c>
      <c r="AAW61" s="37">
        <v>118425</v>
      </c>
      <c r="AAX61" s="37">
        <v>369256</v>
      </c>
      <c r="AAY61" s="1">
        <v>187542</v>
      </c>
      <c r="AAZ61" s="1">
        <v>0</v>
      </c>
      <c r="ABA61" s="1">
        <v>2749</v>
      </c>
      <c r="ABB61" s="1">
        <v>130109</v>
      </c>
      <c r="ABC61" s="1">
        <v>48856</v>
      </c>
      <c r="ABD61" s="10">
        <v>694248</v>
      </c>
      <c r="ABE61" s="3">
        <v>619693</v>
      </c>
      <c r="ABF61" s="3">
        <v>30566</v>
      </c>
      <c r="ABG61" s="3">
        <v>9816</v>
      </c>
      <c r="ABH61" s="3">
        <v>43989</v>
      </c>
      <c r="ABI61" s="10">
        <v>819082</v>
      </c>
      <c r="ABJ61" s="3">
        <v>707724</v>
      </c>
      <c r="ABK61" s="3">
        <v>40365</v>
      </c>
      <c r="ABL61" s="3">
        <v>13607</v>
      </c>
      <c r="ABM61" s="3">
        <v>62153</v>
      </c>
      <c r="ABN61" s="10">
        <v>879633</v>
      </c>
      <c r="ABO61" s="3">
        <v>763187</v>
      </c>
      <c r="ABP61" s="3">
        <v>45125</v>
      </c>
      <c r="ABQ61" s="3">
        <v>18144</v>
      </c>
      <c r="ABR61" s="3">
        <v>71321</v>
      </c>
      <c r="ABS61" s="10">
        <v>900899.16800000006</v>
      </c>
      <c r="ABT61" s="3">
        <v>783686.196</v>
      </c>
      <c r="ABU61" s="3">
        <v>44476.506000000008</v>
      </c>
      <c r="ABV61" s="3">
        <v>18607.349999999999</v>
      </c>
      <c r="ABW61" s="8">
        <v>72736.466000000059</v>
      </c>
      <c r="ABX61" s="1">
        <v>921968</v>
      </c>
      <c r="ABY61" s="1">
        <v>782788</v>
      </c>
      <c r="ABZ61" s="1">
        <v>46802</v>
      </c>
      <c r="ACA61" s="1">
        <v>19311</v>
      </c>
      <c r="ACB61" s="49">
        <v>77851</v>
      </c>
      <c r="ACC61" s="1">
        <v>951545</v>
      </c>
      <c r="ACD61" s="1">
        <v>803904</v>
      </c>
      <c r="ACE61" s="1">
        <v>49024</v>
      </c>
      <c r="ACF61" s="1">
        <v>21828</v>
      </c>
      <c r="ACG61" s="1">
        <v>82086</v>
      </c>
      <c r="ACH61" s="1">
        <v>1013605</v>
      </c>
      <c r="ACI61" s="1">
        <v>848744</v>
      </c>
      <c r="ACJ61" s="1">
        <v>56007</v>
      </c>
      <c r="ACK61" s="1">
        <v>21457</v>
      </c>
      <c r="ACL61" s="1">
        <v>92972</v>
      </c>
      <c r="ACM61" s="1">
        <v>1029524</v>
      </c>
      <c r="ACN61" s="1">
        <v>864768</v>
      </c>
      <c r="ACO61" s="1">
        <v>54298</v>
      </c>
      <c r="ACP61" s="1">
        <v>25131</v>
      </c>
      <c r="ACQ61" s="1">
        <v>93680</v>
      </c>
      <c r="ACR61" s="1">
        <v>1070766</v>
      </c>
      <c r="ACS61" s="1">
        <v>889369</v>
      </c>
      <c r="ACT61" s="1">
        <v>65211</v>
      </c>
      <c r="ACU61" s="1">
        <v>25641</v>
      </c>
      <c r="ACV61" s="1">
        <v>96880</v>
      </c>
      <c r="ADB61" s="50">
        <v>1119839</v>
      </c>
      <c r="ADC61" s="1">
        <v>917257</v>
      </c>
      <c r="ADD61" s="1">
        <v>67642</v>
      </c>
      <c r="ADE61" s="1">
        <v>29776</v>
      </c>
      <c r="ADF61" s="1">
        <v>114606</v>
      </c>
      <c r="ADG61" s="50">
        <v>1139256</v>
      </c>
      <c r="ADL61" s="50">
        <v>1155775</v>
      </c>
      <c r="ADM61" s="1">
        <v>948804</v>
      </c>
      <c r="ADN61" s="1">
        <v>68100</v>
      </c>
      <c r="ADO61" s="1">
        <v>32007</v>
      </c>
      <c r="ADP61" s="1">
        <v>115370</v>
      </c>
      <c r="ADQ61" s="50">
        <v>1277263</v>
      </c>
      <c r="ADR61" s="1">
        <v>1013761</v>
      </c>
      <c r="ADS61" s="1">
        <v>80904</v>
      </c>
      <c r="ADT61" s="1">
        <v>44107</v>
      </c>
      <c r="ADU61" s="1">
        <v>172043</v>
      </c>
      <c r="ADV61" s="1">
        <v>99318</v>
      </c>
      <c r="ADW61" s="1">
        <v>0</v>
      </c>
      <c r="ADX61" s="1">
        <v>929</v>
      </c>
      <c r="ADY61" s="1">
        <v>53721</v>
      </c>
      <c r="ADZ61" s="1">
        <v>18075</v>
      </c>
    </row>
    <row r="62" spans="1:806" ht="12.75" customHeight="1">
      <c r="A62" s="38" t="s">
        <v>59</v>
      </c>
      <c r="B62" s="175" t="s">
        <v>221</v>
      </c>
      <c r="C62" s="175" t="s">
        <v>221</v>
      </c>
      <c r="D62" s="175" t="s">
        <v>221</v>
      </c>
      <c r="E62" s="175" t="s">
        <v>221</v>
      </c>
      <c r="F62" s="175" t="s">
        <v>221</v>
      </c>
      <c r="G62" s="10">
        <v>72842</v>
      </c>
      <c r="H62" s="3">
        <v>63998</v>
      </c>
      <c r="I62" s="3">
        <v>2457</v>
      </c>
      <c r="J62" s="3">
        <v>6057</v>
      </c>
      <c r="K62" s="3">
        <v>6387</v>
      </c>
      <c r="L62" s="10">
        <v>56312</v>
      </c>
      <c r="M62" s="3">
        <v>42082</v>
      </c>
      <c r="N62" s="3">
        <v>2265</v>
      </c>
      <c r="O62" s="3">
        <v>10963</v>
      </c>
      <c r="P62" s="3">
        <v>11965</v>
      </c>
      <c r="Q62" s="3">
        <v>51650</v>
      </c>
      <c r="R62" s="3">
        <v>30794</v>
      </c>
      <c r="S62" s="3">
        <v>3233</v>
      </c>
      <c r="T62" s="3">
        <v>14884</v>
      </c>
      <c r="U62" s="8">
        <v>13053</v>
      </c>
      <c r="V62" s="399">
        <v>49131</v>
      </c>
      <c r="W62" s="5">
        <v>32790</v>
      </c>
      <c r="X62" s="5">
        <v>4599</v>
      </c>
      <c r="Y62" s="5">
        <v>15269</v>
      </c>
      <c r="Z62" s="5">
        <v>11742</v>
      </c>
      <c r="AA62" s="5">
        <v>48116</v>
      </c>
      <c r="AB62" s="5">
        <v>23693</v>
      </c>
      <c r="AC62" s="5">
        <v>4577</v>
      </c>
      <c r="AD62" s="5">
        <v>17078</v>
      </c>
      <c r="AE62" s="5">
        <v>13654</v>
      </c>
      <c r="AF62" s="399">
        <v>44940</v>
      </c>
      <c r="AG62" s="5">
        <v>21761</v>
      </c>
      <c r="AH62" s="5">
        <v>4294</v>
      </c>
      <c r="AI62" s="5">
        <v>16074</v>
      </c>
      <c r="AJ62" s="490">
        <v>13206</v>
      </c>
      <c r="AK62" s="490">
        <v>41609</v>
      </c>
      <c r="AL62" s="490">
        <v>18600</v>
      </c>
      <c r="AM62" s="685">
        <v>3417</v>
      </c>
      <c r="AN62" s="685">
        <v>15361</v>
      </c>
      <c r="AO62" s="490">
        <v>13194</v>
      </c>
      <c r="AP62" s="394">
        <v>40319</v>
      </c>
      <c r="AQ62" s="394">
        <v>20600</v>
      </c>
      <c r="AR62" s="394">
        <v>3145</v>
      </c>
      <c r="AS62" s="394">
        <v>14521</v>
      </c>
      <c r="AT62" s="394">
        <v>12130</v>
      </c>
      <c r="AU62" s="393">
        <v>38405</v>
      </c>
      <c r="AV62" s="394">
        <v>19581</v>
      </c>
      <c r="AW62" s="394">
        <v>2705</v>
      </c>
      <c r="AX62" s="394">
        <v>14186</v>
      </c>
      <c r="AY62" s="394">
        <v>9299</v>
      </c>
      <c r="AZ62" s="1">
        <v>1496</v>
      </c>
      <c r="BA62" s="1">
        <v>0</v>
      </c>
      <c r="BB62" s="1">
        <v>0</v>
      </c>
      <c r="BC62" s="1">
        <v>479</v>
      </c>
      <c r="BD62" s="1">
        <v>7324</v>
      </c>
      <c r="BE62" s="393">
        <v>37301</v>
      </c>
      <c r="BF62" s="394">
        <v>19750</v>
      </c>
      <c r="BG62" s="394">
        <v>3652</v>
      </c>
      <c r="BH62" s="394">
        <v>12318</v>
      </c>
      <c r="BI62" s="394">
        <v>7480</v>
      </c>
      <c r="BJ62" s="393">
        <v>34642</v>
      </c>
      <c r="BK62" s="394"/>
      <c r="BL62" s="394"/>
      <c r="BM62" s="394"/>
      <c r="BN62" s="394"/>
      <c r="BO62" s="393">
        <v>37697</v>
      </c>
      <c r="BP62" s="394">
        <v>16263</v>
      </c>
      <c r="BQ62" s="394">
        <v>2201</v>
      </c>
      <c r="BR62" s="394">
        <v>17237</v>
      </c>
      <c r="BS62" s="394">
        <v>11365</v>
      </c>
      <c r="BT62" s="393">
        <v>36808</v>
      </c>
      <c r="BU62" s="394">
        <v>12747</v>
      </c>
      <c r="BV62" s="394">
        <v>2646</v>
      </c>
      <c r="BW62" s="394">
        <v>17483</v>
      </c>
      <c r="BX62" s="394">
        <v>1767</v>
      </c>
      <c r="BY62" s="1">
        <v>0</v>
      </c>
      <c r="BZ62" s="1">
        <v>0</v>
      </c>
      <c r="CA62" s="1">
        <v>6764</v>
      </c>
      <c r="CB62" s="1">
        <v>11669</v>
      </c>
      <c r="CC62" s="10">
        <v>111502</v>
      </c>
      <c r="CD62" s="3">
        <v>102243</v>
      </c>
      <c r="CE62" s="3">
        <v>4378</v>
      </c>
      <c r="CF62" s="3">
        <v>17483</v>
      </c>
      <c r="CG62" s="3">
        <v>4881</v>
      </c>
      <c r="CH62" s="10">
        <v>96774</v>
      </c>
      <c r="CI62" s="3">
        <v>80251</v>
      </c>
      <c r="CJ62" s="3">
        <v>4810</v>
      </c>
      <c r="CK62" s="3">
        <v>10267</v>
      </c>
      <c r="CL62" s="3">
        <v>11713</v>
      </c>
      <c r="CM62" s="1">
        <v>71843</v>
      </c>
      <c r="CN62" s="3">
        <v>55668</v>
      </c>
      <c r="CO62" s="3">
        <v>4166</v>
      </c>
      <c r="CP62" s="3">
        <v>9104</v>
      </c>
      <c r="CQ62" s="8">
        <v>9200</v>
      </c>
      <c r="CR62" s="3">
        <v>63910</v>
      </c>
      <c r="CS62" s="3">
        <v>51239</v>
      </c>
      <c r="CT62" s="3">
        <v>4141</v>
      </c>
      <c r="CU62" s="3">
        <v>11055</v>
      </c>
      <c r="CV62" s="3">
        <v>8530</v>
      </c>
      <c r="CW62" s="3">
        <v>59903</v>
      </c>
      <c r="CX62" s="3">
        <v>43001</v>
      </c>
      <c r="CY62" s="3">
        <v>4345</v>
      </c>
      <c r="CZ62" s="3">
        <v>10096</v>
      </c>
      <c r="DA62" s="3">
        <v>8115</v>
      </c>
      <c r="DB62" s="3">
        <v>57673</v>
      </c>
      <c r="DC62" s="3">
        <v>40452</v>
      </c>
      <c r="DD62" s="3">
        <v>4812</v>
      </c>
      <c r="DE62" s="3">
        <v>10111</v>
      </c>
      <c r="DF62" s="39">
        <v>7998</v>
      </c>
      <c r="DG62" s="39">
        <v>61636</v>
      </c>
      <c r="DH62" s="39">
        <v>42450</v>
      </c>
      <c r="DI62" s="39">
        <v>3993</v>
      </c>
      <c r="DJ62" s="39">
        <v>12166</v>
      </c>
      <c r="DK62" s="39">
        <v>9839</v>
      </c>
      <c r="DL62" s="39">
        <v>49725</v>
      </c>
      <c r="DM62" s="39">
        <v>34082</v>
      </c>
      <c r="DN62" s="39">
        <v>3592</v>
      </c>
      <c r="DO62" s="39">
        <v>9452</v>
      </c>
      <c r="DP62" s="39">
        <v>7885</v>
      </c>
      <c r="DQ62" s="39">
        <v>45778</v>
      </c>
      <c r="DR62" s="39">
        <v>30941</v>
      </c>
      <c r="DS62" s="39">
        <v>3511</v>
      </c>
      <c r="DT62" s="39">
        <v>9443</v>
      </c>
      <c r="DU62" s="39">
        <v>6886</v>
      </c>
      <c r="DV62" s="118">
        <v>48991</v>
      </c>
      <c r="DW62" s="39">
        <v>34904</v>
      </c>
      <c r="DX62" s="39">
        <v>3389</v>
      </c>
      <c r="DY62" s="39">
        <v>8035</v>
      </c>
      <c r="DZ62" s="39">
        <v>5493</v>
      </c>
      <c r="EA62" s="118">
        <v>45944</v>
      </c>
      <c r="EB62" s="39"/>
      <c r="EC62" s="39"/>
      <c r="ED62" s="39"/>
      <c r="EE62" s="39"/>
      <c r="EF62" s="118">
        <v>42510</v>
      </c>
      <c r="EG62" s="39">
        <v>27036</v>
      </c>
      <c r="EH62" s="39">
        <v>2174</v>
      </c>
      <c r="EI62" s="39">
        <v>11070</v>
      </c>
      <c r="EJ62" s="39">
        <v>7567</v>
      </c>
      <c r="EK62" s="118">
        <v>42510</v>
      </c>
      <c r="EL62" s="39">
        <v>27036</v>
      </c>
      <c r="EM62" s="39">
        <v>2174</v>
      </c>
      <c r="EN62" s="39">
        <v>11070</v>
      </c>
      <c r="EO62" s="39">
        <v>7567</v>
      </c>
      <c r="EP62" s="118">
        <v>47208</v>
      </c>
      <c r="EQ62" s="39">
        <v>25524</v>
      </c>
      <c r="ER62" s="39">
        <v>3263</v>
      </c>
      <c r="ES62" s="39">
        <v>13805</v>
      </c>
      <c r="ET62" s="1">
        <v>1416</v>
      </c>
      <c r="EU62" s="1">
        <v>0</v>
      </c>
      <c r="EV62" s="1">
        <v>0</v>
      </c>
      <c r="EW62" s="1">
        <v>7266</v>
      </c>
      <c r="EX62" s="1">
        <v>9106</v>
      </c>
      <c r="EY62" s="10">
        <v>109957</v>
      </c>
      <c r="EZ62" s="3">
        <v>80037</v>
      </c>
      <c r="FA62" s="3">
        <v>8236</v>
      </c>
      <c r="FB62" s="3">
        <v>26614</v>
      </c>
      <c r="FC62" s="201">
        <f t="shared" si="651"/>
        <v>21684</v>
      </c>
      <c r="FD62" s="174" t="s">
        <v>221</v>
      </c>
      <c r="FE62" s="175" t="s">
        <v>221</v>
      </c>
      <c r="FF62" s="175" t="s">
        <v>221</v>
      </c>
      <c r="FG62" s="175" t="s">
        <v>221</v>
      </c>
      <c r="FH62" s="174" t="s">
        <v>221</v>
      </c>
      <c r="FI62" s="175" t="s">
        <v>221</v>
      </c>
      <c r="FJ62" s="175" t="s">
        <v>221</v>
      </c>
      <c r="FK62" s="175" t="s">
        <v>221</v>
      </c>
      <c r="FL62" s="175" t="s">
        <v>221</v>
      </c>
      <c r="FM62" s="10">
        <v>474612</v>
      </c>
      <c r="FN62" s="3">
        <v>449581</v>
      </c>
      <c r="FO62" s="3">
        <v>13207</v>
      </c>
      <c r="FP62" s="3">
        <v>10022</v>
      </c>
      <c r="FQ62" s="3">
        <v>11824</v>
      </c>
      <c r="FR62" s="10">
        <v>541487</v>
      </c>
      <c r="FS62" s="3">
        <v>492690</v>
      </c>
      <c r="FT62" s="3">
        <v>17283</v>
      </c>
      <c r="FU62" s="3">
        <v>21560</v>
      </c>
      <c r="FV62" s="3">
        <v>31514</v>
      </c>
      <c r="FW62" s="127">
        <v>588344</v>
      </c>
      <c r="FX62" s="3">
        <v>505824</v>
      </c>
      <c r="FY62" s="3">
        <v>26453</v>
      </c>
      <c r="FZ62" s="3">
        <v>45351</v>
      </c>
      <c r="GA62" s="3">
        <v>36247</v>
      </c>
      <c r="GB62" s="10">
        <v>588200</v>
      </c>
      <c r="GC62" s="3">
        <v>519666</v>
      </c>
      <c r="GD62" s="3">
        <v>24144</v>
      </c>
      <c r="GE62" s="3">
        <v>44390</v>
      </c>
      <c r="GF62" s="3">
        <v>37041</v>
      </c>
      <c r="GG62" s="10">
        <v>598629</v>
      </c>
      <c r="GH62" s="40">
        <v>528229</v>
      </c>
      <c r="GI62" s="40">
        <v>25067</v>
      </c>
      <c r="GJ62" s="40">
        <v>45333</v>
      </c>
      <c r="GK62" s="40">
        <v>39170</v>
      </c>
      <c r="GL62" s="10">
        <v>595609</v>
      </c>
      <c r="GM62" s="3">
        <v>523015</v>
      </c>
      <c r="GN62" s="3">
        <v>26021</v>
      </c>
      <c r="GO62" s="3">
        <v>38690</v>
      </c>
      <c r="GP62" s="3">
        <v>38448</v>
      </c>
      <c r="GQ62" s="10">
        <v>600151.554</v>
      </c>
      <c r="GR62" s="3">
        <v>525700.24800000002</v>
      </c>
      <c r="GS62" s="3">
        <v>26369.01</v>
      </c>
      <c r="GT62" s="3">
        <v>40659.629999999997</v>
      </c>
      <c r="GU62" s="373">
        <f t="shared" si="652"/>
        <v>48082.295999999988</v>
      </c>
      <c r="GV62" s="3">
        <v>602883</v>
      </c>
      <c r="GW62" s="3">
        <v>508838</v>
      </c>
      <c r="GX62" s="3">
        <v>27924</v>
      </c>
      <c r="GY62" s="3">
        <v>41858</v>
      </c>
      <c r="GZ62" s="3">
        <v>46451</v>
      </c>
      <c r="HA62" s="3">
        <v>611912</v>
      </c>
      <c r="HB62" s="3">
        <v>512428</v>
      </c>
      <c r="HC62" s="3">
        <v>29343</v>
      </c>
      <c r="HD62" s="3">
        <v>45242</v>
      </c>
      <c r="HE62" s="3">
        <v>48417</v>
      </c>
      <c r="HF62" s="3">
        <v>622626</v>
      </c>
      <c r="HG62" s="3">
        <v>513841</v>
      </c>
      <c r="HH62" s="3">
        <v>32995</v>
      </c>
      <c r="HI62" s="3">
        <v>50665</v>
      </c>
      <c r="HJ62" s="3">
        <v>44677</v>
      </c>
      <c r="HK62" s="3">
        <v>640039</v>
      </c>
      <c r="HL62" s="3">
        <v>518861</v>
      </c>
      <c r="HM62" s="3">
        <v>33416</v>
      </c>
      <c r="HN62" s="3">
        <v>57241</v>
      </c>
      <c r="HO62" s="3">
        <v>54045</v>
      </c>
      <c r="HP62" s="10">
        <v>649862</v>
      </c>
      <c r="HQ62" s="3">
        <v>521988</v>
      </c>
      <c r="HR62" s="3">
        <v>35404</v>
      </c>
      <c r="HS62" s="3">
        <v>61152</v>
      </c>
      <c r="HT62" s="3">
        <v>54419</v>
      </c>
      <c r="HU62" s="394">
        <v>20628</v>
      </c>
      <c r="HV62" s="1">
        <v>0</v>
      </c>
      <c r="HW62" s="1">
        <v>0</v>
      </c>
      <c r="HX62" s="1">
        <v>11522</v>
      </c>
      <c r="HY62" s="1">
        <v>22269</v>
      </c>
      <c r="HZ62" s="10">
        <v>650677</v>
      </c>
      <c r="IA62" s="3">
        <v>516136</v>
      </c>
      <c r="IB62" s="3">
        <v>31528</v>
      </c>
      <c r="IC62" s="3">
        <v>68980</v>
      </c>
      <c r="ID62" s="3">
        <v>53896</v>
      </c>
      <c r="IE62" s="399">
        <v>660109</v>
      </c>
      <c r="IF62" s="5"/>
      <c r="IG62" s="5"/>
      <c r="IH62" s="5"/>
      <c r="II62" s="5"/>
      <c r="IJ62" s="399">
        <v>666745</v>
      </c>
      <c r="IK62" s="5">
        <v>521778</v>
      </c>
      <c r="IL62" s="5">
        <v>44815</v>
      </c>
      <c r="IM62" s="5">
        <v>69128</v>
      </c>
      <c r="IN62" s="5">
        <v>61932</v>
      </c>
      <c r="IO62" s="399">
        <v>689448</v>
      </c>
      <c r="IP62" s="5">
        <v>535555</v>
      </c>
      <c r="IQ62" s="5">
        <v>28667</v>
      </c>
      <c r="IR62" s="5">
        <v>75484</v>
      </c>
      <c r="IS62" s="5">
        <v>115493</v>
      </c>
      <c r="IT62" s="1">
        <v>20137</v>
      </c>
      <c r="IU62" s="1">
        <v>0</v>
      </c>
      <c r="IV62" s="1">
        <v>0</v>
      </c>
      <c r="IW62" s="1">
        <v>57254</v>
      </c>
      <c r="IX62" s="1">
        <v>38102</v>
      </c>
      <c r="IY62" s="380" t="s">
        <v>221</v>
      </c>
      <c r="IZ62" s="188" t="s">
        <v>221</v>
      </c>
      <c r="JA62" s="188" t="s">
        <v>221</v>
      </c>
      <c r="JB62" s="188" t="s">
        <v>221</v>
      </c>
      <c r="JC62" s="188" t="s">
        <v>221</v>
      </c>
      <c r="JD62" s="399">
        <v>140388</v>
      </c>
      <c r="JE62" s="5">
        <v>132358</v>
      </c>
      <c r="JF62" s="5">
        <v>4370</v>
      </c>
      <c r="JG62" s="5">
        <v>3262</v>
      </c>
      <c r="JH62" s="5">
        <v>3660</v>
      </c>
      <c r="JI62" s="399">
        <v>170756</v>
      </c>
      <c r="JJ62" s="5">
        <v>154490</v>
      </c>
      <c r="JK62" s="5">
        <v>6205</v>
      </c>
      <c r="JL62" s="5">
        <v>7387</v>
      </c>
      <c r="JM62" s="5">
        <v>10061</v>
      </c>
      <c r="JN62" s="5">
        <v>170528</v>
      </c>
      <c r="JO62" s="5">
        <v>145736</v>
      </c>
      <c r="JP62" s="5">
        <v>8387</v>
      </c>
      <c r="JQ62" s="5">
        <v>10330</v>
      </c>
      <c r="JR62" s="5">
        <v>12428</v>
      </c>
      <c r="JS62" s="399">
        <v>184085</v>
      </c>
      <c r="JT62" s="5">
        <v>159927</v>
      </c>
      <c r="JU62" s="5">
        <v>9160</v>
      </c>
      <c r="JV62" s="5">
        <v>14592</v>
      </c>
      <c r="JW62" s="5">
        <v>14998</v>
      </c>
      <c r="JX62" s="399">
        <v>188700.13400000002</v>
      </c>
      <c r="JY62" s="5">
        <v>162500.19200000001</v>
      </c>
      <c r="JZ62" s="5">
        <v>10935.18</v>
      </c>
      <c r="KA62" s="5">
        <v>15591.791999999999</v>
      </c>
      <c r="KB62" s="5">
        <v>15264.76200000001</v>
      </c>
      <c r="KC62" s="5">
        <v>189559</v>
      </c>
      <c r="KD62" s="5">
        <v>156252</v>
      </c>
      <c r="KE62" s="5">
        <v>12381</v>
      </c>
      <c r="KF62" s="5">
        <v>15107</v>
      </c>
      <c r="KG62" s="439">
        <v>14094</v>
      </c>
      <c r="KH62" s="439">
        <v>192272</v>
      </c>
      <c r="KI62" s="439">
        <v>156933</v>
      </c>
      <c r="KJ62" s="439">
        <v>12645</v>
      </c>
      <c r="KK62" s="439">
        <v>16409</v>
      </c>
      <c r="KL62" s="439">
        <v>15380</v>
      </c>
      <c r="KM62" s="439">
        <v>193366</v>
      </c>
      <c r="KN62" s="439">
        <v>155687</v>
      </c>
      <c r="KO62" s="439">
        <v>11958</v>
      </c>
      <c r="KP62" s="439">
        <v>18096</v>
      </c>
      <c r="KQ62" s="439">
        <v>13985</v>
      </c>
      <c r="KR62" s="439">
        <v>196926</v>
      </c>
      <c r="KS62" s="439">
        <v>156247</v>
      </c>
      <c r="KT62" s="439">
        <v>12884</v>
      </c>
      <c r="KU62" s="439">
        <v>21735</v>
      </c>
      <c r="KV62" s="439">
        <v>16964</v>
      </c>
      <c r="KW62" s="630">
        <v>195552</v>
      </c>
      <c r="KX62" s="439">
        <v>153015</v>
      </c>
      <c r="KY62" s="439">
        <v>14618</v>
      </c>
      <c r="KZ62" s="439">
        <v>19980</v>
      </c>
      <c r="LA62" s="439">
        <v>17271</v>
      </c>
      <c r="LB62" s="652">
        <v>183540</v>
      </c>
      <c r="LC62" s="653">
        <v>149897</v>
      </c>
      <c r="LD62" s="653">
        <v>8826</v>
      </c>
      <c r="LE62" s="653">
        <v>17435</v>
      </c>
      <c r="LF62" s="653">
        <v>13845</v>
      </c>
      <c r="LG62" s="652">
        <v>194842</v>
      </c>
      <c r="LH62" s="653"/>
      <c r="LI62" s="439"/>
      <c r="LJ62" s="439"/>
      <c r="LK62" s="439"/>
      <c r="LL62" s="652">
        <v>194188</v>
      </c>
      <c r="LM62" s="653">
        <v>147963</v>
      </c>
      <c r="LN62" s="653">
        <v>15919</v>
      </c>
      <c r="LO62" s="653">
        <v>23387</v>
      </c>
      <c r="LP62" s="653">
        <v>19177</v>
      </c>
      <c r="LQ62" s="652">
        <v>192691</v>
      </c>
      <c r="LR62" s="653">
        <v>146526</v>
      </c>
      <c r="LS62" s="653">
        <v>10255</v>
      </c>
      <c r="LT62" s="653">
        <v>24271</v>
      </c>
      <c r="LU62" s="653">
        <v>33089</v>
      </c>
      <c r="LV62" s="1">
        <v>3081</v>
      </c>
      <c r="LW62" s="1">
        <v>0</v>
      </c>
      <c r="LX62" s="1">
        <v>0</v>
      </c>
      <c r="LY62" s="1">
        <v>16556</v>
      </c>
      <c r="LZ62" s="1">
        <v>13452</v>
      </c>
      <c r="MA62" s="10">
        <v>41296</v>
      </c>
      <c r="MB62" s="3">
        <v>39126</v>
      </c>
      <c r="MC62" s="3">
        <v>1172</v>
      </c>
      <c r="MD62" s="3">
        <v>889</v>
      </c>
      <c r="ME62" s="3">
        <v>998</v>
      </c>
      <c r="MF62" s="10">
        <v>48495</v>
      </c>
      <c r="MG62" s="3">
        <v>44009</v>
      </c>
      <c r="MH62" s="3">
        <v>1688</v>
      </c>
      <c r="MI62" s="3">
        <v>1739</v>
      </c>
      <c r="MJ62" s="3">
        <v>2798</v>
      </c>
      <c r="MK62" s="3">
        <v>53303</v>
      </c>
      <c r="ML62" s="3">
        <v>45033</v>
      </c>
      <c r="MM62" s="3">
        <v>3055</v>
      </c>
      <c r="MN62" s="3">
        <v>3456</v>
      </c>
      <c r="MO62" s="3">
        <v>3773</v>
      </c>
      <c r="MP62" s="10">
        <v>55046</v>
      </c>
      <c r="MQ62" s="3">
        <v>49055</v>
      </c>
      <c r="MR62" s="3">
        <v>2685</v>
      </c>
      <c r="MS62" s="3">
        <v>3018</v>
      </c>
      <c r="MT62" s="3">
        <v>3306</v>
      </c>
      <c r="MU62" s="10"/>
      <c r="MV62" s="3"/>
      <c r="MW62" s="3"/>
      <c r="MX62" s="3"/>
      <c r="MY62" s="8"/>
      <c r="MZ62" s="3">
        <v>58548</v>
      </c>
      <c r="NA62" s="3">
        <v>50319</v>
      </c>
      <c r="NB62" s="3">
        <v>3445</v>
      </c>
      <c r="NC62" s="3">
        <v>3236</v>
      </c>
      <c r="ND62" s="3">
        <v>3450</v>
      </c>
      <c r="NE62" s="3">
        <v>60792</v>
      </c>
      <c r="NF62" s="3">
        <v>52015</v>
      </c>
      <c r="NG62" s="3">
        <v>3337</v>
      </c>
      <c r="NH62" s="3">
        <v>3650</v>
      </c>
      <c r="NI62" s="3">
        <v>3765</v>
      </c>
      <c r="NJ62" s="3">
        <v>59701</v>
      </c>
      <c r="NK62" s="3">
        <v>50809</v>
      </c>
      <c r="NL62" s="3">
        <v>1868</v>
      </c>
      <c r="NM62" s="3">
        <v>4338</v>
      </c>
      <c r="NN62" s="3">
        <v>18553</v>
      </c>
      <c r="NO62" s="3">
        <v>62153</v>
      </c>
      <c r="NP62" s="3">
        <v>50836</v>
      </c>
      <c r="NQ62" s="3">
        <v>2857</v>
      </c>
      <c r="NR62" s="3">
        <v>5922</v>
      </c>
      <c r="NS62" s="3">
        <v>5668</v>
      </c>
      <c r="NT62" s="3">
        <v>60183</v>
      </c>
      <c r="NU62" s="3">
        <v>48444</v>
      </c>
      <c r="NV62" s="3">
        <v>4455</v>
      </c>
      <c r="NW62" s="3">
        <v>4911</v>
      </c>
      <c r="NX62" s="3">
        <v>5138</v>
      </c>
      <c r="NY62" s="10">
        <v>58876</v>
      </c>
      <c r="NZ62" s="3">
        <v>48965</v>
      </c>
      <c r="OA62" s="3">
        <v>2081</v>
      </c>
      <c r="OB62" s="3">
        <v>4450</v>
      </c>
      <c r="OC62" s="3">
        <v>5142</v>
      </c>
      <c r="OD62" s="10">
        <v>61601</v>
      </c>
      <c r="OE62" s="3"/>
      <c r="OF62" s="3"/>
      <c r="OG62" s="3"/>
      <c r="OH62" s="3"/>
      <c r="OI62" s="10">
        <v>64204</v>
      </c>
      <c r="OJ62" s="3">
        <v>50307</v>
      </c>
      <c r="OK62" s="3">
        <v>4262</v>
      </c>
      <c r="OL62" s="3">
        <v>6953</v>
      </c>
      <c r="OM62" s="3">
        <v>5525</v>
      </c>
      <c r="ON62" s="10">
        <v>62195</v>
      </c>
      <c r="OO62" s="3">
        <v>48370</v>
      </c>
      <c r="OP62" s="3">
        <v>2860</v>
      </c>
      <c r="OQ62" s="3">
        <v>7145</v>
      </c>
      <c r="OR62" s="3">
        <v>2725</v>
      </c>
      <c r="OS62" s="1">
        <v>883</v>
      </c>
      <c r="OT62" s="1">
        <v>0</v>
      </c>
      <c r="OU62" s="1">
        <v>0</v>
      </c>
      <c r="OV62" s="1">
        <v>5436</v>
      </c>
      <c r="OW62" s="1">
        <v>2725</v>
      </c>
      <c r="OX62" s="402">
        <f t="shared" si="653"/>
        <v>140871</v>
      </c>
      <c r="OY62" s="382">
        <f t="shared" si="654"/>
        <v>124300</v>
      </c>
      <c r="OZ62" s="382">
        <f t="shared" si="655"/>
        <v>2867</v>
      </c>
      <c r="PA62" s="382">
        <f t="shared" si="656"/>
        <v>18098</v>
      </c>
      <c r="PB62" s="382">
        <f t="shared" si="657"/>
        <v>12068</v>
      </c>
      <c r="PC62" s="402">
        <f t="shared" si="658"/>
        <v>226312</v>
      </c>
      <c r="PD62" s="382">
        <f t="shared" si="659"/>
        <v>209074</v>
      </c>
      <c r="PE62" s="382">
        <f t="shared" si="660"/>
        <v>5754</v>
      </c>
      <c r="PF62" s="382">
        <f t="shared" si="661"/>
        <v>5412</v>
      </c>
      <c r="PG62" s="382">
        <f t="shared" si="662"/>
        <v>11484</v>
      </c>
      <c r="PH62" s="10">
        <v>226067</v>
      </c>
      <c r="PI62" s="3">
        <v>203878</v>
      </c>
      <c r="PJ62" s="3">
        <v>7990</v>
      </c>
      <c r="PK62" s="3">
        <v>9622</v>
      </c>
      <c r="PL62" s="3">
        <v>14199</v>
      </c>
      <c r="PM62" s="3">
        <v>262567</v>
      </c>
      <c r="PN62" s="3">
        <v>230064</v>
      </c>
      <c r="PO62" s="3">
        <v>9062</v>
      </c>
      <c r="PP62" s="3">
        <v>11776</v>
      </c>
      <c r="PQ62" s="3">
        <v>17786</v>
      </c>
      <c r="PR62" s="399"/>
      <c r="PS62" s="5"/>
      <c r="PT62" s="5"/>
      <c r="PU62" s="5"/>
      <c r="PV62" s="5"/>
      <c r="PW62" s="5">
        <v>278974</v>
      </c>
      <c r="PX62" s="5">
        <v>245360</v>
      </c>
      <c r="PY62" s="5">
        <v>9661</v>
      </c>
      <c r="PZ62" s="5">
        <v>10973</v>
      </c>
      <c r="QA62" s="408">
        <v>17505</v>
      </c>
      <c r="QB62" s="5">
        <v>287871</v>
      </c>
      <c r="QC62" s="5">
        <v>251414</v>
      </c>
      <c r="QD62" s="5">
        <v>10342</v>
      </c>
      <c r="QE62" s="5">
        <v>12334</v>
      </c>
      <c r="QF62" s="5">
        <v>18779</v>
      </c>
      <c r="QG62" s="5">
        <v>280595</v>
      </c>
      <c r="QH62" s="5">
        <v>243445</v>
      </c>
      <c r="QI62" s="5">
        <v>9911</v>
      </c>
      <c r="QJ62" s="5">
        <v>14522</v>
      </c>
      <c r="QK62" s="5">
        <v>18553</v>
      </c>
      <c r="QL62" s="399">
        <v>300971</v>
      </c>
      <c r="QM62" s="5">
        <v>254515</v>
      </c>
      <c r="QN62" s="5">
        <v>10558</v>
      </c>
      <c r="QO62" s="5">
        <v>17155</v>
      </c>
      <c r="QP62" s="5">
        <v>25505</v>
      </c>
      <c r="QQ62" s="399">
        <v>310448</v>
      </c>
      <c r="QR62" s="5">
        <v>263416</v>
      </c>
      <c r="QS62" s="5">
        <v>13142</v>
      </c>
      <c r="QT62" s="5">
        <v>16128</v>
      </c>
      <c r="QU62" s="5">
        <v>24553</v>
      </c>
      <c r="QV62" s="399">
        <v>305400</v>
      </c>
      <c r="QW62" s="5">
        <v>257418</v>
      </c>
      <c r="QX62" s="5">
        <v>10347</v>
      </c>
      <c r="QY62" s="5">
        <v>16291</v>
      </c>
      <c r="QZ62" s="5">
        <v>25423</v>
      </c>
      <c r="RA62" s="399">
        <v>316262</v>
      </c>
      <c r="RB62" s="5"/>
      <c r="RC62" s="5"/>
      <c r="RD62" s="5"/>
      <c r="RE62" s="5"/>
      <c r="RF62" s="5">
        <v>324479</v>
      </c>
      <c r="RG62" s="5">
        <v>267706</v>
      </c>
      <c r="RH62" s="5">
        <v>15760</v>
      </c>
      <c r="RI62" s="5">
        <v>20938</v>
      </c>
      <c r="RJ62" s="5">
        <v>28562</v>
      </c>
      <c r="RK62" s="5">
        <v>344521</v>
      </c>
      <c r="RL62" s="5">
        <v>284364</v>
      </c>
      <c r="RM62" s="5">
        <v>10689</v>
      </c>
      <c r="RN62" s="5">
        <v>23849</v>
      </c>
      <c r="RO62" s="5">
        <v>45305</v>
      </c>
      <c r="RP62" s="1">
        <v>11824</v>
      </c>
      <c r="RQ62" s="1">
        <v>0</v>
      </c>
      <c r="RR62" s="1">
        <v>0</v>
      </c>
      <c r="RS62" s="1">
        <v>21451</v>
      </c>
      <c r="RT62" s="1">
        <v>12030</v>
      </c>
      <c r="RU62" s="10">
        <v>88634</v>
      </c>
      <c r="RV62" s="3">
        <v>85174</v>
      </c>
      <c r="RW62" s="3">
        <v>1695</v>
      </c>
      <c r="RX62" s="3">
        <v>1194</v>
      </c>
      <c r="RY62" s="3">
        <v>1765</v>
      </c>
      <c r="RZ62" s="10">
        <v>110175</v>
      </c>
      <c r="SA62" s="3">
        <v>102440</v>
      </c>
      <c r="SB62" s="3">
        <v>2705</v>
      </c>
      <c r="SC62" s="3">
        <v>2131</v>
      </c>
      <c r="SD62" s="3">
        <v>5030</v>
      </c>
      <c r="SE62" s="10">
        <v>127311</v>
      </c>
      <c r="SF62" s="3">
        <v>112216</v>
      </c>
      <c r="SG62" s="3">
        <v>4083</v>
      </c>
      <c r="SH62" s="3">
        <v>6033</v>
      </c>
      <c r="SI62" s="3"/>
      <c r="SJ62" s="10">
        <v>131268</v>
      </c>
      <c r="SK62" s="3">
        <v>118834</v>
      </c>
      <c r="SL62" s="3">
        <v>4349</v>
      </c>
      <c r="SM62" s="3">
        <v>5596</v>
      </c>
      <c r="SN62" s="3">
        <v>8085</v>
      </c>
      <c r="SO62" s="10">
        <v>131948.21400000001</v>
      </c>
      <c r="SP62" s="3">
        <v>119449.76799999998</v>
      </c>
      <c r="SQ62" s="3">
        <v>4117.9949999999999</v>
      </c>
      <c r="SR62" s="3">
        <v>5443.6860000000006</v>
      </c>
      <c r="SS62" s="3">
        <v>8380.4510000000264</v>
      </c>
      <c r="ST62" s="10">
        <v>131976</v>
      </c>
      <c r="SU62" s="3">
        <v>116545</v>
      </c>
      <c r="SV62" s="3">
        <v>4164</v>
      </c>
      <c r="SW62" s="3">
        <v>5509</v>
      </c>
      <c r="SX62" s="3">
        <v>7897</v>
      </c>
      <c r="SY62" s="3">
        <v>137086</v>
      </c>
      <c r="SZ62" s="3">
        <v>119910</v>
      </c>
      <c r="TA62" s="3">
        <v>4454</v>
      </c>
      <c r="TB62" s="3">
        <v>6090</v>
      </c>
      <c r="TC62" s="3">
        <v>9165</v>
      </c>
      <c r="TD62" s="3">
        <v>131408</v>
      </c>
      <c r="TE62" s="3">
        <v>113841</v>
      </c>
      <c r="TF62" s="3">
        <v>4972</v>
      </c>
      <c r="TG62" s="3">
        <v>8024</v>
      </c>
      <c r="TH62" s="3">
        <v>8482</v>
      </c>
      <c r="TI62" s="3">
        <v>141131</v>
      </c>
      <c r="TJ62" s="3">
        <v>119324</v>
      </c>
      <c r="TK62" s="3">
        <v>5735</v>
      </c>
      <c r="TL62" s="3">
        <v>7737</v>
      </c>
      <c r="TM62" s="3">
        <v>11129</v>
      </c>
      <c r="TN62" s="3">
        <v>151195</v>
      </c>
      <c r="TO62" s="3">
        <v>129298</v>
      </c>
      <c r="TP62" s="3">
        <v>5193</v>
      </c>
      <c r="TQ62" s="3">
        <v>8399</v>
      </c>
      <c r="TR62" s="3">
        <v>11399</v>
      </c>
      <c r="TS62" s="10">
        <v>149699</v>
      </c>
      <c r="TT62" s="3">
        <v>127564</v>
      </c>
      <c r="TU62" s="3">
        <v>5693</v>
      </c>
      <c r="TV62" s="3">
        <v>7806</v>
      </c>
      <c r="TW62" s="3">
        <v>10380</v>
      </c>
      <c r="TX62" s="10">
        <v>147507</v>
      </c>
      <c r="TY62" s="3"/>
      <c r="TZ62" s="3"/>
      <c r="UA62" s="3"/>
      <c r="UB62" s="3"/>
      <c r="UC62" s="10">
        <v>156087</v>
      </c>
      <c r="UD62" s="3">
        <v>129062</v>
      </c>
      <c r="UE62" s="3">
        <v>6783</v>
      </c>
      <c r="UF62" s="3">
        <v>9733</v>
      </c>
      <c r="UG62" s="3">
        <v>14386</v>
      </c>
      <c r="UH62" s="10">
        <v>161594</v>
      </c>
      <c r="UI62" s="3">
        <v>136291</v>
      </c>
      <c r="UJ62" s="3">
        <v>4437</v>
      </c>
      <c r="UK62" s="3">
        <v>10668</v>
      </c>
      <c r="UL62" s="3">
        <v>19423</v>
      </c>
      <c r="UM62" s="1">
        <v>4506</v>
      </c>
      <c r="UN62" s="1">
        <v>0</v>
      </c>
      <c r="UO62" s="1">
        <v>0</v>
      </c>
      <c r="UP62" s="1">
        <v>9500</v>
      </c>
      <c r="UQ62" s="1">
        <v>9305</v>
      </c>
      <c r="UR62" s="588">
        <f t="shared" si="663"/>
        <v>32420</v>
      </c>
      <c r="US62" s="40">
        <v>19966</v>
      </c>
      <c r="UT62" s="40">
        <v>12454</v>
      </c>
      <c r="UU62" s="588">
        <f t="shared" si="664"/>
        <v>363</v>
      </c>
      <c r="UV62" s="40">
        <v>238</v>
      </c>
      <c r="UW62" s="40">
        <v>125</v>
      </c>
      <c r="UX62" s="10">
        <v>49003</v>
      </c>
      <c r="UY62" s="588">
        <f t="shared" si="665"/>
        <v>30109</v>
      </c>
      <c r="UZ62" s="588">
        <f t="shared" si="666"/>
        <v>18894</v>
      </c>
      <c r="VA62" s="588">
        <f t="shared" si="667"/>
        <v>48237</v>
      </c>
      <c r="VB62" s="40">
        <v>29641</v>
      </c>
      <c r="VC62" s="40">
        <v>18596</v>
      </c>
      <c r="VD62" s="588">
        <f t="shared" si="668"/>
        <v>389</v>
      </c>
      <c r="VE62" s="40">
        <v>215</v>
      </c>
      <c r="VF62" s="40">
        <v>174</v>
      </c>
      <c r="VG62" s="588">
        <f t="shared" si="669"/>
        <v>377</v>
      </c>
      <c r="VH62" s="40">
        <v>253</v>
      </c>
      <c r="VI62" s="40">
        <v>124</v>
      </c>
      <c r="VJ62" s="10">
        <v>88768</v>
      </c>
      <c r="VK62" s="588">
        <f t="shared" si="670"/>
        <v>52274</v>
      </c>
      <c r="VL62" s="588">
        <f t="shared" si="671"/>
        <v>36494</v>
      </c>
      <c r="VM62" s="240">
        <f t="shared" si="672"/>
        <v>85876</v>
      </c>
      <c r="VN62" s="40">
        <v>50479</v>
      </c>
      <c r="VO62" s="40">
        <v>35397</v>
      </c>
      <c r="VP62" s="40">
        <v>1795</v>
      </c>
      <c r="VQ62" s="40">
        <v>1097</v>
      </c>
      <c r="VR62" s="240">
        <f t="shared" si="673"/>
        <v>1044</v>
      </c>
      <c r="VS62" s="40">
        <v>580</v>
      </c>
      <c r="VT62" s="40">
        <v>464</v>
      </c>
      <c r="VU62" s="240">
        <f t="shared" si="674"/>
        <v>667</v>
      </c>
      <c r="VV62" s="40">
        <v>471</v>
      </c>
      <c r="VW62" s="40">
        <v>196</v>
      </c>
      <c r="VX62" s="233">
        <f t="shared" si="675"/>
        <v>1181</v>
      </c>
      <c r="VY62" s="233">
        <f t="shared" si="676"/>
        <v>744</v>
      </c>
      <c r="VZ62" s="233">
        <f t="shared" si="677"/>
        <v>437</v>
      </c>
      <c r="WA62" s="234">
        <f t="shared" si="678"/>
        <v>95</v>
      </c>
      <c r="WB62" s="234">
        <f t="shared" si="679"/>
        <v>37</v>
      </c>
      <c r="WC62" s="234">
        <f t="shared" si="680"/>
        <v>58</v>
      </c>
      <c r="WD62" s="40">
        <v>1086</v>
      </c>
      <c r="WE62" s="40">
        <v>707</v>
      </c>
      <c r="WF62" s="40">
        <v>379</v>
      </c>
      <c r="WG62" s="12">
        <f t="shared" si="681"/>
        <v>99575</v>
      </c>
      <c r="WH62" s="588">
        <f t="shared" si="682"/>
        <v>76182</v>
      </c>
      <c r="WI62" s="588">
        <f t="shared" si="683"/>
        <v>63978</v>
      </c>
      <c r="WJ62" s="11">
        <f t="shared" si="684"/>
        <v>85174</v>
      </c>
      <c r="WK62" s="90">
        <f t="shared" si="685"/>
        <v>132893</v>
      </c>
      <c r="WL62" s="40">
        <v>72117</v>
      </c>
      <c r="WM62" s="40">
        <v>60776</v>
      </c>
      <c r="WN62" s="40">
        <v>4065</v>
      </c>
      <c r="WO62" s="40">
        <v>3202</v>
      </c>
      <c r="WP62" s="11">
        <f t="shared" si="686"/>
        <v>1695</v>
      </c>
      <c r="WQ62" s="90">
        <f t="shared" si="687"/>
        <v>2442</v>
      </c>
      <c r="WR62" s="40">
        <v>1439</v>
      </c>
      <c r="WS62" s="40">
        <v>1003</v>
      </c>
      <c r="WT62" s="11">
        <f t="shared" si="688"/>
        <v>1915</v>
      </c>
      <c r="WU62" s="40">
        <v>1006</v>
      </c>
      <c r="WV62" s="40">
        <v>909</v>
      </c>
      <c r="WW62" s="11">
        <f t="shared" si="689"/>
        <v>11070</v>
      </c>
      <c r="WX62" s="257">
        <f t="shared" si="690"/>
        <v>1620</v>
      </c>
      <c r="WY62" s="235">
        <f t="shared" si="691"/>
        <v>1290</v>
      </c>
      <c r="WZ62" s="236">
        <f t="shared" si="692"/>
        <v>98</v>
      </c>
      <c r="XA62" s="236">
        <f t="shared" si="693"/>
        <v>63</v>
      </c>
      <c r="XB62" s="236">
        <f t="shared" si="694"/>
        <v>35</v>
      </c>
      <c r="XC62" s="589">
        <f t="shared" si="695"/>
        <v>2812</v>
      </c>
      <c r="XD62" s="589">
        <f t="shared" si="696"/>
        <v>1557</v>
      </c>
      <c r="XE62" s="589">
        <f t="shared" si="697"/>
        <v>1255</v>
      </c>
      <c r="XF62" s="40">
        <v>96</v>
      </c>
      <c r="XG62" s="40">
        <v>88</v>
      </c>
      <c r="XH62" s="40">
        <v>1461</v>
      </c>
      <c r="XI62" s="40">
        <v>1167</v>
      </c>
      <c r="XJ62" s="590">
        <v>177817</v>
      </c>
      <c r="XK62" s="40">
        <v>89775</v>
      </c>
      <c r="XL62" s="40">
        <v>88042</v>
      </c>
      <c r="XM62" s="5">
        <f t="shared" si="698"/>
        <v>165065</v>
      </c>
      <c r="XN62" s="5">
        <v>83061</v>
      </c>
      <c r="XO62" s="5">
        <v>82004</v>
      </c>
      <c r="XP62" s="84">
        <f t="shared" si="699"/>
        <v>163274</v>
      </c>
      <c r="XQ62" s="40">
        <v>82270</v>
      </c>
      <c r="XR62" s="40">
        <v>81004</v>
      </c>
      <c r="XS62" s="5">
        <f t="shared" si="700"/>
        <v>4066</v>
      </c>
      <c r="XT62" s="40">
        <v>2305</v>
      </c>
      <c r="XU62" s="40">
        <v>1761</v>
      </c>
      <c r="XV62" s="5">
        <f t="shared" si="701"/>
        <v>3673</v>
      </c>
      <c r="XW62" s="40">
        <v>1734</v>
      </c>
      <c r="XX62" s="40">
        <v>1939</v>
      </c>
      <c r="XY62" s="84">
        <f t="shared" si="702"/>
        <v>8686</v>
      </c>
      <c r="XZ62" s="84">
        <f t="shared" si="703"/>
        <v>4409</v>
      </c>
      <c r="YA62" s="84">
        <f t="shared" si="704"/>
        <v>4277</v>
      </c>
      <c r="YB62" s="587">
        <v>209264</v>
      </c>
      <c r="YC62" s="40">
        <v>185031</v>
      </c>
      <c r="YD62" s="40">
        <v>6007</v>
      </c>
      <c r="YE62" s="40">
        <v>8320</v>
      </c>
      <c r="YF62" s="5">
        <v>14013</v>
      </c>
      <c r="YG62" s="590">
        <v>211070</v>
      </c>
      <c r="YH62" s="3">
        <v>192076</v>
      </c>
      <c r="YI62" s="3">
        <v>6063</v>
      </c>
      <c r="YJ62" s="3">
        <v>12931</v>
      </c>
      <c r="YK62" s="3">
        <v>7922</v>
      </c>
      <c r="YL62" s="590">
        <v>214728</v>
      </c>
      <c r="YM62" s="3">
        <v>194895</v>
      </c>
      <c r="YN62" s="3">
        <v>6408</v>
      </c>
      <c r="YO62" s="3">
        <v>13425</v>
      </c>
      <c r="YP62" s="3">
        <v>7904</v>
      </c>
      <c r="YQ62" s="10">
        <v>215204</v>
      </c>
      <c r="YR62" s="3">
        <v>195026</v>
      </c>
      <c r="YS62" s="3">
        <v>6413</v>
      </c>
      <c r="YT62" s="3">
        <v>13765</v>
      </c>
      <c r="YU62" s="3">
        <v>7546</v>
      </c>
      <c r="YV62" s="10">
        <v>218494.89199999999</v>
      </c>
      <c r="YW62" s="3">
        <v>198274.48799999998</v>
      </c>
      <c r="YX62" s="3">
        <v>6228.9</v>
      </c>
      <c r="YY62" s="3">
        <v>7527.0720000000001</v>
      </c>
      <c r="YZ62" s="3">
        <v>13991.50400000001</v>
      </c>
      <c r="ZA62" s="3">
        <v>220426</v>
      </c>
      <c r="ZB62" s="3">
        <v>195041</v>
      </c>
      <c r="ZC62" s="3">
        <v>6216</v>
      </c>
      <c r="ZD62" s="3">
        <v>7737</v>
      </c>
      <c r="ZE62" s="1">
        <v>14055</v>
      </c>
      <c r="ZF62" s="1">
        <v>227079</v>
      </c>
      <c r="ZG62" s="1">
        <v>199399</v>
      </c>
      <c r="ZH62" s="1">
        <v>7005</v>
      </c>
      <c r="ZI62" s="1">
        <v>8684</v>
      </c>
      <c r="ZJ62" s="1">
        <v>15014</v>
      </c>
      <c r="ZK62" s="1">
        <v>220894</v>
      </c>
      <c r="ZL62" s="1">
        <v>192636</v>
      </c>
      <c r="ZM62" s="1">
        <v>8043</v>
      </c>
      <c r="ZN62" s="1">
        <v>10184</v>
      </c>
      <c r="ZO62" s="1">
        <v>14631</v>
      </c>
      <c r="ZP62" s="1">
        <v>238818</v>
      </c>
      <c r="ZQ62" s="1">
        <v>203679</v>
      </c>
      <c r="ZR62" s="1">
        <v>7701</v>
      </c>
      <c r="ZS62" s="1">
        <v>11233</v>
      </c>
      <c r="ZT62" s="1">
        <v>19837</v>
      </c>
      <c r="ZU62" s="1">
        <v>250265</v>
      </c>
      <c r="ZV62" s="1">
        <v>214972</v>
      </c>
      <c r="ZW62" s="1">
        <v>8687</v>
      </c>
      <c r="ZX62" s="1">
        <v>11217</v>
      </c>
      <c r="ZY62" s="1">
        <v>19415</v>
      </c>
      <c r="ZZ62" s="394">
        <v>11344</v>
      </c>
      <c r="AAA62" s="1">
        <v>0</v>
      </c>
      <c r="AAB62" s="1">
        <v>0</v>
      </c>
      <c r="AAC62" s="1">
        <v>3802</v>
      </c>
      <c r="AAD62" s="1">
        <v>4269</v>
      </c>
      <c r="AAE62" s="50">
        <v>246524</v>
      </c>
      <c r="AAF62" s="1">
        <v>208453</v>
      </c>
      <c r="AAG62" s="1">
        <v>8266</v>
      </c>
      <c r="AAH62" s="1">
        <v>11841</v>
      </c>
      <c r="AAI62" s="1">
        <v>20281</v>
      </c>
      <c r="AAJ62" s="50">
        <v>254661</v>
      </c>
      <c r="AAK62" s="1"/>
      <c r="AAL62" s="1"/>
      <c r="AAM62" s="1"/>
      <c r="AAN62" s="1"/>
      <c r="AAO62" s="68">
        <v>260275</v>
      </c>
      <c r="AAP62" s="37">
        <v>217399</v>
      </c>
      <c r="AAQ62" s="37">
        <v>11498</v>
      </c>
      <c r="AAR62" s="37">
        <v>13985</v>
      </c>
      <c r="AAS62" s="37">
        <v>23037</v>
      </c>
      <c r="AAT62" s="68">
        <v>282326</v>
      </c>
      <c r="AAU62" s="37">
        <v>235994</v>
      </c>
      <c r="AAV62" s="37">
        <v>7829</v>
      </c>
      <c r="AAW62" s="37">
        <v>16704</v>
      </c>
      <c r="AAX62" s="37">
        <v>36261</v>
      </c>
      <c r="AAY62" s="1">
        <v>10941</v>
      </c>
      <c r="AAZ62" s="1">
        <v>0</v>
      </c>
      <c r="ABA62" s="1">
        <v>0</v>
      </c>
      <c r="ABB62" s="1">
        <v>16015</v>
      </c>
      <c r="ABC62" s="1">
        <v>9305</v>
      </c>
      <c r="ABD62" s="10">
        <v>67642</v>
      </c>
      <c r="ABE62" s="3">
        <v>62625</v>
      </c>
      <c r="ABF62" s="3">
        <v>1361</v>
      </c>
      <c r="ABG62" s="3">
        <v>1542</v>
      </c>
      <c r="ABH62" s="3">
        <v>3656</v>
      </c>
      <c r="ABI62" s="10">
        <v>81953</v>
      </c>
      <c r="ABJ62" s="3">
        <v>72815</v>
      </c>
      <c r="ABK62" s="3">
        <v>1924</v>
      </c>
      <c r="ABL62" s="3">
        <v>2287</v>
      </c>
      <c r="ABM62" s="3">
        <v>5631</v>
      </c>
      <c r="ABN62" s="10">
        <v>83936</v>
      </c>
      <c r="ABO62" s="3">
        <v>76192</v>
      </c>
      <c r="ABP62" s="3">
        <v>2064</v>
      </c>
      <c r="ABQ62" s="3">
        <v>1950</v>
      </c>
      <c r="ABR62" s="3">
        <v>5680</v>
      </c>
      <c r="ABS62" s="10">
        <v>86546.678</v>
      </c>
      <c r="ABT62" s="3">
        <v>78824.72</v>
      </c>
      <c r="ABU62" s="3">
        <v>2110.9049999999997</v>
      </c>
      <c r="ABV62" s="3">
        <v>2083.386</v>
      </c>
      <c r="ABW62" s="8">
        <v>5611.052999999999</v>
      </c>
      <c r="ABX62" s="1">
        <v>88450</v>
      </c>
      <c r="ABY62" s="1">
        <v>78496</v>
      </c>
      <c r="ABZ62" s="1">
        <v>2052</v>
      </c>
      <c r="ACA62" s="1">
        <v>2228</v>
      </c>
      <c r="ACB62" s="49">
        <v>6158</v>
      </c>
      <c r="ACC62" s="1">
        <v>89993</v>
      </c>
      <c r="ACD62" s="1">
        <v>79489</v>
      </c>
      <c r="ACE62" s="1">
        <v>2551</v>
      </c>
      <c r="ACF62" s="1">
        <v>2594</v>
      </c>
      <c r="ACG62" s="1">
        <v>5849</v>
      </c>
      <c r="ACH62" s="1">
        <v>89486</v>
      </c>
      <c r="ACI62" s="1">
        <v>78795</v>
      </c>
      <c r="ACJ62" s="1">
        <v>3071</v>
      </c>
      <c r="ACK62" s="1">
        <v>2160</v>
      </c>
      <c r="ACL62" s="1">
        <v>6149</v>
      </c>
      <c r="ACM62" s="1">
        <v>97687</v>
      </c>
      <c r="ACN62" s="1">
        <v>84355</v>
      </c>
      <c r="ACO62" s="1">
        <v>1966</v>
      </c>
      <c r="ACP62" s="1">
        <v>3496</v>
      </c>
      <c r="ACQ62" s="1">
        <v>8708</v>
      </c>
      <c r="ACR62" s="1">
        <v>99070</v>
      </c>
      <c r="ACS62" s="1">
        <v>85674</v>
      </c>
      <c r="ACT62" s="1">
        <v>3494</v>
      </c>
      <c r="ACU62" s="1">
        <v>2818</v>
      </c>
      <c r="ACV62" s="1">
        <v>8016</v>
      </c>
      <c r="ADB62" s="50">
        <v>96825</v>
      </c>
      <c r="ADC62" s="1">
        <v>80889</v>
      </c>
      <c r="ADD62" s="1">
        <v>2573</v>
      </c>
      <c r="ADE62" s="1">
        <v>4035</v>
      </c>
      <c r="ADF62" s="1">
        <v>9901</v>
      </c>
      <c r="ADG62" s="50">
        <v>107154</v>
      </c>
      <c r="ADL62" s="50">
        <v>104188</v>
      </c>
      <c r="ADM62" s="1">
        <v>88337</v>
      </c>
      <c r="ADN62" s="1">
        <v>4715</v>
      </c>
      <c r="ADO62" s="1">
        <v>4252</v>
      </c>
      <c r="ADP62" s="1">
        <v>8651</v>
      </c>
      <c r="ADQ62" s="50">
        <v>120732</v>
      </c>
      <c r="ADR62" s="1">
        <v>99703</v>
      </c>
      <c r="ADS62" s="1">
        <v>3392</v>
      </c>
      <c r="ADT62" s="1">
        <v>6036</v>
      </c>
      <c r="ADU62" s="1">
        <v>16838</v>
      </c>
      <c r="ADV62" s="1">
        <v>6435</v>
      </c>
      <c r="ADW62" s="1">
        <v>0</v>
      </c>
      <c r="ADX62" s="1">
        <v>0</v>
      </c>
      <c r="ADY62" s="1">
        <v>6515</v>
      </c>
      <c r="ADZ62" s="1">
        <v>3888</v>
      </c>
    </row>
    <row r="63" spans="1:806" ht="12.75" customHeight="1">
      <c r="A63" s="38" t="s">
        <v>60</v>
      </c>
      <c r="B63" s="175" t="s">
        <v>221</v>
      </c>
      <c r="C63" s="175" t="s">
        <v>221</v>
      </c>
      <c r="D63" s="175" t="s">
        <v>221</v>
      </c>
      <c r="E63" s="175" t="s">
        <v>221</v>
      </c>
      <c r="F63" s="175" t="s">
        <v>221</v>
      </c>
      <c r="G63" s="10">
        <v>30945</v>
      </c>
      <c r="H63" s="3">
        <v>30631</v>
      </c>
      <c r="I63" s="3">
        <v>36</v>
      </c>
      <c r="J63" s="3">
        <v>131</v>
      </c>
      <c r="K63" s="3">
        <v>278</v>
      </c>
      <c r="L63" s="10">
        <v>20769</v>
      </c>
      <c r="M63" s="3">
        <v>19878</v>
      </c>
      <c r="N63" s="3">
        <v>66</v>
      </c>
      <c r="O63" s="3">
        <v>144</v>
      </c>
      <c r="P63" s="3">
        <v>825</v>
      </c>
      <c r="Q63" s="3">
        <v>15894</v>
      </c>
      <c r="R63" s="3">
        <v>14841</v>
      </c>
      <c r="S63" s="3">
        <v>75</v>
      </c>
      <c r="T63" s="3">
        <v>263</v>
      </c>
      <c r="U63" s="8">
        <v>715</v>
      </c>
      <c r="V63" s="399">
        <v>13447</v>
      </c>
      <c r="W63" s="5">
        <v>12330</v>
      </c>
      <c r="X63" s="5">
        <v>126</v>
      </c>
      <c r="Y63" s="5">
        <v>269</v>
      </c>
      <c r="Z63" s="5">
        <v>991</v>
      </c>
      <c r="AA63" s="5">
        <v>12444</v>
      </c>
      <c r="AB63" s="5">
        <v>11017</v>
      </c>
      <c r="AC63" s="5">
        <v>157</v>
      </c>
      <c r="AD63" s="5">
        <v>242</v>
      </c>
      <c r="AE63" s="5">
        <v>1186</v>
      </c>
      <c r="AF63" s="399">
        <v>12828</v>
      </c>
      <c r="AG63" s="5">
        <v>11059</v>
      </c>
      <c r="AH63" s="5">
        <v>320</v>
      </c>
      <c r="AI63" s="5">
        <v>325</v>
      </c>
      <c r="AJ63" s="318">
        <v>4725</v>
      </c>
      <c r="AK63" s="490">
        <v>12156</v>
      </c>
      <c r="AL63" s="490">
        <v>9931</v>
      </c>
      <c r="AM63" s="685">
        <v>311</v>
      </c>
      <c r="AN63" s="685">
        <v>421</v>
      </c>
      <c r="AO63" s="490">
        <v>1473</v>
      </c>
      <c r="AP63" s="394">
        <v>12303</v>
      </c>
      <c r="AQ63" s="394">
        <v>10743</v>
      </c>
      <c r="AR63" s="394">
        <v>149</v>
      </c>
      <c r="AS63" s="394">
        <v>143</v>
      </c>
      <c r="AT63" s="394">
        <v>1055</v>
      </c>
      <c r="AU63" s="393">
        <v>11087</v>
      </c>
      <c r="AV63" s="394">
        <v>9802</v>
      </c>
      <c r="AW63" s="394">
        <v>0</v>
      </c>
      <c r="AX63" s="394">
        <v>266</v>
      </c>
      <c r="AY63" s="394">
        <v>958</v>
      </c>
      <c r="AZ63" s="1">
        <v>790</v>
      </c>
      <c r="BA63" s="1">
        <v>0</v>
      </c>
      <c r="BB63" s="1">
        <v>0</v>
      </c>
      <c r="BC63" s="1">
        <v>168</v>
      </c>
      <c r="BE63" s="393">
        <v>9646</v>
      </c>
      <c r="BF63" s="394">
        <v>7523</v>
      </c>
      <c r="BG63" s="394">
        <v>0</v>
      </c>
      <c r="BH63" s="394">
        <v>430</v>
      </c>
      <c r="BI63" s="394">
        <v>1383</v>
      </c>
      <c r="BJ63" s="393">
        <v>8286</v>
      </c>
      <c r="BK63" s="394"/>
      <c r="BL63" s="394"/>
      <c r="BM63" s="394"/>
      <c r="BN63" s="394"/>
      <c r="BO63" s="393">
        <v>9568</v>
      </c>
      <c r="BP63" s="394">
        <v>7430</v>
      </c>
      <c r="BQ63" s="394">
        <v>386</v>
      </c>
      <c r="BR63" s="394">
        <v>0</v>
      </c>
      <c r="BS63" s="394">
        <v>736</v>
      </c>
      <c r="BT63" s="393">
        <v>7766</v>
      </c>
      <c r="BU63" s="394">
        <v>6910</v>
      </c>
      <c r="BV63" s="394">
        <v>271</v>
      </c>
      <c r="BW63" s="394">
        <v>128</v>
      </c>
      <c r="BX63" s="394">
        <v>362</v>
      </c>
      <c r="BY63" s="1">
        <v>0</v>
      </c>
      <c r="BZ63" s="1">
        <v>0</v>
      </c>
      <c r="CA63" s="1">
        <v>153</v>
      </c>
      <c r="CB63" s="1">
        <v>0</v>
      </c>
      <c r="CC63" s="10">
        <v>37692</v>
      </c>
      <c r="CD63" s="3">
        <v>37261</v>
      </c>
      <c r="CE63" s="3">
        <v>96</v>
      </c>
      <c r="CF63" s="3">
        <v>128</v>
      </c>
      <c r="CG63" s="3">
        <v>335</v>
      </c>
      <c r="CH63" s="10">
        <v>34127</v>
      </c>
      <c r="CI63" s="3">
        <v>33005</v>
      </c>
      <c r="CJ63" s="3">
        <v>136</v>
      </c>
      <c r="CK63" s="3">
        <v>226</v>
      </c>
      <c r="CL63" s="3">
        <v>986</v>
      </c>
      <c r="CM63" s="1">
        <v>28025</v>
      </c>
      <c r="CN63" s="3">
        <v>26959</v>
      </c>
      <c r="CO63" s="3">
        <v>109</v>
      </c>
      <c r="CP63" s="3">
        <v>136</v>
      </c>
      <c r="CQ63" s="8">
        <v>821</v>
      </c>
      <c r="CR63" s="3">
        <v>25441</v>
      </c>
      <c r="CS63" s="3">
        <v>24365</v>
      </c>
      <c r="CT63" s="3">
        <v>257</v>
      </c>
      <c r="CU63" s="3">
        <v>123</v>
      </c>
      <c r="CV63" s="3">
        <v>819</v>
      </c>
      <c r="CW63" s="3">
        <v>24539</v>
      </c>
      <c r="CX63" s="3">
        <v>23305</v>
      </c>
      <c r="CY63" s="3">
        <v>240</v>
      </c>
      <c r="CZ63" s="3">
        <v>206</v>
      </c>
      <c r="DA63" s="3">
        <v>884</v>
      </c>
      <c r="DB63" s="3">
        <v>23584</v>
      </c>
      <c r="DC63" s="3">
        <v>22240</v>
      </c>
      <c r="DD63" s="3">
        <v>234</v>
      </c>
      <c r="DE63" s="3">
        <v>293</v>
      </c>
      <c r="DF63" s="39">
        <v>2949</v>
      </c>
      <c r="DG63" s="39">
        <v>22891</v>
      </c>
      <c r="DH63" s="39">
        <v>20364</v>
      </c>
      <c r="DI63" s="39">
        <v>484</v>
      </c>
      <c r="DJ63" s="39">
        <v>326</v>
      </c>
      <c r="DK63" s="39">
        <v>1500</v>
      </c>
      <c r="DL63" s="39">
        <v>24166</v>
      </c>
      <c r="DM63" s="39">
        <v>20880</v>
      </c>
      <c r="DN63" s="39">
        <v>235</v>
      </c>
      <c r="DO63" s="39">
        <v>590</v>
      </c>
      <c r="DP63" s="39">
        <v>2315</v>
      </c>
      <c r="DQ63" s="39">
        <v>23483</v>
      </c>
      <c r="DR63" s="39">
        <v>21845</v>
      </c>
      <c r="DS63" s="39">
        <v>0</v>
      </c>
      <c r="DT63" s="39">
        <v>521</v>
      </c>
      <c r="DU63" s="39">
        <v>513</v>
      </c>
      <c r="DV63" s="118">
        <v>22774</v>
      </c>
      <c r="DW63" s="39">
        <v>20681</v>
      </c>
      <c r="DX63" s="39">
        <v>0</v>
      </c>
      <c r="DY63" s="39">
        <v>392</v>
      </c>
      <c r="DZ63" s="39">
        <v>1241</v>
      </c>
      <c r="EA63" s="118">
        <v>20617</v>
      </c>
      <c r="EB63" s="39"/>
      <c r="EC63" s="39"/>
      <c r="ED63" s="39"/>
      <c r="EE63" s="39"/>
      <c r="EF63" s="118">
        <v>21290</v>
      </c>
      <c r="EG63" s="39">
        <v>18423</v>
      </c>
      <c r="EH63" s="39">
        <v>596</v>
      </c>
      <c r="EI63" s="39">
        <v>642</v>
      </c>
      <c r="EJ63" s="39">
        <v>1109</v>
      </c>
      <c r="EK63" s="118">
        <v>21290</v>
      </c>
      <c r="EL63" s="39">
        <v>18423</v>
      </c>
      <c r="EM63" s="39">
        <v>596</v>
      </c>
      <c r="EN63" s="39">
        <v>642</v>
      </c>
      <c r="EO63" s="39">
        <v>1109</v>
      </c>
      <c r="EP63" s="118">
        <v>17461</v>
      </c>
      <c r="EQ63" s="39">
        <v>15318</v>
      </c>
      <c r="ER63" s="39">
        <v>336</v>
      </c>
      <c r="ES63" s="39">
        <v>329</v>
      </c>
      <c r="ET63" s="1">
        <v>848</v>
      </c>
      <c r="EU63" s="1">
        <v>0</v>
      </c>
      <c r="EV63" s="1">
        <v>0</v>
      </c>
      <c r="EW63" s="1">
        <v>670</v>
      </c>
      <c r="EX63" s="1">
        <v>0</v>
      </c>
      <c r="EY63" s="10">
        <v>37571</v>
      </c>
      <c r="EZ63" s="3">
        <v>35030</v>
      </c>
      <c r="FA63" s="3"/>
      <c r="FB63" s="3"/>
      <c r="FC63" s="201">
        <f t="shared" si="651"/>
        <v>2541</v>
      </c>
      <c r="FD63" s="174" t="s">
        <v>221</v>
      </c>
      <c r="FE63" s="175" t="s">
        <v>221</v>
      </c>
      <c r="FF63" s="175" t="s">
        <v>221</v>
      </c>
      <c r="FG63" s="175" t="s">
        <v>221</v>
      </c>
      <c r="FH63" s="174" t="s">
        <v>221</v>
      </c>
      <c r="FI63" s="175" t="s">
        <v>221</v>
      </c>
      <c r="FJ63" s="175" t="s">
        <v>221</v>
      </c>
      <c r="FK63" s="175" t="s">
        <v>221</v>
      </c>
      <c r="FL63" s="175" t="s">
        <v>221</v>
      </c>
      <c r="FM63" s="10">
        <v>288608</v>
      </c>
      <c r="FN63" s="3">
        <v>285579</v>
      </c>
      <c r="FO63" s="3">
        <v>805</v>
      </c>
      <c r="FP63" s="3">
        <v>1598</v>
      </c>
      <c r="FQ63" s="3">
        <v>2224</v>
      </c>
      <c r="FR63" s="10">
        <v>349327</v>
      </c>
      <c r="FS63" s="3">
        <v>341304</v>
      </c>
      <c r="FT63" s="3">
        <v>1073</v>
      </c>
      <c r="FU63" s="3">
        <v>2202</v>
      </c>
      <c r="FV63" s="3">
        <v>6950</v>
      </c>
      <c r="FW63" s="127">
        <v>380913</v>
      </c>
      <c r="FX63" s="3">
        <v>367939</v>
      </c>
      <c r="FY63" s="3">
        <v>1614</v>
      </c>
      <c r="FZ63" s="3">
        <v>4048</v>
      </c>
      <c r="GA63" s="3">
        <v>3912</v>
      </c>
      <c r="GB63" s="10">
        <v>386361</v>
      </c>
      <c r="GC63" s="3">
        <v>375587</v>
      </c>
      <c r="GD63" s="3">
        <v>2058</v>
      </c>
      <c r="GE63" s="3">
        <v>8716</v>
      </c>
      <c r="GF63" s="3">
        <v>4117</v>
      </c>
      <c r="GG63" s="10">
        <v>383747</v>
      </c>
      <c r="GH63" s="40">
        <v>372931</v>
      </c>
      <c r="GI63" s="40">
        <v>2060</v>
      </c>
      <c r="GJ63" s="40">
        <v>8756</v>
      </c>
      <c r="GK63" s="40">
        <v>4432</v>
      </c>
      <c r="GL63" s="10">
        <v>390122</v>
      </c>
      <c r="GM63" s="3">
        <v>378158</v>
      </c>
      <c r="GN63" s="3">
        <v>2431</v>
      </c>
      <c r="GO63" s="3">
        <v>4447</v>
      </c>
      <c r="GP63" s="3">
        <v>4358</v>
      </c>
      <c r="GQ63" s="10">
        <v>394279.05000000005</v>
      </c>
      <c r="GR63" s="3">
        <v>381993.984</v>
      </c>
      <c r="GS63" s="3"/>
      <c r="GT63" s="3"/>
      <c r="GU63" s="373">
        <f t="shared" si="652"/>
        <v>12285.06600000005</v>
      </c>
      <c r="GV63" s="3">
        <v>396852</v>
      </c>
      <c r="GW63" s="3">
        <v>380675</v>
      </c>
      <c r="GX63" s="3">
        <v>2502</v>
      </c>
      <c r="GY63" s="3">
        <v>4222</v>
      </c>
      <c r="GZ63" s="3">
        <v>10016</v>
      </c>
      <c r="HA63" s="3">
        <v>398732</v>
      </c>
      <c r="HB63" s="3">
        <v>382237</v>
      </c>
      <c r="HC63" s="3">
        <v>2658</v>
      </c>
      <c r="HD63" s="3">
        <v>4622</v>
      </c>
      <c r="HE63" s="3">
        <v>19148</v>
      </c>
      <c r="HF63" s="3">
        <v>403232</v>
      </c>
      <c r="HG63" s="3">
        <v>384364</v>
      </c>
      <c r="HH63" s="3">
        <v>2372</v>
      </c>
      <c r="HI63" s="3">
        <v>4794</v>
      </c>
      <c r="HJ63" s="3">
        <v>9683</v>
      </c>
      <c r="HK63" s="3">
        <v>402185</v>
      </c>
      <c r="HL63" s="3">
        <v>384401</v>
      </c>
      <c r="HM63" s="3">
        <v>3622</v>
      </c>
      <c r="HN63" s="3">
        <v>4809</v>
      </c>
      <c r="HO63" s="3">
        <v>3771</v>
      </c>
      <c r="HP63" s="10">
        <v>404993</v>
      </c>
      <c r="HQ63" s="3">
        <v>383557</v>
      </c>
      <c r="HR63" s="3">
        <v>0</v>
      </c>
      <c r="HS63" s="3">
        <v>5482</v>
      </c>
      <c r="HT63" s="3">
        <v>5141</v>
      </c>
      <c r="HU63" s="394">
        <v>5141</v>
      </c>
      <c r="HV63" s="1">
        <v>0</v>
      </c>
      <c r="HW63" s="1">
        <v>0</v>
      </c>
      <c r="HX63" s="1">
        <v>0</v>
      </c>
      <c r="HZ63" s="10">
        <v>406847</v>
      </c>
      <c r="IA63" s="3">
        <v>387594</v>
      </c>
      <c r="IB63" s="3">
        <v>0</v>
      </c>
      <c r="IC63" s="3">
        <v>4819</v>
      </c>
      <c r="ID63" s="3">
        <v>10017</v>
      </c>
      <c r="IE63" s="399">
        <v>416921</v>
      </c>
      <c r="IF63" s="5"/>
      <c r="IG63" s="5"/>
      <c r="IH63" s="5"/>
      <c r="II63" s="5"/>
      <c r="IJ63" s="399">
        <v>414700</v>
      </c>
      <c r="IK63" s="5">
        <v>392894</v>
      </c>
      <c r="IL63" s="5">
        <v>4774</v>
      </c>
      <c r="IM63" s="5">
        <v>4996</v>
      </c>
      <c r="IN63" s="5">
        <v>5757</v>
      </c>
      <c r="IO63" s="399">
        <v>437478</v>
      </c>
      <c r="IP63" s="5">
        <v>405276</v>
      </c>
      <c r="IQ63" s="5">
        <v>3113</v>
      </c>
      <c r="IR63" s="5">
        <v>8116</v>
      </c>
      <c r="IS63" s="5">
        <v>23488</v>
      </c>
      <c r="IT63" s="1">
        <v>6134</v>
      </c>
      <c r="IU63" s="1">
        <v>0</v>
      </c>
      <c r="IV63" s="1">
        <v>0</v>
      </c>
      <c r="IW63" s="1">
        <v>17354</v>
      </c>
      <c r="IY63" s="380" t="s">
        <v>221</v>
      </c>
      <c r="IZ63" s="188" t="s">
        <v>221</v>
      </c>
      <c r="JA63" s="188" t="s">
        <v>221</v>
      </c>
      <c r="JB63" s="188" t="s">
        <v>221</v>
      </c>
      <c r="JC63" s="188" t="s">
        <v>221</v>
      </c>
      <c r="JD63" s="399">
        <v>78324</v>
      </c>
      <c r="JE63" s="5">
        <v>77486</v>
      </c>
      <c r="JF63" s="5">
        <v>286</v>
      </c>
      <c r="JG63" s="5">
        <v>441</v>
      </c>
      <c r="JH63" s="5">
        <v>552</v>
      </c>
      <c r="JI63" s="399">
        <v>99498</v>
      </c>
      <c r="JJ63" s="5">
        <v>96988</v>
      </c>
      <c r="JK63" s="5">
        <v>389</v>
      </c>
      <c r="JL63" s="5">
        <v>678</v>
      </c>
      <c r="JM63" s="5">
        <v>2121</v>
      </c>
      <c r="JN63" s="5">
        <v>104438</v>
      </c>
      <c r="JO63" s="5">
        <v>101062</v>
      </c>
      <c r="JP63" s="5">
        <v>669</v>
      </c>
      <c r="JQ63" s="5">
        <v>1144</v>
      </c>
      <c r="JR63" s="5">
        <v>1620</v>
      </c>
      <c r="JS63" s="399">
        <v>110335</v>
      </c>
      <c r="JT63" s="5">
        <v>106267</v>
      </c>
      <c r="JU63" s="5">
        <v>913</v>
      </c>
      <c r="JV63" s="5">
        <v>1375</v>
      </c>
      <c r="JW63" s="5">
        <v>3155</v>
      </c>
      <c r="JX63" s="399">
        <v>112712.85</v>
      </c>
      <c r="JY63" s="5">
        <v>108843.26400000001</v>
      </c>
      <c r="JZ63" s="5"/>
      <c r="KA63" s="5"/>
      <c r="KB63" s="5">
        <v>3869.5859999999957</v>
      </c>
      <c r="KC63" s="5">
        <v>112405</v>
      </c>
      <c r="KD63" s="5">
        <v>107418</v>
      </c>
      <c r="KE63" s="5">
        <v>849</v>
      </c>
      <c r="KF63" s="5">
        <v>1287</v>
      </c>
      <c r="KG63" s="631">
        <v>3036</v>
      </c>
      <c r="KH63" s="632">
        <v>111496</v>
      </c>
      <c r="KI63" s="439">
        <v>106346</v>
      </c>
      <c r="KJ63" s="439">
        <v>918</v>
      </c>
      <c r="KK63" s="439">
        <v>1537</v>
      </c>
      <c r="KL63" s="1">
        <v>5243</v>
      </c>
      <c r="KM63" s="1">
        <v>115979</v>
      </c>
      <c r="KN63" s="1">
        <v>109402</v>
      </c>
      <c r="KO63" s="1">
        <v>726</v>
      </c>
      <c r="KP63" s="1">
        <v>2159</v>
      </c>
      <c r="KQ63" s="1">
        <v>2953</v>
      </c>
      <c r="KR63" s="1">
        <v>112986</v>
      </c>
      <c r="KS63" s="1">
        <v>106980</v>
      </c>
      <c r="KT63" s="1">
        <v>1535</v>
      </c>
      <c r="KU63" s="1">
        <v>1543</v>
      </c>
      <c r="KV63" s="1">
        <v>2419</v>
      </c>
      <c r="KW63" s="24">
        <v>116371</v>
      </c>
      <c r="KX63" s="1">
        <v>108962</v>
      </c>
      <c r="KY63" s="1">
        <v>0</v>
      </c>
      <c r="KZ63" s="1">
        <v>1930</v>
      </c>
      <c r="LA63" s="1">
        <v>3095</v>
      </c>
      <c r="LB63" s="266">
        <v>111255</v>
      </c>
      <c r="LC63" s="37">
        <v>105700</v>
      </c>
      <c r="LD63" s="37">
        <v>0</v>
      </c>
      <c r="LE63" s="37">
        <v>1645</v>
      </c>
      <c r="LF63" s="37">
        <v>2429</v>
      </c>
      <c r="LG63" s="266">
        <v>116983</v>
      </c>
      <c r="LL63" s="68">
        <v>113174</v>
      </c>
      <c r="LM63" s="37">
        <v>106890</v>
      </c>
      <c r="LN63" s="37">
        <v>1616</v>
      </c>
      <c r="LO63" s="37">
        <v>2098</v>
      </c>
      <c r="LP63" s="37">
        <v>1346</v>
      </c>
      <c r="LQ63" s="68">
        <v>110698</v>
      </c>
      <c r="LR63" s="37">
        <v>102034</v>
      </c>
      <c r="LS63" s="37">
        <v>734</v>
      </c>
      <c r="LT63" s="37">
        <v>2105</v>
      </c>
      <c r="LU63" s="37">
        <v>5896</v>
      </c>
      <c r="LV63" s="1">
        <v>731</v>
      </c>
      <c r="LW63" s="1">
        <v>0</v>
      </c>
      <c r="LX63" s="1">
        <v>0</v>
      </c>
      <c r="LY63" s="1">
        <v>5165</v>
      </c>
      <c r="LZ63" s="1">
        <v>0</v>
      </c>
      <c r="MA63" s="10">
        <v>25730</v>
      </c>
      <c r="MB63" s="3">
        <v>25532</v>
      </c>
      <c r="MC63" s="3">
        <v>76</v>
      </c>
      <c r="MD63" s="3">
        <v>151</v>
      </c>
      <c r="ME63" s="3">
        <v>122</v>
      </c>
      <c r="MF63" s="10">
        <v>31058</v>
      </c>
      <c r="MG63" s="3">
        <v>30411</v>
      </c>
      <c r="MH63" s="3">
        <v>115</v>
      </c>
      <c r="MI63" s="3">
        <v>196</v>
      </c>
      <c r="MJ63" s="3">
        <v>532</v>
      </c>
      <c r="MK63" s="3">
        <v>35364</v>
      </c>
      <c r="ML63" s="3">
        <v>34418</v>
      </c>
      <c r="MM63" s="3">
        <v>158</v>
      </c>
      <c r="MN63" s="3">
        <v>277</v>
      </c>
      <c r="MO63" s="3">
        <v>572</v>
      </c>
      <c r="MP63" s="10">
        <v>36017</v>
      </c>
      <c r="MQ63" s="3">
        <v>35076</v>
      </c>
      <c r="MR63" s="3">
        <v>108</v>
      </c>
      <c r="MS63" s="3">
        <v>365</v>
      </c>
      <c r="MT63" s="3">
        <v>833</v>
      </c>
      <c r="MU63" s="10"/>
      <c r="MV63" s="3"/>
      <c r="MW63" s="3"/>
      <c r="MX63" s="3"/>
      <c r="MY63" s="8"/>
      <c r="MZ63" s="3">
        <v>37574</v>
      </c>
      <c r="NA63" s="3">
        <v>36140</v>
      </c>
      <c r="NB63" s="3">
        <v>201</v>
      </c>
      <c r="NC63" s="3">
        <v>359</v>
      </c>
      <c r="ND63" s="3">
        <v>972</v>
      </c>
      <c r="NE63" s="3">
        <v>37455</v>
      </c>
      <c r="NF63" s="3">
        <v>35741</v>
      </c>
      <c r="NG63" s="3">
        <v>343</v>
      </c>
      <c r="NH63" s="3">
        <v>526</v>
      </c>
      <c r="NI63" s="3">
        <v>1416</v>
      </c>
      <c r="NJ63" s="3">
        <v>34024</v>
      </c>
      <c r="NK63" s="3">
        <v>32769</v>
      </c>
      <c r="NL63" s="3">
        <v>217</v>
      </c>
      <c r="NM63" s="3">
        <v>234</v>
      </c>
      <c r="NN63" s="3">
        <v>4358</v>
      </c>
      <c r="NO63" s="3">
        <v>37916</v>
      </c>
      <c r="NP63" s="3">
        <v>36130</v>
      </c>
      <c r="NQ63" s="3">
        <v>350</v>
      </c>
      <c r="NR63" s="3">
        <v>363</v>
      </c>
      <c r="NS63" s="3">
        <v>1028</v>
      </c>
      <c r="NT63" s="3">
        <v>40499</v>
      </c>
      <c r="NU63" s="3">
        <v>38607</v>
      </c>
      <c r="NV63" s="3">
        <v>0</v>
      </c>
      <c r="NW63" s="3">
        <v>412</v>
      </c>
      <c r="NX63" s="3">
        <v>947</v>
      </c>
      <c r="NY63" s="10">
        <v>37360</v>
      </c>
      <c r="NZ63" s="3">
        <v>35638</v>
      </c>
      <c r="OA63" s="3">
        <v>0</v>
      </c>
      <c r="OB63" s="3">
        <v>389</v>
      </c>
      <c r="OC63" s="3">
        <v>857</v>
      </c>
      <c r="OD63" s="10">
        <v>38133</v>
      </c>
      <c r="OE63" s="3"/>
      <c r="OF63" s="3"/>
      <c r="OG63" s="3"/>
      <c r="OH63" s="3"/>
      <c r="OI63" s="10">
        <v>38706</v>
      </c>
      <c r="OJ63" s="3">
        <v>36447</v>
      </c>
      <c r="OK63" s="3">
        <v>575</v>
      </c>
      <c r="OL63" s="3">
        <v>906</v>
      </c>
      <c r="OM63" s="3">
        <v>577</v>
      </c>
      <c r="ON63" s="10">
        <v>37790</v>
      </c>
      <c r="OO63" s="3">
        <v>34512</v>
      </c>
      <c r="OP63" s="3">
        <v>601</v>
      </c>
      <c r="OQ63" s="3">
        <v>788</v>
      </c>
      <c r="OR63" s="3"/>
      <c r="OS63" s="1">
        <v>421</v>
      </c>
      <c r="OT63" s="1">
        <v>0</v>
      </c>
      <c r="OU63" s="1">
        <v>0</v>
      </c>
      <c r="OV63" s="1">
        <v>1890</v>
      </c>
      <c r="OW63" s="1">
        <v>0</v>
      </c>
      <c r="OX63" s="402">
        <f t="shared" si="653"/>
        <v>80850</v>
      </c>
      <c r="OY63" s="382">
        <f t="shared" si="654"/>
        <v>79980</v>
      </c>
      <c r="OZ63" s="382">
        <f t="shared" si="655"/>
        <v>267</v>
      </c>
      <c r="PA63" s="382">
        <f t="shared" si="656"/>
        <v>8639</v>
      </c>
      <c r="PB63" s="382">
        <f t="shared" si="657"/>
        <v>603</v>
      </c>
      <c r="PC63" s="402">
        <f t="shared" si="658"/>
        <v>150083</v>
      </c>
      <c r="PD63" s="382">
        <f t="shared" si="659"/>
        <v>146523</v>
      </c>
      <c r="PE63" s="382">
        <f t="shared" si="660"/>
        <v>559</v>
      </c>
      <c r="PF63" s="382">
        <f t="shared" si="661"/>
        <v>1143</v>
      </c>
      <c r="PG63" s="382">
        <f t="shared" si="662"/>
        <v>3001</v>
      </c>
      <c r="PH63" s="10">
        <v>148451</v>
      </c>
      <c r="PI63" s="3">
        <v>144123</v>
      </c>
      <c r="PJ63" s="3">
        <v>771</v>
      </c>
      <c r="PK63" s="3">
        <v>1738</v>
      </c>
      <c r="PL63" s="3">
        <v>3557</v>
      </c>
      <c r="PM63" s="3">
        <v>174366</v>
      </c>
      <c r="PN63" s="3">
        <v>167761</v>
      </c>
      <c r="PO63" s="3">
        <v>767</v>
      </c>
      <c r="PP63" s="3">
        <v>1900</v>
      </c>
      <c r="PQ63" s="3">
        <v>4032</v>
      </c>
      <c r="PR63" s="399"/>
      <c r="PS63" s="5"/>
      <c r="PT63" s="5"/>
      <c r="PU63" s="5"/>
      <c r="PV63" s="5"/>
      <c r="PW63" s="5">
        <v>188569</v>
      </c>
      <c r="PX63" s="5">
        <v>179805</v>
      </c>
      <c r="PY63" s="5">
        <v>1307</v>
      </c>
      <c r="PZ63" s="5">
        <v>2374</v>
      </c>
      <c r="QA63" s="408">
        <v>5362</v>
      </c>
      <c r="QB63" s="5">
        <v>192797</v>
      </c>
      <c r="QC63" s="5">
        <v>183516</v>
      </c>
      <c r="QD63" s="5">
        <v>1518</v>
      </c>
      <c r="QE63" s="5">
        <v>2687</v>
      </c>
      <c r="QF63" s="5">
        <v>9830</v>
      </c>
      <c r="QG63" s="5">
        <v>186925</v>
      </c>
      <c r="QH63" s="5">
        <v>178267</v>
      </c>
      <c r="QI63" s="5">
        <v>1390</v>
      </c>
      <c r="QJ63" s="5">
        <v>1979</v>
      </c>
      <c r="QK63" s="5">
        <v>4358</v>
      </c>
      <c r="QL63" s="399">
        <v>199988</v>
      </c>
      <c r="QM63" s="5">
        <v>190599</v>
      </c>
      <c r="QN63" s="5">
        <v>1858</v>
      </c>
      <c r="QO63" s="5">
        <v>2400</v>
      </c>
      <c r="QP63" s="5">
        <v>2755</v>
      </c>
      <c r="QQ63" s="399">
        <v>200354</v>
      </c>
      <c r="QR63" s="5">
        <v>189972</v>
      </c>
      <c r="QS63" s="5">
        <v>0</v>
      </c>
      <c r="QT63" s="5">
        <v>2638</v>
      </c>
      <c r="QU63" s="5">
        <v>3343</v>
      </c>
      <c r="QV63" s="399">
        <v>205526</v>
      </c>
      <c r="QW63" s="5">
        <v>194499</v>
      </c>
      <c r="QX63" s="5">
        <v>0</v>
      </c>
      <c r="QY63" s="5">
        <v>2997</v>
      </c>
      <c r="QZ63" s="5">
        <v>6310</v>
      </c>
      <c r="RA63" s="399">
        <v>210722</v>
      </c>
      <c r="RB63" s="5"/>
      <c r="RC63" s="5"/>
      <c r="RD63" s="5"/>
      <c r="RE63" s="5"/>
      <c r="RF63" s="5">
        <v>210978</v>
      </c>
      <c r="RG63" s="5">
        <v>199169</v>
      </c>
      <c r="RH63" s="5">
        <v>2087</v>
      </c>
      <c r="RI63" s="5">
        <v>2750</v>
      </c>
      <c r="RJ63" s="5">
        <v>3102</v>
      </c>
      <c r="RK63" s="5">
        <v>243411</v>
      </c>
      <c r="RL63" s="5">
        <v>224220</v>
      </c>
      <c r="RM63" s="5">
        <v>1930</v>
      </c>
      <c r="RN63" s="5">
        <v>5759</v>
      </c>
      <c r="RO63" s="5">
        <v>14353</v>
      </c>
      <c r="RP63" s="1">
        <v>4241</v>
      </c>
      <c r="RQ63" s="1">
        <v>0</v>
      </c>
      <c r="RR63" s="1">
        <v>0</v>
      </c>
      <c r="RS63" s="1">
        <v>10112</v>
      </c>
      <c r="RU63" s="10">
        <v>55120</v>
      </c>
      <c r="RV63" s="3">
        <v>54448</v>
      </c>
      <c r="RW63" s="3">
        <v>191</v>
      </c>
      <c r="RX63" s="3">
        <v>266</v>
      </c>
      <c r="RY63" s="3">
        <v>481</v>
      </c>
      <c r="RZ63" s="10">
        <v>74124</v>
      </c>
      <c r="SA63" s="3">
        <v>72516</v>
      </c>
      <c r="SB63" s="3">
        <v>243</v>
      </c>
      <c r="SC63" s="3">
        <v>418</v>
      </c>
      <c r="SD63" s="3">
        <v>1365</v>
      </c>
      <c r="SE63" s="10">
        <v>85009</v>
      </c>
      <c r="SF63" s="3">
        <v>82086</v>
      </c>
      <c r="SG63" s="3">
        <v>395</v>
      </c>
      <c r="SH63" s="3">
        <v>683</v>
      </c>
      <c r="SI63" s="3"/>
      <c r="SJ63" s="10">
        <v>86025</v>
      </c>
      <c r="SK63" s="3">
        <v>83638</v>
      </c>
      <c r="SL63" s="3">
        <v>339</v>
      </c>
      <c r="SM63" s="3">
        <v>982</v>
      </c>
      <c r="SN63" s="3">
        <v>2048</v>
      </c>
      <c r="SO63" s="10">
        <v>88097.4</v>
      </c>
      <c r="SP63" s="3">
        <v>85489.919999999998</v>
      </c>
      <c r="SQ63" s="3"/>
      <c r="SR63" s="3"/>
      <c r="SS63" s="3">
        <v>2607.4799999999959</v>
      </c>
      <c r="ST63" s="10">
        <v>92036</v>
      </c>
      <c r="SU63" s="3">
        <v>87915</v>
      </c>
      <c r="SV63" s="3">
        <v>547</v>
      </c>
      <c r="SW63" s="3">
        <v>969</v>
      </c>
      <c r="SX63" s="3">
        <v>2669</v>
      </c>
      <c r="SY63" s="3">
        <v>94279</v>
      </c>
      <c r="SZ63" s="3">
        <v>89788</v>
      </c>
      <c r="TA63" s="3">
        <v>697</v>
      </c>
      <c r="TB63" s="3">
        <v>1159</v>
      </c>
      <c r="TC63" s="3">
        <v>4605</v>
      </c>
      <c r="TD63" s="3">
        <v>91472</v>
      </c>
      <c r="TE63" s="3">
        <v>87163</v>
      </c>
      <c r="TF63" s="3">
        <v>608</v>
      </c>
      <c r="TG63" s="3">
        <v>1039</v>
      </c>
      <c r="TH63" s="3">
        <v>2400</v>
      </c>
      <c r="TI63" s="3">
        <v>97824</v>
      </c>
      <c r="TJ63" s="3">
        <v>94515</v>
      </c>
      <c r="TK63" s="3">
        <v>705</v>
      </c>
      <c r="TL63" s="3">
        <v>731</v>
      </c>
      <c r="TM63" s="3">
        <v>1531</v>
      </c>
      <c r="TN63" s="3">
        <v>92871</v>
      </c>
      <c r="TO63" s="3">
        <v>87896</v>
      </c>
      <c r="TP63" s="3">
        <v>0</v>
      </c>
      <c r="TQ63" s="3">
        <v>1356</v>
      </c>
      <c r="TR63" s="3">
        <v>2744</v>
      </c>
      <c r="TS63" s="10">
        <v>98774</v>
      </c>
      <c r="TT63" s="3">
        <v>93793</v>
      </c>
      <c r="TU63" s="3">
        <v>0</v>
      </c>
      <c r="TV63" s="3">
        <v>1709</v>
      </c>
      <c r="TW63" s="3">
        <v>2844</v>
      </c>
      <c r="TX63" s="10">
        <v>103068</v>
      </c>
      <c r="TY63" s="3"/>
      <c r="TZ63" s="3"/>
      <c r="UA63" s="3"/>
      <c r="UB63" s="3"/>
      <c r="UC63" s="10">
        <v>101015</v>
      </c>
      <c r="UD63" s="3">
        <v>95828</v>
      </c>
      <c r="UE63" s="3">
        <v>880</v>
      </c>
      <c r="UF63" s="3">
        <v>997</v>
      </c>
      <c r="UG63" s="3">
        <v>1318</v>
      </c>
      <c r="UH63" s="10">
        <v>120373</v>
      </c>
      <c r="UI63" s="3">
        <v>111936</v>
      </c>
      <c r="UJ63" s="3">
        <v>496</v>
      </c>
      <c r="UK63" s="3">
        <v>2779</v>
      </c>
      <c r="UL63" s="3">
        <v>6769</v>
      </c>
      <c r="UM63" s="1">
        <v>1813</v>
      </c>
      <c r="UN63" s="1">
        <v>0</v>
      </c>
      <c r="UO63" s="1">
        <v>0</v>
      </c>
      <c r="UP63" s="1">
        <v>4956</v>
      </c>
      <c r="UR63" s="588">
        <f t="shared" si="663"/>
        <v>15565</v>
      </c>
      <c r="US63" s="40">
        <v>8654</v>
      </c>
      <c r="UT63" s="40">
        <v>6911</v>
      </c>
      <c r="UU63" s="588">
        <f t="shared" si="664"/>
        <v>49</v>
      </c>
      <c r="UV63" s="40">
        <v>46</v>
      </c>
      <c r="UW63" s="40">
        <v>3</v>
      </c>
      <c r="UX63" s="10">
        <v>26823</v>
      </c>
      <c r="UY63" s="588">
        <f t="shared" si="665"/>
        <v>15185</v>
      </c>
      <c r="UZ63" s="588">
        <f t="shared" si="666"/>
        <v>11638</v>
      </c>
      <c r="VA63" s="588">
        <f t="shared" si="667"/>
        <v>26467</v>
      </c>
      <c r="VB63" s="40">
        <v>14972</v>
      </c>
      <c r="VC63" s="40">
        <v>11495</v>
      </c>
      <c r="VD63" s="588">
        <f t="shared" si="668"/>
        <v>88</v>
      </c>
      <c r="VE63" s="40">
        <v>52</v>
      </c>
      <c r="VF63" s="40">
        <v>36</v>
      </c>
      <c r="VG63" s="588">
        <f t="shared" si="669"/>
        <v>268</v>
      </c>
      <c r="VH63" s="40">
        <v>161</v>
      </c>
      <c r="VI63" s="40">
        <v>107</v>
      </c>
      <c r="VJ63" s="10">
        <v>56184</v>
      </c>
      <c r="VK63" s="588">
        <f t="shared" si="670"/>
        <v>30283</v>
      </c>
      <c r="VL63" s="588">
        <f t="shared" si="671"/>
        <v>25901</v>
      </c>
      <c r="VM63" s="240">
        <f t="shared" si="672"/>
        <v>55214</v>
      </c>
      <c r="VN63" s="40">
        <v>29723</v>
      </c>
      <c r="VO63" s="40">
        <v>25491</v>
      </c>
      <c r="VP63" s="40">
        <v>560</v>
      </c>
      <c r="VQ63" s="40">
        <v>410</v>
      </c>
      <c r="VR63" s="240">
        <f t="shared" si="673"/>
        <v>146</v>
      </c>
      <c r="VS63" s="40">
        <v>95</v>
      </c>
      <c r="VT63" s="40">
        <v>51</v>
      </c>
      <c r="VU63" s="240">
        <f t="shared" si="674"/>
        <v>351</v>
      </c>
      <c r="VV63" s="40">
        <v>193</v>
      </c>
      <c r="VW63" s="40">
        <v>158</v>
      </c>
      <c r="VX63" s="233">
        <f t="shared" si="675"/>
        <v>473</v>
      </c>
      <c r="VY63" s="233">
        <f t="shared" si="676"/>
        <v>272</v>
      </c>
      <c r="VZ63" s="233">
        <f t="shared" si="677"/>
        <v>201</v>
      </c>
      <c r="WA63" s="234">
        <f t="shared" si="678"/>
        <v>19</v>
      </c>
      <c r="WB63" s="234">
        <f t="shared" si="679"/>
        <v>12</v>
      </c>
      <c r="WC63" s="234">
        <f t="shared" si="680"/>
        <v>7</v>
      </c>
      <c r="WD63" s="40">
        <v>454</v>
      </c>
      <c r="WE63" s="40">
        <v>260</v>
      </c>
      <c r="WF63" s="40">
        <v>194</v>
      </c>
      <c r="WG63" s="12">
        <f t="shared" si="681"/>
        <v>55120</v>
      </c>
      <c r="WH63" s="588">
        <f t="shared" si="682"/>
        <v>43571</v>
      </c>
      <c r="WI63" s="588">
        <f t="shared" si="683"/>
        <v>43283</v>
      </c>
      <c r="WJ63" s="11">
        <f t="shared" si="684"/>
        <v>54448</v>
      </c>
      <c r="WK63" s="90">
        <f t="shared" si="685"/>
        <v>85170</v>
      </c>
      <c r="WL63" s="40">
        <v>42674</v>
      </c>
      <c r="WM63" s="40">
        <v>42496</v>
      </c>
      <c r="WN63" s="40">
        <v>897</v>
      </c>
      <c r="WO63" s="40">
        <v>787</v>
      </c>
      <c r="WP63" s="11">
        <f t="shared" si="686"/>
        <v>191</v>
      </c>
      <c r="WQ63" s="90">
        <f t="shared" si="687"/>
        <v>279</v>
      </c>
      <c r="WR63" s="40">
        <v>170</v>
      </c>
      <c r="WS63" s="40">
        <v>109</v>
      </c>
      <c r="WT63" s="11">
        <f t="shared" si="688"/>
        <v>532</v>
      </c>
      <c r="WU63" s="40">
        <v>274</v>
      </c>
      <c r="WV63" s="40">
        <v>258</v>
      </c>
      <c r="WW63" s="11">
        <f t="shared" si="689"/>
        <v>481</v>
      </c>
      <c r="WX63" s="257">
        <f t="shared" si="690"/>
        <v>453</v>
      </c>
      <c r="WY63" s="235">
        <f t="shared" si="691"/>
        <v>420</v>
      </c>
      <c r="WZ63" s="236">
        <f t="shared" si="692"/>
        <v>21</v>
      </c>
      <c r="XA63" s="236">
        <f t="shared" si="693"/>
        <v>21</v>
      </c>
      <c r="XB63" s="236">
        <f t="shared" si="694"/>
        <v>0</v>
      </c>
      <c r="XC63" s="589">
        <f t="shared" si="695"/>
        <v>852</v>
      </c>
      <c r="XD63" s="589">
        <f t="shared" si="696"/>
        <v>432</v>
      </c>
      <c r="XE63" s="589">
        <f t="shared" si="697"/>
        <v>420</v>
      </c>
      <c r="XF63" s="40">
        <v>77</v>
      </c>
      <c r="XG63" s="40">
        <v>53</v>
      </c>
      <c r="XH63" s="40">
        <v>355</v>
      </c>
      <c r="XI63" s="40">
        <v>367</v>
      </c>
      <c r="XJ63" s="590">
        <v>119025</v>
      </c>
      <c r="XK63" s="40">
        <v>56718</v>
      </c>
      <c r="XL63" s="40">
        <v>62307</v>
      </c>
      <c r="XM63" s="5">
        <f t="shared" si="698"/>
        <v>116112</v>
      </c>
      <c r="XN63" s="5">
        <v>55302</v>
      </c>
      <c r="XO63" s="5">
        <v>60810</v>
      </c>
      <c r="XP63" s="84">
        <f t="shared" si="699"/>
        <v>115364</v>
      </c>
      <c r="XQ63" s="40">
        <v>54910</v>
      </c>
      <c r="XR63" s="40">
        <v>60454</v>
      </c>
      <c r="XS63" s="5">
        <f t="shared" si="700"/>
        <v>444</v>
      </c>
      <c r="XT63" s="40">
        <v>266</v>
      </c>
      <c r="XU63" s="40">
        <v>178</v>
      </c>
      <c r="XV63" s="5">
        <f t="shared" si="701"/>
        <v>947</v>
      </c>
      <c r="XW63" s="40">
        <v>498</v>
      </c>
      <c r="XX63" s="40">
        <v>449</v>
      </c>
      <c r="XY63" s="84">
        <f t="shared" si="702"/>
        <v>2469</v>
      </c>
      <c r="XZ63" s="84">
        <f t="shared" si="703"/>
        <v>1150</v>
      </c>
      <c r="YA63" s="84">
        <f t="shared" si="704"/>
        <v>1319</v>
      </c>
      <c r="YB63" s="587">
        <v>139002</v>
      </c>
      <c r="YC63" s="40">
        <v>133343</v>
      </c>
      <c r="YD63" s="40">
        <v>609</v>
      </c>
      <c r="YE63" s="40">
        <v>1623</v>
      </c>
      <c r="YF63" s="5">
        <v>3460</v>
      </c>
      <c r="YG63" s="590">
        <v>141376</v>
      </c>
      <c r="YH63" s="3">
        <v>136574</v>
      </c>
      <c r="YI63" s="3">
        <v>1001</v>
      </c>
      <c r="YJ63" s="3">
        <v>3801</v>
      </c>
      <c r="YK63" s="3">
        <v>1648</v>
      </c>
      <c r="YL63" s="590">
        <v>140668</v>
      </c>
      <c r="YM63" s="3">
        <v>136553</v>
      </c>
      <c r="YN63" s="3">
        <v>854</v>
      </c>
      <c r="YO63" s="3">
        <v>3261</v>
      </c>
      <c r="YP63" s="3">
        <v>1898</v>
      </c>
      <c r="YQ63" s="10">
        <v>142310</v>
      </c>
      <c r="YR63" s="3">
        <v>137773</v>
      </c>
      <c r="YS63" s="3">
        <v>992</v>
      </c>
      <c r="YT63" s="3">
        <v>3545</v>
      </c>
      <c r="YU63" s="3">
        <v>1895</v>
      </c>
      <c r="YV63" s="10">
        <v>146829</v>
      </c>
      <c r="YW63" s="3">
        <v>141788.16</v>
      </c>
      <c r="YX63" s="3"/>
      <c r="YY63" s="3"/>
      <c r="YZ63" s="3">
        <v>5040.8399999999965</v>
      </c>
      <c r="ZA63" s="3">
        <v>150995</v>
      </c>
      <c r="ZB63" s="3">
        <v>143665</v>
      </c>
      <c r="ZC63" s="3">
        <v>1106</v>
      </c>
      <c r="ZD63" s="3">
        <v>2015</v>
      </c>
      <c r="ZE63" s="1">
        <v>4390</v>
      </c>
      <c r="ZF63" s="1">
        <v>155342</v>
      </c>
      <c r="ZG63" s="1">
        <v>147775</v>
      </c>
      <c r="ZH63" s="1">
        <v>1175</v>
      </c>
      <c r="ZI63" s="1">
        <v>2161</v>
      </c>
      <c r="ZJ63" s="1">
        <v>8414</v>
      </c>
      <c r="ZK63" s="1">
        <v>152901</v>
      </c>
      <c r="ZL63" s="1">
        <v>145498</v>
      </c>
      <c r="ZM63" s="1">
        <v>1173</v>
      </c>
      <c r="ZN63" s="1">
        <v>1745</v>
      </c>
      <c r="ZO63" s="1">
        <v>3762</v>
      </c>
      <c r="ZP63" s="1">
        <v>162072</v>
      </c>
      <c r="ZQ63" s="1">
        <v>154469</v>
      </c>
      <c r="ZR63" s="1">
        <v>1508</v>
      </c>
      <c r="ZS63" s="1">
        <v>2037</v>
      </c>
      <c r="ZT63" s="1">
        <v>2112</v>
      </c>
      <c r="ZU63" s="1">
        <v>159855</v>
      </c>
      <c r="ZV63" s="1">
        <v>151365</v>
      </c>
      <c r="ZW63" s="1"/>
      <c r="ZX63" s="1">
        <v>2226</v>
      </c>
      <c r="ZY63" s="1">
        <v>3129</v>
      </c>
      <c r="ZZ63" s="394">
        <v>3129</v>
      </c>
      <c r="AAA63" s="1">
        <v>0</v>
      </c>
      <c r="AAB63" s="1">
        <v>0</v>
      </c>
      <c r="AAC63" s="1">
        <v>0</v>
      </c>
      <c r="AAE63" s="50">
        <v>168166</v>
      </c>
      <c r="AAF63" s="1">
        <v>158861</v>
      </c>
      <c r="AAG63" s="1">
        <v>0</v>
      </c>
      <c r="AAH63" s="1">
        <v>2608</v>
      </c>
      <c r="AAI63" s="1">
        <v>5453</v>
      </c>
      <c r="AAJ63" s="50">
        <v>172589</v>
      </c>
      <c r="AAK63" s="1"/>
      <c r="AAL63" s="1"/>
      <c r="AAM63" s="1"/>
      <c r="AAN63" s="1"/>
      <c r="AAO63" s="68">
        <v>172272</v>
      </c>
      <c r="AAP63" s="37">
        <v>162722</v>
      </c>
      <c r="AAQ63" s="37">
        <v>1512</v>
      </c>
      <c r="AAR63" s="37">
        <v>1844</v>
      </c>
      <c r="AAS63" s="37">
        <v>2525</v>
      </c>
      <c r="AAT63" s="68">
        <v>205621</v>
      </c>
      <c r="AAU63" s="37">
        <v>189708</v>
      </c>
      <c r="AAV63" s="37">
        <v>1329</v>
      </c>
      <c r="AAW63" s="37">
        <v>4971</v>
      </c>
      <c r="AAX63" s="37">
        <v>12042</v>
      </c>
      <c r="AAZ63" s="1">
        <v>0</v>
      </c>
      <c r="ABA63" s="1">
        <v>0</v>
      </c>
      <c r="ABB63" s="1">
        <v>8222</v>
      </c>
      <c r="ABD63" s="10">
        <v>44901</v>
      </c>
      <c r="ABE63" s="3">
        <v>43596</v>
      </c>
      <c r="ABF63" s="3">
        <v>201</v>
      </c>
      <c r="ABG63" s="3">
        <v>529</v>
      </c>
      <c r="ABH63" s="3">
        <v>1104</v>
      </c>
      <c r="ABI63" s="10">
        <v>53993</v>
      </c>
      <c r="ABJ63" s="3">
        <v>51257</v>
      </c>
      <c r="ABK63" s="3">
        <v>214</v>
      </c>
      <c r="ABL63" s="3">
        <v>940</v>
      </c>
      <c r="ABM63" s="3">
        <v>1634</v>
      </c>
      <c r="ABN63" s="10">
        <v>56285</v>
      </c>
      <c r="ABO63" s="3">
        <v>54135</v>
      </c>
      <c r="ABP63" s="3">
        <v>653</v>
      </c>
      <c r="ABQ63" s="3">
        <v>913</v>
      </c>
      <c r="ABR63" s="3">
        <v>1497</v>
      </c>
      <c r="ABS63" s="10">
        <v>58731.600000000006</v>
      </c>
      <c r="ABT63" s="3">
        <v>56298.240000000005</v>
      </c>
      <c r="ABU63" s="3"/>
      <c r="ABV63" s="3"/>
      <c r="ABW63" s="8">
        <v>2433.3600000000006</v>
      </c>
      <c r="ABX63" s="2">
        <v>58959</v>
      </c>
      <c r="ABY63" s="2">
        <v>55750</v>
      </c>
      <c r="ABZ63" s="2">
        <v>559</v>
      </c>
      <c r="ACA63" s="2">
        <v>1046</v>
      </c>
      <c r="ACB63" s="137">
        <v>1721</v>
      </c>
      <c r="ACC63" s="1">
        <v>61063</v>
      </c>
      <c r="ACD63" s="1">
        <v>57987</v>
      </c>
      <c r="ACE63" s="1">
        <v>478</v>
      </c>
      <c r="ACF63" s="1">
        <v>1002</v>
      </c>
      <c r="ACG63" s="1">
        <v>3809</v>
      </c>
      <c r="ACH63" s="1">
        <v>61429</v>
      </c>
      <c r="ACI63" s="1">
        <v>58335</v>
      </c>
      <c r="ACJ63" s="1">
        <v>565</v>
      </c>
      <c r="ACK63" s="1">
        <v>706</v>
      </c>
      <c r="ACL63" s="1">
        <v>1362</v>
      </c>
      <c r="ACM63" s="1">
        <v>64248</v>
      </c>
      <c r="ACN63" s="1">
        <v>59954</v>
      </c>
      <c r="ACO63" s="1">
        <v>803</v>
      </c>
      <c r="ACP63" s="1">
        <v>1306</v>
      </c>
      <c r="ACQ63" s="1">
        <v>2013</v>
      </c>
      <c r="ACR63" s="1">
        <v>66984</v>
      </c>
      <c r="ACS63" s="1">
        <v>63469</v>
      </c>
      <c r="ACU63" s="1">
        <v>870</v>
      </c>
      <c r="ACV63" s="1">
        <v>2262</v>
      </c>
      <c r="ADB63" s="50">
        <v>69392</v>
      </c>
      <c r="ADC63" s="1">
        <v>65068</v>
      </c>
      <c r="ADD63" s="1">
        <v>0</v>
      </c>
      <c r="ADE63" s="1">
        <v>899</v>
      </c>
      <c r="ADF63" s="1">
        <v>2609</v>
      </c>
      <c r="ADG63" s="50">
        <v>69521</v>
      </c>
      <c r="ADL63" s="50">
        <v>71257</v>
      </c>
      <c r="ADM63" s="1">
        <v>66894</v>
      </c>
      <c r="ADN63" s="1">
        <v>632</v>
      </c>
      <c r="ADO63" s="1">
        <v>847</v>
      </c>
      <c r="ADP63" s="1">
        <v>1207</v>
      </c>
      <c r="ADQ63" s="50">
        <v>85248</v>
      </c>
      <c r="ADR63" s="1">
        <v>77772</v>
      </c>
      <c r="ADS63" s="1">
        <v>833</v>
      </c>
      <c r="ADT63" s="1">
        <v>2192</v>
      </c>
      <c r="ADU63" s="1">
        <v>5273</v>
      </c>
      <c r="ADV63" s="1">
        <v>2007</v>
      </c>
      <c r="ADW63" s="1">
        <v>0</v>
      </c>
      <c r="ADX63" s="1">
        <v>0</v>
      </c>
      <c r="ADY63" s="1">
        <v>3266</v>
      </c>
    </row>
    <row r="64" spans="1:806" ht="12.75" customHeight="1">
      <c r="A64" s="88" t="s">
        <v>61</v>
      </c>
      <c r="B64" s="180" t="s">
        <v>221</v>
      </c>
      <c r="C64" s="180" t="s">
        <v>221</v>
      </c>
      <c r="D64" s="180" t="s">
        <v>221</v>
      </c>
      <c r="E64" s="180" t="s">
        <v>221</v>
      </c>
      <c r="F64" s="180" t="s">
        <v>221</v>
      </c>
      <c r="G64" s="152">
        <v>39107</v>
      </c>
      <c r="H64" s="150">
        <v>4687</v>
      </c>
      <c r="I64" s="150">
        <v>29960</v>
      </c>
      <c r="J64" s="150">
        <v>6288</v>
      </c>
      <c r="K64" s="150">
        <v>4460</v>
      </c>
      <c r="L64" s="152">
        <v>29803</v>
      </c>
      <c r="M64" s="150">
        <v>4032</v>
      </c>
      <c r="N64" s="150">
        <v>17822</v>
      </c>
      <c r="O64" s="150">
        <v>9633</v>
      </c>
      <c r="P64" s="150">
        <v>7949</v>
      </c>
      <c r="Q64" s="150">
        <v>25079</v>
      </c>
      <c r="R64" s="150">
        <v>1225</v>
      </c>
      <c r="S64" s="150">
        <v>13346</v>
      </c>
      <c r="T64" s="150">
        <v>10106</v>
      </c>
      <c r="U64" s="416">
        <v>7888</v>
      </c>
      <c r="V64" s="401">
        <v>19671</v>
      </c>
      <c r="W64" s="155">
        <v>6669</v>
      </c>
      <c r="X64" s="155">
        <v>9483</v>
      </c>
      <c r="Y64" s="155">
        <v>9586</v>
      </c>
      <c r="Z64" s="155">
        <v>3519</v>
      </c>
      <c r="AA64" s="155">
        <v>20315</v>
      </c>
      <c r="AB64" s="155">
        <v>290</v>
      </c>
      <c r="AC64" s="155">
        <v>9846</v>
      </c>
      <c r="AD64" s="155">
        <v>9347</v>
      </c>
      <c r="AE64" s="155">
        <v>4570</v>
      </c>
      <c r="AF64" s="401">
        <v>19690</v>
      </c>
      <c r="AG64" s="155">
        <v>391</v>
      </c>
      <c r="AH64" s="155">
        <v>10196</v>
      </c>
      <c r="AI64" s="155">
        <v>8066</v>
      </c>
      <c r="AJ64" s="318">
        <v>1260</v>
      </c>
      <c r="AK64" s="674">
        <v>19069</v>
      </c>
      <c r="AL64" s="674">
        <v>631</v>
      </c>
      <c r="AM64" s="685">
        <v>7791</v>
      </c>
      <c r="AN64" s="685">
        <v>9709</v>
      </c>
      <c r="AO64" s="674">
        <v>7417</v>
      </c>
      <c r="AP64" s="501">
        <v>20227</v>
      </c>
      <c r="AQ64" s="502">
        <v>382</v>
      </c>
      <c r="AR64" s="502">
        <v>9859</v>
      </c>
      <c r="AS64" s="502">
        <v>9041</v>
      </c>
      <c r="AT64" s="502">
        <v>8981</v>
      </c>
      <c r="AU64" s="501">
        <v>17097</v>
      </c>
      <c r="AV64" s="502">
        <v>513</v>
      </c>
      <c r="AW64" s="502">
        <v>7974</v>
      </c>
      <c r="AX64" s="502">
        <v>8572</v>
      </c>
      <c r="AY64" s="502">
        <v>5724</v>
      </c>
      <c r="AZ64" s="88">
        <v>235</v>
      </c>
      <c r="BA64" s="88">
        <v>0</v>
      </c>
      <c r="BB64" s="88">
        <v>0</v>
      </c>
      <c r="BC64" s="88">
        <v>172</v>
      </c>
      <c r="BD64" s="88">
        <v>5317</v>
      </c>
      <c r="BE64" s="501">
        <v>21119</v>
      </c>
      <c r="BF64" s="502">
        <v>486</v>
      </c>
      <c r="BG64" s="502">
        <v>8455</v>
      </c>
      <c r="BH64" s="502">
        <v>11185</v>
      </c>
      <c r="BI64" s="502">
        <v>9688</v>
      </c>
      <c r="BJ64" s="501">
        <v>16534</v>
      </c>
      <c r="BK64" s="502"/>
      <c r="BL64" s="502"/>
      <c r="BM64" s="502"/>
      <c r="BN64" s="502"/>
      <c r="BO64" s="501">
        <v>16459</v>
      </c>
      <c r="BP64" s="502">
        <v>329</v>
      </c>
      <c r="BQ64" s="502">
        <v>9639</v>
      </c>
      <c r="BR64" s="502">
        <v>6089</v>
      </c>
      <c r="BS64" s="502">
        <v>3985</v>
      </c>
      <c r="BT64" s="501">
        <v>16201</v>
      </c>
      <c r="BU64" s="502">
        <v>804</v>
      </c>
      <c r="BV64" s="502">
        <v>6009</v>
      </c>
      <c r="BW64" s="502">
        <v>7819</v>
      </c>
      <c r="BX64" s="502">
        <v>1053</v>
      </c>
      <c r="BY64" s="88">
        <v>0</v>
      </c>
      <c r="BZ64" s="88">
        <v>0</v>
      </c>
      <c r="CA64" s="88">
        <v>1862</v>
      </c>
      <c r="CB64" s="88">
        <v>5909</v>
      </c>
      <c r="CC64" s="152">
        <v>70759</v>
      </c>
      <c r="CD64" s="150">
        <v>4449</v>
      </c>
      <c r="CE64" s="150">
        <v>64046</v>
      </c>
      <c r="CF64" s="150">
        <v>7819</v>
      </c>
      <c r="CG64" s="150">
        <v>2264</v>
      </c>
      <c r="CH64" s="152">
        <v>55446</v>
      </c>
      <c r="CI64" s="150">
        <v>3147</v>
      </c>
      <c r="CJ64" s="150">
        <v>48346</v>
      </c>
      <c r="CK64" s="150">
        <v>4154</v>
      </c>
      <c r="CL64" s="150">
        <v>3953</v>
      </c>
      <c r="CM64" s="89">
        <v>38197</v>
      </c>
      <c r="CN64" s="150">
        <v>1538</v>
      </c>
      <c r="CO64" s="150">
        <v>32850</v>
      </c>
      <c r="CP64" s="150">
        <v>3526</v>
      </c>
      <c r="CQ64" s="416">
        <v>3007</v>
      </c>
      <c r="CR64" s="150">
        <v>32673</v>
      </c>
      <c r="CS64" s="150">
        <v>3339</v>
      </c>
      <c r="CT64" s="150">
        <v>27601</v>
      </c>
      <c r="CU64" s="150">
        <v>3668</v>
      </c>
      <c r="CV64" s="150">
        <v>1733</v>
      </c>
      <c r="CW64" s="150">
        <v>32206</v>
      </c>
      <c r="CX64" s="150">
        <v>359</v>
      </c>
      <c r="CY64" s="150">
        <v>27524</v>
      </c>
      <c r="CZ64" s="150">
        <v>3800</v>
      </c>
      <c r="DA64" s="150">
        <v>2335</v>
      </c>
      <c r="DB64" s="150">
        <v>30794</v>
      </c>
      <c r="DC64" s="150">
        <v>348</v>
      </c>
      <c r="DD64" s="150">
        <v>25948</v>
      </c>
      <c r="DE64" s="150">
        <v>3931</v>
      </c>
      <c r="DF64" s="203">
        <v>873</v>
      </c>
      <c r="DG64" s="203">
        <v>26385</v>
      </c>
      <c r="DH64" s="203">
        <v>824</v>
      </c>
      <c r="DI64" s="203">
        <v>21148</v>
      </c>
      <c r="DJ64" s="203">
        <v>4340</v>
      </c>
      <c r="DK64" s="203">
        <v>3600</v>
      </c>
      <c r="DL64" s="203">
        <v>28022</v>
      </c>
      <c r="DM64" s="203">
        <v>406</v>
      </c>
      <c r="DN64" s="203">
        <v>23333</v>
      </c>
      <c r="DO64" s="203">
        <v>3773</v>
      </c>
      <c r="DP64" s="203">
        <v>2917</v>
      </c>
      <c r="DQ64" s="203">
        <v>28646</v>
      </c>
      <c r="DR64" s="203">
        <v>555</v>
      </c>
      <c r="DS64" s="203">
        <v>21617</v>
      </c>
      <c r="DT64" s="203">
        <v>6611</v>
      </c>
      <c r="DU64" s="203">
        <v>4677</v>
      </c>
      <c r="DV64" s="553">
        <v>27212</v>
      </c>
      <c r="DW64" s="203">
        <v>974</v>
      </c>
      <c r="DX64" s="203">
        <v>20893</v>
      </c>
      <c r="DY64" s="203">
        <v>4576</v>
      </c>
      <c r="DZ64" s="203">
        <v>4337</v>
      </c>
      <c r="EA64" s="553">
        <v>23094</v>
      </c>
      <c r="EB64" s="203"/>
      <c r="EC64" s="203"/>
      <c r="ED64" s="203"/>
      <c r="EE64" s="203"/>
      <c r="EF64" s="553">
        <v>24709</v>
      </c>
      <c r="EG64" s="203">
        <v>660</v>
      </c>
      <c r="EH64" s="203">
        <v>20229</v>
      </c>
      <c r="EI64" s="203">
        <v>3553</v>
      </c>
      <c r="EJ64" s="203">
        <v>2397</v>
      </c>
      <c r="EK64" s="553">
        <v>24709</v>
      </c>
      <c r="EL64" s="203">
        <v>660</v>
      </c>
      <c r="EM64" s="203">
        <v>20229</v>
      </c>
      <c r="EN64" s="203">
        <v>3553</v>
      </c>
      <c r="EO64" s="203">
        <v>2397</v>
      </c>
      <c r="EP64" s="553">
        <v>18340</v>
      </c>
      <c r="EQ64" s="203">
        <v>279</v>
      </c>
      <c r="ER64" s="203">
        <v>14966</v>
      </c>
      <c r="ES64" s="203">
        <v>2042</v>
      </c>
      <c r="ET64" s="88">
        <v>282</v>
      </c>
      <c r="EU64" s="88">
        <v>0</v>
      </c>
      <c r="EV64" s="88">
        <v>0</v>
      </c>
      <c r="EW64" s="88">
        <v>931</v>
      </c>
      <c r="EX64" s="88">
        <v>1486</v>
      </c>
      <c r="EY64" s="152">
        <v>52503</v>
      </c>
      <c r="EZ64" s="150">
        <v>9014</v>
      </c>
      <c r="FA64" s="150">
        <v>37504</v>
      </c>
      <c r="FB64" s="150">
        <v>13136</v>
      </c>
      <c r="FC64" s="185">
        <f t="shared" si="651"/>
        <v>5985</v>
      </c>
      <c r="FD64" s="189" t="s">
        <v>221</v>
      </c>
      <c r="FE64" s="180" t="s">
        <v>221</v>
      </c>
      <c r="FF64" s="180" t="s">
        <v>221</v>
      </c>
      <c r="FG64" s="180" t="s">
        <v>221</v>
      </c>
      <c r="FH64" s="189" t="s">
        <v>221</v>
      </c>
      <c r="FI64" s="180" t="s">
        <v>221</v>
      </c>
      <c r="FJ64" s="180" t="s">
        <v>221</v>
      </c>
      <c r="FK64" s="180" t="s">
        <v>221</v>
      </c>
      <c r="FL64" s="180" t="s">
        <v>221</v>
      </c>
      <c r="FM64" s="152">
        <v>299265</v>
      </c>
      <c r="FN64" s="150">
        <v>122841</v>
      </c>
      <c r="FO64" s="150">
        <v>165922</v>
      </c>
      <c r="FP64" s="150">
        <v>9905</v>
      </c>
      <c r="FQ64" s="150">
        <v>10502</v>
      </c>
      <c r="FR64" s="152">
        <v>299286</v>
      </c>
      <c r="FS64" s="150">
        <v>121675</v>
      </c>
      <c r="FT64" s="150">
        <v>157124</v>
      </c>
      <c r="FU64" s="150">
        <v>12636</v>
      </c>
      <c r="FV64" s="150">
        <v>20487</v>
      </c>
      <c r="FW64" s="170">
        <v>334661</v>
      </c>
      <c r="FX64" s="150">
        <v>131890</v>
      </c>
      <c r="FY64" s="150">
        <v>181255</v>
      </c>
      <c r="FZ64" s="150">
        <v>21189</v>
      </c>
      <c r="GA64" s="150">
        <v>17663</v>
      </c>
      <c r="GB64" s="152">
        <v>342095</v>
      </c>
      <c r="GC64" s="150">
        <v>145538</v>
      </c>
      <c r="GD64" s="150">
        <v>169257</v>
      </c>
      <c r="GE64" s="151">
        <v>27300</v>
      </c>
      <c r="GF64" s="150">
        <v>18027</v>
      </c>
      <c r="GG64" s="152">
        <v>352495</v>
      </c>
      <c r="GH64" s="151">
        <v>153882</v>
      </c>
      <c r="GI64" s="151">
        <v>173306</v>
      </c>
      <c r="GJ64" s="151">
        <v>25307</v>
      </c>
      <c r="GK64" s="151">
        <v>18375</v>
      </c>
      <c r="GL64" s="152">
        <v>353389</v>
      </c>
      <c r="GM64" s="150">
        <v>159051</v>
      </c>
      <c r="GN64" s="150">
        <v>166401</v>
      </c>
      <c r="GO64" s="150">
        <v>20155</v>
      </c>
      <c r="GP64" s="150">
        <v>19960</v>
      </c>
      <c r="GQ64" s="152">
        <v>363771.24300000002</v>
      </c>
      <c r="GR64" s="150">
        <v>167901.1</v>
      </c>
      <c r="GS64" s="150">
        <v>167436.79700000002</v>
      </c>
      <c r="GT64" s="150">
        <v>22270.374000000003</v>
      </c>
      <c r="GU64" s="413">
        <f t="shared" si="652"/>
        <v>28433.34599999999</v>
      </c>
      <c r="GV64" s="150">
        <v>376076</v>
      </c>
      <c r="GW64" s="150">
        <v>161349</v>
      </c>
      <c r="GX64" s="150">
        <v>169763</v>
      </c>
      <c r="GY64" s="150">
        <v>24324</v>
      </c>
      <c r="GZ64" s="150">
        <v>32041</v>
      </c>
      <c r="HA64" s="150">
        <v>392468</v>
      </c>
      <c r="HB64" s="150">
        <v>170136</v>
      </c>
      <c r="HC64" s="150">
        <v>172522</v>
      </c>
      <c r="HD64" s="150">
        <v>28036</v>
      </c>
      <c r="HE64" s="150">
        <v>24045</v>
      </c>
      <c r="HF64" s="150">
        <v>417757</v>
      </c>
      <c r="HG64" s="150">
        <v>178938</v>
      </c>
      <c r="HH64" s="150">
        <v>187090</v>
      </c>
      <c r="HI64" s="150">
        <v>29917</v>
      </c>
      <c r="HJ64" s="150">
        <v>33670</v>
      </c>
      <c r="HK64" s="150">
        <v>424635</v>
      </c>
      <c r="HL64" s="150">
        <v>183888</v>
      </c>
      <c r="HM64" s="150">
        <v>181721</v>
      </c>
      <c r="HN64" s="150">
        <v>32788</v>
      </c>
      <c r="HO64" s="150">
        <v>41773</v>
      </c>
      <c r="HP64" s="152">
        <v>434415</v>
      </c>
      <c r="HQ64" s="150">
        <v>188238</v>
      </c>
      <c r="HR64" s="150">
        <v>187820</v>
      </c>
      <c r="HS64" s="150">
        <v>31992</v>
      </c>
      <c r="HT64" s="150">
        <v>41075</v>
      </c>
      <c r="HU64" s="502">
        <v>19275</v>
      </c>
      <c r="HV64" s="88">
        <v>0</v>
      </c>
      <c r="HW64" s="88">
        <v>0</v>
      </c>
      <c r="HX64" s="88">
        <v>9498</v>
      </c>
      <c r="HY64" s="88">
        <v>12302</v>
      </c>
      <c r="HZ64" s="152">
        <v>446283</v>
      </c>
      <c r="IA64" s="150">
        <v>196066</v>
      </c>
      <c r="IB64" s="150">
        <v>188567</v>
      </c>
      <c r="IC64" s="150">
        <v>32694</v>
      </c>
      <c r="ID64" s="150">
        <v>43000</v>
      </c>
      <c r="IE64" s="401">
        <v>460548</v>
      </c>
      <c r="IF64" s="155"/>
      <c r="IG64" s="155"/>
      <c r="IH64" s="155"/>
      <c r="II64" s="155"/>
      <c r="IJ64" s="401">
        <v>463977</v>
      </c>
      <c r="IK64" s="155">
        <v>203173</v>
      </c>
      <c r="IL64" s="155">
        <v>190880</v>
      </c>
      <c r="IM64" s="155">
        <v>40499</v>
      </c>
      <c r="IN64" s="155">
        <v>33278</v>
      </c>
      <c r="IO64" s="401">
        <v>444233</v>
      </c>
      <c r="IP64" s="155">
        <v>187952</v>
      </c>
      <c r="IQ64" s="155">
        <v>178016</v>
      </c>
      <c r="IR64" s="155">
        <v>38541</v>
      </c>
      <c r="IS64" s="155">
        <v>71322</v>
      </c>
      <c r="IT64" s="88">
        <v>21182</v>
      </c>
      <c r="IU64" s="88">
        <v>0</v>
      </c>
      <c r="IV64" s="88">
        <v>0</v>
      </c>
      <c r="IW64" s="88">
        <v>38163</v>
      </c>
      <c r="IX64" s="88">
        <v>11977</v>
      </c>
      <c r="IY64" s="640" t="s">
        <v>221</v>
      </c>
      <c r="IZ64" s="641" t="s">
        <v>221</v>
      </c>
      <c r="JA64" s="641" t="s">
        <v>221</v>
      </c>
      <c r="JB64" s="641" t="s">
        <v>221</v>
      </c>
      <c r="JC64" s="641" t="s">
        <v>221</v>
      </c>
      <c r="JD64" s="401">
        <v>76224</v>
      </c>
      <c r="JE64" s="155">
        <v>20114</v>
      </c>
      <c r="JF64" s="155">
        <v>53514</v>
      </c>
      <c r="JG64" s="155">
        <v>2650</v>
      </c>
      <c r="JH64" s="155">
        <v>2596</v>
      </c>
      <c r="JI64" s="401">
        <v>69880</v>
      </c>
      <c r="JJ64" s="155">
        <v>14673</v>
      </c>
      <c r="JK64" s="155">
        <v>50924</v>
      </c>
      <c r="JL64" s="155">
        <v>2844</v>
      </c>
      <c r="JM64" s="155">
        <v>4283</v>
      </c>
      <c r="JN64" s="155">
        <v>68763</v>
      </c>
      <c r="JO64" s="155">
        <v>11669</v>
      </c>
      <c r="JP64" s="155">
        <v>50953</v>
      </c>
      <c r="JQ64" s="155">
        <v>3505</v>
      </c>
      <c r="JR64" s="155">
        <v>4790</v>
      </c>
      <c r="JS64" s="401">
        <v>71139</v>
      </c>
      <c r="JT64" s="155">
        <v>15052</v>
      </c>
      <c r="JU64" s="155">
        <v>52340</v>
      </c>
      <c r="JV64" s="155">
        <v>4352</v>
      </c>
      <c r="JW64" s="155">
        <v>3747</v>
      </c>
      <c r="JX64" s="401">
        <v>72504.233999999997</v>
      </c>
      <c r="JY64" s="155">
        <v>15199.467999999999</v>
      </c>
      <c r="JZ64" s="155">
        <v>53489.601000000002</v>
      </c>
      <c r="KA64" s="155">
        <v>4531.9679999999998</v>
      </c>
      <c r="KB64" s="155">
        <v>3815.1649999999936</v>
      </c>
      <c r="KC64" s="155">
        <v>73143</v>
      </c>
      <c r="KD64" s="155">
        <v>12424</v>
      </c>
      <c r="KE64" s="155">
        <v>53191</v>
      </c>
      <c r="KF64" s="155">
        <v>5154</v>
      </c>
      <c r="KG64" s="631">
        <v>5202</v>
      </c>
      <c r="KH64" s="486">
        <v>74771</v>
      </c>
      <c r="KI64" s="504">
        <v>11682</v>
      </c>
      <c r="KJ64" s="504">
        <v>55145</v>
      </c>
      <c r="KK64" s="504">
        <v>5487</v>
      </c>
      <c r="KL64" s="504">
        <v>2710</v>
      </c>
      <c r="KM64" s="504">
        <v>78872</v>
      </c>
      <c r="KN64" s="504">
        <v>11412</v>
      </c>
      <c r="KO64" s="504">
        <v>60551</v>
      </c>
      <c r="KP64" s="504">
        <v>5157</v>
      </c>
      <c r="KQ64" s="504">
        <v>4461</v>
      </c>
      <c r="KR64" s="504">
        <v>74109</v>
      </c>
      <c r="KS64" s="504">
        <v>10861</v>
      </c>
      <c r="KT64" s="504">
        <v>54471</v>
      </c>
      <c r="KU64" s="504">
        <v>5993</v>
      </c>
      <c r="KV64" s="642">
        <v>6604</v>
      </c>
      <c r="KW64" s="504">
        <v>76292</v>
      </c>
      <c r="KX64" s="504">
        <v>9947</v>
      </c>
      <c r="KY64" s="504">
        <v>58472</v>
      </c>
      <c r="KZ64" s="504">
        <v>5619</v>
      </c>
      <c r="LA64" s="504">
        <v>5945</v>
      </c>
      <c r="LB64" s="658">
        <v>77731</v>
      </c>
      <c r="LC64" s="658">
        <v>11534</v>
      </c>
      <c r="LD64" s="658">
        <v>57888</v>
      </c>
      <c r="LE64" s="658">
        <v>5520</v>
      </c>
      <c r="LF64" s="658">
        <v>5834</v>
      </c>
      <c r="LG64" s="658">
        <v>75478</v>
      </c>
      <c r="LH64" s="658"/>
      <c r="LI64" s="504"/>
      <c r="LJ64" s="504"/>
      <c r="LK64" s="504"/>
      <c r="LL64" s="657">
        <v>82667</v>
      </c>
      <c r="LM64" s="658">
        <v>11459</v>
      </c>
      <c r="LN64" s="658">
        <v>61193</v>
      </c>
      <c r="LO64" s="658">
        <v>7701</v>
      </c>
      <c r="LP64" s="658">
        <v>4439</v>
      </c>
      <c r="LQ64" s="657">
        <v>71456</v>
      </c>
      <c r="LR64" s="658">
        <v>8580</v>
      </c>
      <c r="LS64" s="658">
        <v>51627</v>
      </c>
      <c r="LT64" s="658">
        <v>5452</v>
      </c>
      <c r="LU64" s="658">
        <v>10946</v>
      </c>
      <c r="LV64" s="88">
        <v>2158</v>
      </c>
      <c r="LW64" s="88">
        <v>0</v>
      </c>
      <c r="LX64" s="88">
        <v>0</v>
      </c>
      <c r="LY64" s="88">
        <v>6631</v>
      </c>
      <c r="LZ64" s="88">
        <v>2157</v>
      </c>
      <c r="MA64" s="152">
        <v>12547</v>
      </c>
      <c r="MB64" s="150">
        <v>3941</v>
      </c>
      <c r="MC64" s="150">
        <v>8011</v>
      </c>
      <c r="MD64" s="150">
        <v>533</v>
      </c>
      <c r="ME64" s="150">
        <v>595</v>
      </c>
      <c r="MF64" s="152">
        <v>10599</v>
      </c>
      <c r="MG64" s="150">
        <v>2916</v>
      </c>
      <c r="MH64" s="150">
        <v>6898</v>
      </c>
      <c r="MI64" s="150">
        <v>543</v>
      </c>
      <c r="MJ64" s="150">
        <v>785</v>
      </c>
      <c r="MK64" s="150">
        <v>14008</v>
      </c>
      <c r="ML64" s="150">
        <v>2614</v>
      </c>
      <c r="MM64" s="150">
        <v>9912</v>
      </c>
      <c r="MN64" s="150">
        <v>739</v>
      </c>
      <c r="MO64" s="150">
        <v>1037</v>
      </c>
      <c r="MP64" s="152">
        <v>11758</v>
      </c>
      <c r="MQ64" s="150">
        <v>2955</v>
      </c>
      <c r="MR64" s="150">
        <v>8146</v>
      </c>
      <c r="MS64" s="150">
        <v>898</v>
      </c>
      <c r="MT64" s="150">
        <v>657</v>
      </c>
      <c r="MU64" s="152"/>
      <c r="MV64" s="150"/>
      <c r="MW64" s="150"/>
      <c r="MX64" s="150"/>
      <c r="MY64" s="416"/>
      <c r="MZ64" s="150">
        <v>13048</v>
      </c>
      <c r="NA64" s="150">
        <v>3096</v>
      </c>
      <c r="NB64" s="150">
        <v>8443</v>
      </c>
      <c r="NC64" s="150">
        <v>1018</v>
      </c>
      <c r="ND64" s="150">
        <v>1056</v>
      </c>
      <c r="NE64" s="150">
        <v>13366</v>
      </c>
      <c r="NF64" s="150">
        <v>2633</v>
      </c>
      <c r="NG64" s="150">
        <v>8895</v>
      </c>
      <c r="NH64" s="150">
        <v>1245</v>
      </c>
      <c r="NI64" s="150">
        <v>746</v>
      </c>
      <c r="NJ64" s="150">
        <v>15936</v>
      </c>
      <c r="NK64" s="150">
        <v>3247</v>
      </c>
      <c r="NL64" s="150">
        <v>11073</v>
      </c>
      <c r="NM64" s="150">
        <v>1560</v>
      </c>
      <c r="NN64" s="150">
        <v>25258</v>
      </c>
      <c r="NO64" s="150">
        <v>14002</v>
      </c>
      <c r="NP64" s="150">
        <v>2594</v>
      </c>
      <c r="NQ64" s="150">
        <v>9378</v>
      </c>
      <c r="NR64" s="150">
        <v>694</v>
      </c>
      <c r="NS64" s="150">
        <v>1336</v>
      </c>
      <c r="NT64" s="150">
        <v>14086</v>
      </c>
      <c r="NU64" s="150">
        <v>2540</v>
      </c>
      <c r="NV64" s="150">
        <v>10013</v>
      </c>
      <c r="NW64" s="150">
        <v>905</v>
      </c>
      <c r="NX64" s="150">
        <v>1137</v>
      </c>
      <c r="NY64" s="152">
        <v>15722</v>
      </c>
      <c r="NZ64" s="150">
        <v>2635</v>
      </c>
      <c r="OA64" s="150">
        <v>11212</v>
      </c>
      <c r="OB64" s="150">
        <v>1437</v>
      </c>
      <c r="OC64" s="150">
        <v>1139</v>
      </c>
      <c r="OD64" s="152">
        <v>13948</v>
      </c>
      <c r="OE64" s="150"/>
      <c r="OF64" s="150"/>
      <c r="OG64" s="150"/>
      <c r="OH64" s="150"/>
      <c r="OI64" s="152">
        <v>16922</v>
      </c>
      <c r="OJ64" s="150">
        <v>2257</v>
      </c>
      <c r="OK64" s="150">
        <v>11377</v>
      </c>
      <c r="OL64" s="150">
        <v>1905</v>
      </c>
      <c r="OM64" s="150">
        <v>1711</v>
      </c>
      <c r="ON64" s="152">
        <v>15235</v>
      </c>
      <c r="OO64" s="150">
        <v>2524</v>
      </c>
      <c r="OP64" s="150">
        <v>9506</v>
      </c>
      <c r="OQ64" s="150">
        <v>1165</v>
      </c>
      <c r="OR64" s="150">
        <v>413</v>
      </c>
      <c r="OS64" s="88">
        <v>941</v>
      </c>
      <c r="OT64" s="88">
        <v>0</v>
      </c>
      <c r="OU64" s="88">
        <v>0</v>
      </c>
      <c r="OV64" s="88">
        <v>1753</v>
      </c>
      <c r="OW64" s="88">
        <v>413</v>
      </c>
      <c r="OX64" s="403">
        <f t="shared" si="653"/>
        <v>78439</v>
      </c>
      <c r="OY64" s="214">
        <f t="shared" si="654"/>
        <v>44192</v>
      </c>
      <c r="OZ64" s="214">
        <f t="shared" si="655"/>
        <v>30948</v>
      </c>
      <c r="PA64" s="214">
        <f t="shared" si="656"/>
        <v>30153</v>
      </c>
      <c r="PB64" s="214">
        <f t="shared" si="657"/>
        <v>10167</v>
      </c>
      <c r="PC64" s="403">
        <f t="shared" si="658"/>
        <v>160836</v>
      </c>
      <c r="PD64" s="214">
        <f t="shared" si="659"/>
        <v>102525</v>
      </c>
      <c r="PE64" s="214">
        <f t="shared" si="660"/>
        <v>45968</v>
      </c>
      <c r="PF64" s="214">
        <f t="shared" si="661"/>
        <v>7084</v>
      </c>
      <c r="PG64" s="404">
        <f t="shared" si="662"/>
        <v>12343</v>
      </c>
      <c r="PH64" s="152">
        <v>155948</v>
      </c>
      <c r="PI64" s="150">
        <v>101775</v>
      </c>
      <c r="PJ64" s="150">
        <v>40167</v>
      </c>
      <c r="PK64" s="150">
        <v>9468</v>
      </c>
      <c r="PL64" s="150">
        <v>14006</v>
      </c>
      <c r="PM64" s="150">
        <v>194620</v>
      </c>
      <c r="PN64" s="150">
        <v>116712</v>
      </c>
      <c r="PO64" s="150">
        <v>54123</v>
      </c>
      <c r="PP64" s="150">
        <v>10359</v>
      </c>
      <c r="PQ64" s="150">
        <v>17073</v>
      </c>
      <c r="PR64" s="401"/>
      <c r="PS64" s="155"/>
      <c r="PT64" s="155"/>
      <c r="PU64" s="155"/>
      <c r="PV64" s="155"/>
      <c r="PW64" s="155">
        <v>234699</v>
      </c>
      <c r="PX64" s="155">
        <v>146905</v>
      </c>
      <c r="PY64" s="155">
        <v>55895</v>
      </c>
      <c r="PZ64" s="155">
        <v>14410</v>
      </c>
      <c r="QA64" s="489">
        <v>22653</v>
      </c>
      <c r="QB64" s="155">
        <v>250290</v>
      </c>
      <c r="QC64" s="155">
        <v>156649</v>
      </c>
      <c r="QD64" s="155">
        <v>57909</v>
      </c>
      <c r="QE64" s="155">
        <v>17310</v>
      </c>
      <c r="QF64" s="155">
        <v>19695</v>
      </c>
      <c r="QG64" s="155">
        <v>270608</v>
      </c>
      <c r="QH64" s="155">
        <v>166110</v>
      </c>
      <c r="QI64" s="155">
        <v>65267</v>
      </c>
      <c r="QJ64" s="155">
        <v>20003</v>
      </c>
      <c r="QK64" s="155">
        <v>25258</v>
      </c>
      <c r="QL64" s="401">
        <v>282347</v>
      </c>
      <c r="QM64" s="155">
        <v>171800</v>
      </c>
      <c r="QN64" s="155">
        <v>65654</v>
      </c>
      <c r="QO64" s="155">
        <v>20878</v>
      </c>
      <c r="QP64" s="155">
        <v>30562</v>
      </c>
      <c r="QQ64" s="401">
        <v>286961</v>
      </c>
      <c r="QR64" s="155">
        <v>176762</v>
      </c>
      <c r="QS64" s="155">
        <v>65701</v>
      </c>
      <c r="QT64" s="155">
        <v>20498</v>
      </c>
      <c r="QU64" s="155">
        <v>30790</v>
      </c>
      <c r="QV64" s="401">
        <v>299241</v>
      </c>
      <c r="QW64" s="155">
        <v>181987</v>
      </c>
      <c r="QX64" s="155">
        <v>69379</v>
      </c>
      <c r="QY64" s="155">
        <v>22561</v>
      </c>
      <c r="QZ64" s="155">
        <v>32831</v>
      </c>
      <c r="RA64" s="401">
        <v>316118</v>
      </c>
      <c r="RB64" s="155"/>
      <c r="RC64" s="155"/>
      <c r="RD64" s="155"/>
      <c r="RE64" s="155"/>
      <c r="RF64" s="155">
        <v>318351</v>
      </c>
      <c r="RG64" s="155">
        <v>190257</v>
      </c>
      <c r="RH64" s="155">
        <v>73397</v>
      </c>
      <c r="RI64" s="155">
        <v>27969</v>
      </c>
      <c r="RJ64" s="155">
        <v>25463</v>
      </c>
      <c r="RK64" s="155">
        <v>317087</v>
      </c>
      <c r="RL64" s="155">
        <v>178328</v>
      </c>
      <c r="RM64" s="155">
        <v>76595</v>
      </c>
      <c r="RN64" s="155">
        <v>28946</v>
      </c>
      <c r="RO64" s="155">
        <v>55459</v>
      </c>
      <c r="RP64" s="88">
        <v>18923</v>
      </c>
      <c r="RQ64" s="88">
        <v>0</v>
      </c>
      <c r="RR64" s="88">
        <v>0</v>
      </c>
      <c r="RS64" s="88">
        <v>29255</v>
      </c>
      <c r="RT64" s="88">
        <v>7281</v>
      </c>
      <c r="RU64" s="152">
        <v>65892</v>
      </c>
      <c r="RV64" s="150">
        <v>40251</v>
      </c>
      <c r="RW64" s="150">
        <v>22937</v>
      </c>
      <c r="RX64" s="150">
        <v>2118</v>
      </c>
      <c r="RY64" s="150">
        <v>2704</v>
      </c>
      <c r="RZ64" s="152">
        <v>69496</v>
      </c>
      <c r="SA64" s="150">
        <v>41360</v>
      </c>
      <c r="SB64" s="150">
        <v>22591</v>
      </c>
      <c r="SC64" s="150">
        <v>2838</v>
      </c>
      <c r="SD64" s="150">
        <v>5545</v>
      </c>
      <c r="SE64" s="152">
        <v>81204</v>
      </c>
      <c r="SF64" s="150">
        <v>46516</v>
      </c>
      <c r="SG64" s="150">
        <v>25304</v>
      </c>
      <c r="SH64" s="150">
        <v>3970</v>
      </c>
      <c r="SI64" s="150"/>
      <c r="SJ64" s="152">
        <v>90088</v>
      </c>
      <c r="SK64" s="150">
        <v>57747</v>
      </c>
      <c r="SL64" s="150">
        <v>24457</v>
      </c>
      <c r="SM64" s="150">
        <v>5267</v>
      </c>
      <c r="SN64" s="150">
        <v>7884</v>
      </c>
      <c r="SO64" s="152">
        <v>93755.475000000006</v>
      </c>
      <c r="SP64" s="150">
        <v>60621.133999999998</v>
      </c>
      <c r="SQ64" s="150">
        <v>24797.861000000001</v>
      </c>
      <c r="SR64" s="150">
        <v>5487.93</v>
      </c>
      <c r="SS64" s="150">
        <v>8336.4800000000068</v>
      </c>
      <c r="ST64" s="152">
        <v>99103</v>
      </c>
      <c r="SU64" s="150">
        <v>60915</v>
      </c>
      <c r="SV64" s="150">
        <v>26227</v>
      </c>
      <c r="SW64" s="150">
        <v>5238</v>
      </c>
      <c r="SX64" s="150">
        <v>8935</v>
      </c>
      <c r="SY64" s="150">
        <v>101725</v>
      </c>
      <c r="SZ64" s="150">
        <v>61455</v>
      </c>
      <c r="TA64" s="150">
        <v>27087</v>
      </c>
      <c r="TB64" s="150">
        <v>6301</v>
      </c>
      <c r="TC64" s="150">
        <v>7454</v>
      </c>
      <c r="TD64" s="3">
        <v>112706</v>
      </c>
      <c r="TE64" s="150">
        <v>69030</v>
      </c>
      <c r="TF64" s="150">
        <v>28860</v>
      </c>
      <c r="TG64" s="150">
        <v>7442</v>
      </c>
      <c r="TH64" s="150">
        <v>10088</v>
      </c>
      <c r="TI64" s="150">
        <v>112629</v>
      </c>
      <c r="TJ64" s="150">
        <v>66926</v>
      </c>
      <c r="TK64" s="150">
        <v>28911</v>
      </c>
      <c r="TL64" s="150">
        <v>8529</v>
      </c>
      <c r="TM64" s="150">
        <v>11148</v>
      </c>
      <c r="TN64" s="150">
        <v>115097</v>
      </c>
      <c r="TO64" s="150">
        <v>66672</v>
      </c>
      <c r="TP64" s="150">
        <v>30711</v>
      </c>
      <c r="TQ64" s="150">
        <v>7877</v>
      </c>
      <c r="TR64" s="150">
        <v>12295</v>
      </c>
      <c r="TS64" s="152">
        <v>118172</v>
      </c>
      <c r="TT64" s="150">
        <v>66611</v>
      </c>
      <c r="TU64" s="150">
        <v>32475</v>
      </c>
      <c r="TV64" s="150">
        <v>8820</v>
      </c>
      <c r="TW64" s="150">
        <v>13529</v>
      </c>
      <c r="TX64" s="152">
        <v>129782</v>
      </c>
      <c r="TY64" s="150"/>
      <c r="TZ64" s="150"/>
      <c r="UA64" s="150"/>
      <c r="UB64" s="150"/>
      <c r="UC64" s="152">
        <v>129825</v>
      </c>
      <c r="UD64" s="150">
        <v>76162</v>
      </c>
      <c r="UE64" s="150">
        <v>32513</v>
      </c>
      <c r="UF64" s="150">
        <v>11254</v>
      </c>
      <c r="UG64" s="150">
        <v>10256</v>
      </c>
      <c r="UH64" s="152">
        <v>120771</v>
      </c>
      <c r="UI64" s="150">
        <v>65513</v>
      </c>
      <c r="UJ64" s="150">
        <v>33803</v>
      </c>
      <c r="UK64" s="150">
        <v>11591</v>
      </c>
      <c r="UL64" s="150">
        <v>18983</v>
      </c>
      <c r="UM64" s="88">
        <v>3942</v>
      </c>
      <c r="UN64" s="88">
        <v>0</v>
      </c>
      <c r="UO64" s="88">
        <v>0</v>
      </c>
      <c r="UP64" s="88">
        <v>12199</v>
      </c>
      <c r="UQ64" s="88">
        <v>6868</v>
      </c>
      <c r="UR64" s="597">
        <f t="shared" si="663"/>
        <v>49863</v>
      </c>
      <c r="US64" s="598">
        <v>29717</v>
      </c>
      <c r="UT64" s="598">
        <v>20146</v>
      </c>
      <c r="UU64" s="597">
        <f t="shared" si="664"/>
        <v>15898</v>
      </c>
      <c r="UV64" s="598">
        <v>7741</v>
      </c>
      <c r="UW64" s="598">
        <v>8157</v>
      </c>
      <c r="UX64" s="152">
        <v>75495</v>
      </c>
      <c r="UY64" s="597">
        <f t="shared" si="665"/>
        <v>41045</v>
      </c>
      <c r="UZ64" s="597">
        <f t="shared" si="666"/>
        <v>34450</v>
      </c>
      <c r="VA64" s="597">
        <f t="shared" si="667"/>
        <v>52752</v>
      </c>
      <c r="VB64" s="598">
        <v>30314</v>
      </c>
      <c r="VC64" s="598">
        <v>22438</v>
      </c>
      <c r="VD64" s="597">
        <f t="shared" si="668"/>
        <v>20880</v>
      </c>
      <c r="VE64" s="598">
        <v>9591</v>
      </c>
      <c r="VF64" s="598">
        <v>11289</v>
      </c>
      <c r="VG64" s="597">
        <f t="shared" si="669"/>
        <v>1863</v>
      </c>
      <c r="VH64" s="598">
        <v>1140</v>
      </c>
      <c r="VI64" s="598">
        <v>723</v>
      </c>
      <c r="VJ64" s="152">
        <v>109478</v>
      </c>
      <c r="VK64" s="597">
        <f t="shared" si="670"/>
        <v>56556</v>
      </c>
      <c r="VL64" s="597">
        <f t="shared" si="671"/>
        <v>52922</v>
      </c>
      <c r="VM64" s="258">
        <f t="shared" si="672"/>
        <v>72628</v>
      </c>
      <c r="VN64" s="598">
        <v>39374</v>
      </c>
      <c r="VO64" s="598">
        <v>33254</v>
      </c>
      <c r="VP64" s="598">
        <v>17182</v>
      </c>
      <c r="VQ64" s="598">
        <v>19668</v>
      </c>
      <c r="VR64" s="258">
        <f t="shared" si="673"/>
        <v>31456</v>
      </c>
      <c r="VS64" s="598">
        <v>14165</v>
      </c>
      <c r="VT64" s="598">
        <v>17291</v>
      </c>
      <c r="VU64" s="258">
        <f t="shared" si="674"/>
        <v>2754</v>
      </c>
      <c r="VV64" s="598">
        <v>1586</v>
      </c>
      <c r="VW64" s="598">
        <v>1168</v>
      </c>
      <c r="VX64" s="259">
        <f t="shared" si="675"/>
        <v>2640</v>
      </c>
      <c r="VY64" s="259">
        <f t="shared" si="676"/>
        <v>1431</v>
      </c>
      <c r="VZ64" s="259">
        <f t="shared" si="677"/>
        <v>1209</v>
      </c>
      <c r="WA64" s="260">
        <f t="shared" si="678"/>
        <v>368</v>
      </c>
      <c r="WB64" s="260">
        <f t="shared" si="679"/>
        <v>221</v>
      </c>
      <c r="WC64" s="260">
        <f t="shared" si="680"/>
        <v>147</v>
      </c>
      <c r="WD64" s="151">
        <v>2272</v>
      </c>
      <c r="WE64" s="151">
        <v>1210</v>
      </c>
      <c r="WF64" s="151">
        <v>1062</v>
      </c>
      <c r="WG64" s="171">
        <f t="shared" si="681"/>
        <v>65892</v>
      </c>
      <c r="WH64" s="597">
        <f t="shared" si="682"/>
        <v>67382</v>
      </c>
      <c r="WI64" s="597">
        <f t="shared" si="683"/>
        <v>68903</v>
      </c>
      <c r="WJ64" s="153">
        <f t="shared" si="684"/>
        <v>40251</v>
      </c>
      <c r="WK64" s="154">
        <f t="shared" si="685"/>
        <v>88176</v>
      </c>
      <c r="WL64" s="598">
        <v>46081</v>
      </c>
      <c r="WM64" s="598">
        <v>42095</v>
      </c>
      <c r="WN64" s="598">
        <v>21301</v>
      </c>
      <c r="WO64" s="598">
        <v>26808</v>
      </c>
      <c r="WP64" s="153">
        <f t="shared" si="686"/>
        <v>22937</v>
      </c>
      <c r="WQ64" s="154">
        <f t="shared" si="687"/>
        <v>39448</v>
      </c>
      <c r="WR64" s="598">
        <v>17094</v>
      </c>
      <c r="WS64" s="598">
        <v>22354</v>
      </c>
      <c r="WT64" s="153">
        <f t="shared" si="688"/>
        <v>4512</v>
      </c>
      <c r="WU64" s="598">
        <v>2199</v>
      </c>
      <c r="WV64" s="598">
        <v>2313</v>
      </c>
      <c r="WW64" s="153">
        <f t="shared" si="689"/>
        <v>9572</v>
      </c>
      <c r="WX64" s="261">
        <f t="shared" si="690"/>
        <v>2008</v>
      </c>
      <c r="WY64" s="262">
        <f t="shared" si="691"/>
        <v>2141</v>
      </c>
      <c r="WZ64" s="263">
        <f t="shared" si="692"/>
        <v>151</v>
      </c>
      <c r="XA64" s="263">
        <f t="shared" si="693"/>
        <v>67</v>
      </c>
      <c r="XB64" s="263">
        <f t="shared" si="694"/>
        <v>84</v>
      </c>
      <c r="XC64" s="599">
        <f t="shared" si="695"/>
        <v>3998</v>
      </c>
      <c r="XD64" s="599">
        <f t="shared" si="696"/>
        <v>1941</v>
      </c>
      <c r="XE64" s="599">
        <f t="shared" si="697"/>
        <v>2057</v>
      </c>
      <c r="XF64" s="598">
        <v>95</v>
      </c>
      <c r="XG64" s="598">
        <v>75</v>
      </c>
      <c r="XH64" s="598">
        <v>1846</v>
      </c>
      <c r="XI64" s="598">
        <v>1982</v>
      </c>
      <c r="XJ64" s="600">
        <v>150237</v>
      </c>
      <c r="XK64" s="151">
        <v>74203</v>
      </c>
      <c r="XL64" s="598">
        <v>76034</v>
      </c>
      <c r="XM64" s="155">
        <f t="shared" si="698"/>
        <v>99609</v>
      </c>
      <c r="XN64" s="155">
        <v>52181</v>
      </c>
      <c r="XO64" s="155">
        <v>47428</v>
      </c>
      <c r="XP64" s="156">
        <f t="shared" si="699"/>
        <v>95247</v>
      </c>
      <c r="XQ64" s="598">
        <v>49794</v>
      </c>
      <c r="XR64" s="598">
        <v>45453</v>
      </c>
      <c r="XS64" s="155">
        <f t="shared" si="700"/>
        <v>39070</v>
      </c>
      <c r="XT64" s="598">
        <v>16676</v>
      </c>
      <c r="XU64" s="598">
        <v>22394</v>
      </c>
      <c r="XV64" s="155">
        <f t="shared" si="701"/>
        <v>6541</v>
      </c>
      <c r="XW64" s="598">
        <v>3387</v>
      </c>
      <c r="XX64" s="598">
        <v>3154</v>
      </c>
      <c r="XY64" s="156">
        <f t="shared" si="702"/>
        <v>11558</v>
      </c>
      <c r="XZ64" s="156">
        <f t="shared" si="703"/>
        <v>5346</v>
      </c>
      <c r="YA64" s="156">
        <f t="shared" si="704"/>
        <v>6212</v>
      </c>
      <c r="YB64" s="601">
        <v>180612</v>
      </c>
      <c r="YC64" s="151">
        <v>114098</v>
      </c>
      <c r="YD64" s="598">
        <v>44211</v>
      </c>
      <c r="YE64" s="598">
        <v>9620</v>
      </c>
      <c r="YF64" s="155">
        <v>16036</v>
      </c>
      <c r="YG64" s="600">
        <v>189395</v>
      </c>
      <c r="YH64" s="150">
        <v>126038</v>
      </c>
      <c r="YI64" s="150">
        <v>45186</v>
      </c>
      <c r="YJ64" s="151">
        <v>18171</v>
      </c>
      <c r="YK64" s="150">
        <v>10390</v>
      </c>
      <c r="YL64" s="600">
        <v>196824</v>
      </c>
      <c r="YM64" s="150">
        <v>133069</v>
      </c>
      <c r="YN64" s="150">
        <v>46357</v>
      </c>
      <c r="YO64" s="151">
        <v>17398</v>
      </c>
      <c r="YP64" s="150">
        <v>10642</v>
      </c>
      <c r="YQ64" s="152">
        <v>201887</v>
      </c>
      <c r="YR64" s="150">
        <v>137253</v>
      </c>
      <c r="YS64" s="150">
        <v>44663</v>
      </c>
      <c r="YT64" s="150">
        <v>19971</v>
      </c>
      <c r="YU64" s="150">
        <v>11743</v>
      </c>
      <c r="YV64" s="152">
        <v>211262.337</v>
      </c>
      <c r="YW64" s="150">
        <v>145632.11199999999</v>
      </c>
      <c r="YX64" s="150">
        <v>45291.961000000003</v>
      </c>
      <c r="YY64" s="150">
        <v>13064.814</v>
      </c>
      <c r="YZ64" s="150">
        <v>20338.264000000003</v>
      </c>
      <c r="ZA64" s="150">
        <v>221651</v>
      </c>
      <c r="ZB64" s="150">
        <v>143809</v>
      </c>
      <c r="ZC64" s="150">
        <v>47452</v>
      </c>
      <c r="ZD64" s="150">
        <v>13392</v>
      </c>
      <c r="ZE64" s="1">
        <v>21597</v>
      </c>
      <c r="ZF64" s="1">
        <v>236924</v>
      </c>
      <c r="ZG64" s="1">
        <v>154016</v>
      </c>
      <c r="ZH64" s="1">
        <v>49014</v>
      </c>
      <c r="ZI64" s="1">
        <v>16065</v>
      </c>
      <c r="ZJ64" s="1">
        <v>18949</v>
      </c>
      <c r="ZK64" s="1">
        <v>254672</v>
      </c>
      <c r="ZL64" s="1">
        <v>162863</v>
      </c>
      <c r="ZM64" s="1">
        <v>54194</v>
      </c>
      <c r="ZN64" s="1">
        <v>18443</v>
      </c>
      <c r="ZO64" s="1">
        <v>24119</v>
      </c>
      <c r="ZP64" s="88">
        <v>268345</v>
      </c>
      <c r="ZQ64" s="88">
        <v>169206</v>
      </c>
      <c r="ZR64" s="88">
        <v>56276</v>
      </c>
      <c r="ZS64" s="88">
        <v>20184</v>
      </c>
      <c r="ZT64" s="88">
        <v>29226</v>
      </c>
      <c r="ZU64" s="88">
        <v>272875</v>
      </c>
      <c r="ZV64" s="88">
        <v>174222</v>
      </c>
      <c r="ZW64" s="88">
        <v>55688</v>
      </c>
      <c r="ZX64" s="88">
        <v>19593</v>
      </c>
      <c r="ZY64" s="88">
        <v>29653</v>
      </c>
      <c r="ZZ64" s="502">
        <v>17086</v>
      </c>
      <c r="AAA64" s="88">
        <v>0</v>
      </c>
      <c r="AAB64" s="88">
        <v>0</v>
      </c>
      <c r="AAC64" s="88">
        <v>7357</v>
      </c>
      <c r="AAD64" s="88">
        <v>5210</v>
      </c>
      <c r="AAE64" s="116">
        <v>283519</v>
      </c>
      <c r="AAF64" s="88">
        <v>179352</v>
      </c>
      <c r="AAG64" s="88">
        <v>58167</v>
      </c>
      <c r="AAH64" s="88">
        <v>21124</v>
      </c>
      <c r="AAI64" s="88">
        <v>31692</v>
      </c>
      <c r="AAJ64" s="116">
        <v>302170</v>
      </c>
      <c r="AAK64" s="88"/>
      <c r="AAL64" s="88"/>
      <c r="AAM64" s="88"/>
      <c r="AAN64" s="88"/>
      <c r="AAO64" s="133">
        <v>301429</v>
      </c>
      <c r="AAP64" s="275">
        <v>188000</v>
      </c>
      <c r="AAQ64" s="275">
        <v>62020</v>
      </c>
      <c r="AAR64" s="275">
        <v>26064</v>
      </c>
      <c r="AAS64" s="275">
        <v>23752</v>
      </c>
      <c r="AAT64" s="133">
        <v>301852</v>
      </c>
      <c r="AAU64" s="275">
        <v>175804</v>
      </c>
      <c r="AAV64" s="275">
        <v>67089</v>
      </c>
      <c r="AAW64" s="275">
        <v>27781</v>
      </c>
      <c r="AAX64" s="275">
        <v>52352</v>
      </c>
      <c r="AAY64" s="88"/>
      <c r="AAZ64" s="88">
        <v>0</v>
      </c>
      <c r="ABA64" s="88">
        <v>0</v>
      </c>
      <c r="ABB64" s="88">
        <v>27502</v>
      </c>
      <c r="ABC64" s="88">
        <v>6868</v>
      </c>
      <c r="ABD64" s="152">
        <v>80741</v>
      </c>
      <c r="ABE64" s="150">
        <v>58249</v>
      </c>
      <c r="ABF64" s="150">
        <v>16479</v>
      </c>
      <c r="ABG64" s="150">
        <v>3703</v>
      </c>
      <c r="ABH64" s="150">
        <v>6013</v>
      </c>
      <c r="ABI64" s="152">
        <v>99408</v>
      </c>
      <c r="ABJ64" s="150">
        <v>67582</v>
      </c>
      <c r="ABK64" s="150">
        <v>18907</v>
      </c>
      <c r="ABL64" s="150">
        <v>5650</v>
      </c>
      <c r="ABM64" s="150">
        <v>9159</v>
      </c>
      <c r="ABN64" s="152">
        <v>111799</v>
      </c>
      <c r="ABO64" s="150">
        <v>79506</v>
      </c>
      <c r="ABP64" s="150">
        <v>20206</v>
      </c>
      <c r="ABQ64" s="150">
        <v>6476</v>
      </c>
      <c r="ABR64" s="150">
        <v>12087</v>
      </c>
      <c r="ABS64" s="152">
        <v>117506.86199999999</v>
      </c>
      <c r="ABT64" s="150">
        <v>85010.978000000003</v>
      </c>
      <c r="ABU64" s="150">
        <v>20494.100000000002</v>
      </c>
      <c r="ABV64" s="150">
        <v>7576.884</v>
      </c>
      <c r="ABW64" s="416">
        <v>12001.783999999989</v>
      </c>
      <c r="ABX64" s="2">
        <v>122548</v>
      </c>
      <c r="ABY64" s="2">
        <v>82894</v>
      </c>
      <c r="ABZ64" s="2">
        <v>21225</v>
      </c>
      <c r="ACA64" s="2">
        <v>8154</v>
      </c>
      <c r="ACB64" s="137">
        <v>12662</v>
      </c>
      <c r="ACC64" s="116">
        <v>135199</v>
      </c>
      <c r="ACD64" s="88">
        <v>92561</v>
      </c>
      <c r="ACE64" s="88">
        <v>21927</v>
      </c>
      <c r="ACF64" s="88">
        <v>9764</v>
      </c>
      <c r="ACG64" s="88">
        <v>11495</v>
      </c>
      <c r="ACH64" s="88">
        <v>141966</v>
      </c>
      <c r="ACI64" s="88">
        <v>93833</v>
      </c>
      <c r="ACJ64" s="88">
        <v>25334</v>
      </c>
      <c r="ACK64" s="88">
        <v>11001</v>
      </c>
      <c r="ACL64" s="88">
        <v>14031</v>
      </c>
      <c r="ACM64" s="88">
        <v>155716</v>
      </c>
      <c r="ACN64" s="88">
        <v>102280</v>
      </c>
      <c r="ACO64" s="88">
        <v>27365</v>
      </c>
      <c r="ACP64" s="88">
        <v>11655</v>
      </c>
      <c r="ACQ64" s="88">
        <v>18078</v>
      </c>
      <c r="ACR64" s="88">
        <v>157778</v>
      </c>
      <c r="ACS64" s="88">
        <v>107550</v>
      </c>
      <c r="ACT64" s="88">
        <v>24977</v>
      </c>
      <c r="ACU64" s="88">
        <v>11716</v>
      </c>
      <c r="ACV64" s="88">
        <v>17358</v>
      </c>
      <c r="ACW64" s="88"/>
      <c r="ACX64" s="88"/>
      <c r="ACY64" s="88"/>
      <c r="ACZ64" s="88"/>
      <c r="ADA64" s="88"/>
      <c r="ADB64" s="116">
        <v>165347</v>
      </c>
      <c r="ADC64" s="88">
        <v>112741</v>
      </c>
      <c r="ADD64" s="88">
        <v>25692</v>
      </c>
      <c r="ADE64" s="88">
        <v>12304</v>
      </c>
      <c r="ADF64" s="88">
        <v>18163</v>
      </c>
      <c r="ADG64" s="116">
        <v>172388</v>
      </c>
      <c r="ADH64" s="88"/>
      <c r="ADI64" s="88"/>
      <c r="ADJ64" s="88"/>
      <c r="ADK64" s="88"/>
      <c r="ADL64" s="50">
        <v>171604</v>
      </c>
      <c r="ADM64" s="1">
        <v>111838</v>
      </c>
      <c r="ADN64" s="1">
        <v>29507</v>
      </c>
      <c r="ADO64" s="1">
        <v>14810</v>
      </c>
      <c r="ADP64" s="1">
        <v>13496</v>
      </c>
      <c r="ADQ64" s="50">
        <v>181081</v>
      </c>
      <c r="ADR64" s="1">
        <v>110291</v>
      </c>
      <c r="ADS64" s="1">
        <v>33286</v>
      </c>
      <c r="ADT64" s="1">
        <v>16190</v>
      </c>
      <c r="ADU64" s="1">
        <v>33369</v>
      </c>
      <c r="ADV64" s="88">
        <v>14040</v>
      </c>
      <c r="ADW64" s="88">
        <v>0</v>
      </c>
      <c r="ADX64" s="88">
        <v>0</v>
      </c>
      <c r="ADY64" s="88">
        <v>15303</v>
      </c>
      <c r="ADZ64" s="88">
        <v>4026</v>
      </c>
    </row>
    <row r="65" spans="2:806" ht="12.75" customHeight="1"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616"/>
      <c r="BP65" s="43"/>
      <c r="BQ65" s="43"/>
      <c r="BR65" s="43"/>
      <c r="BS65" s="43"/>
      <c r="BT65" s="616"/>
      <c r="BU65" s="43"/>
      <c r="BV65" s="43"/>
      <c r="BW65" s="43"/>
      <c r="BX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549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  <c r="EA65" s="43"/>
      <c r="EB65" s="43"/>
      <c r="EC65" s="43"/>
      <c r="ED65" s="43"/>
      <c r="EE65" s="43"/>
      <c r="EF65" s="616"/>
      <c r="EG65" s="43"/>
      <c r="EH65" s="43"/>
      <c r="EI65" s="43"/>
      <c r="EJ65" s="43"/>
      <c r="EK65" s="616"/>
      <c r="EL65" s="43"/>
      <c r="EM65" s="43"/>
      <c r="EN65" s="43"/>
      <c r="EO65" s="43"/>
      <c r="EP65" s="763"/>
      <c r="EQ65" s="43"/>
      <c r="ER65" s="43"/>
      <c r="ES65" s="43"/>
      <c r="EY65" s="43"/>
      <c r="EZ65" s="43"/>
      <c r="FA65" s="43"/>
      <c r="FB65" s="43"/>
      <c r="FC65" s="43"/>
      <c r="FD65" s="43"/>
      <c r="FE65" s="43"/>
      <c r="FF65" s="43"/>
      <c r="FG65" s="43"/>
      <c r="FH65" s="43"/>
      <c r="FI65" s="43"/>
      <c r="FJ65" s="43"/>
      <c r="FK65" s="43"/>
      <c r="FL65" s="43"/>
      <c r="FM65" s="43"/>
      <c r="FN65" s="43"/>
      <c r="FO65" s="43"/>
      <c r="FP65" s="43"/>
      <c r="FQ65" s="43"/>
      <c r="FR65" s="43"/>
      <c r="FS65" s="43"/>
      <c r="FT65" s="43"/>
      <c r="FU65" s="43"/>
      <c r="FV65" s="43"/>
      <c r="FW65" s="43"/>
      <c r="FX65" s="43"/>
      <c r="FY65" s="43"/>
      <c r="FZ65" s="43"/>
      <c r="GA65" s="43"/>
      <c r="GB65" s="43"/>
      <c r="GC65" s="43"/>
      <c r="GD65" s="43"/>
      <c r="GE65" s="43"/>
      <c r="GF65" s="43"/>
      <c r="GG65" s="122"/>
      <c r="GH65" s="144"/>
      <c r="GI65" s="144"/>
      <c r="GJ65" s="144"/>
      <c r="GK65" s="144"/>
      <c r="GL65" s="43"/>
      <c r="GM65" s="43"/>
      <c r="GN65" s="43"/>
      <c r="GO65" s="43"/>
      <c r="GP65" s="43"/>
      <c r="GQ65" s="43"/>
      <c r="GR65" s="43"/>
      <c r="GS65" s="43"/>
      <c r="GT65" s="43"/>
      <c r="GU65" s="385"/>
      <c r="GV65" s="385"/>
      <c r="GW65" s="385"/>
      <c r="GX65" s="385"/>
      <c r="GY65" s="385"/>
      <c r="GZ65" s="385"/>
      <c r="HA65" s="385"/>
      <c r="HB65" s="385"/>
      <c r="HC65" s="385"/>
      <c r="HD65" s="385"/>
      <c r="HE65" s="385"/>
      <c r="HF65" s="385"/>
      <c r="HG65" s="385"/>
      <c r="HH65" s="385"/>
      <c r="HI65" s="385"/>
      <c r="HJ65" s="385"/>
      <c r="HK65" s="385">
        <v>188621037</v>
      </c>
      <c r="HL65" s="385"/>
      <c r="HM65" s="385"/>
      <c r="HN65" s="385"/>
      <c r="HO65" s="385"/>
      <c r="HP65" s="385"/>
      <c r="HQ65" s="385"/>
      <c r="HR65" s="385"/>
      <c r="HS65" s="385"/>
      <c r="HT65" s="385"/>
      <c r="HU65" s="43"/>
      <c r="HZ65" s="385"/>
      <c r="IA65" s="385"/>
      <c r="IB65" s="385"/>
      <c r="IC65" s="385"/>
      <c r="ID65" s="385"/>
      <c r="IE65" s="385"/>
      <c r="IF65" s="385"/>
      <c r="IG65" s="385"/>
      <c r="IH65" s="385"/>
      <c r="II65" s="385"/>
      <c r="IJ65" s="644"/>
      <c r="IK65" s="385"/>
      <c r="IL65" s="385"/>
      <c r="IM65" s="385"/>
      <c r="IN65" s="385"/>
      <c r="IO65" s="644"/>
      <c r="IP65" s="385"/>
      <c r="IQ65" s="385"/>
      <c r="IR65" s="385"/>
      <c r="IS65" s="385"/>
      <c r="IY65" s="43"/>
      <c r="IZ65" s="43"/>
      <c r="JA65" s="43"/>
      <c r="JB65" s="43"/>
      <c r="JC65" s="43"/>
      <c r="JD65" s="43"/>
      <c r="JE65" s="43"/>
      <c r="JF65" s="43"/>
      <c r="JG65" s="43"/>
      <c r="JH65" s="43"/>
      <c r="JI65" s="43"/>
      <c r="JJ65" s="43"/>
      <c r="JK65" s="43"/>
      <c r="JL65" s="43"/>
      <c r="JM65" s="43"/>
      <c r="JN65" s="43"/>
      <c r="JO65" s="43"/>
      <c r="JP65" s="43"/>
      <c r="JQ65" s="43"/>
      <c r="JR65" s="43"/>
      <c r="JS65" s="43"/>
      <c r="JT65" s="43"/>
      <c r="JU65" s="43"/>
      <c r="JV65" s="43"/>
      <c r="JW65" s="43"/>
      <c r="JX65" s="43"/>
      <c r="JY65" s="43"/>
      <c r="JZ65" s="43"/>
      <c r="KA65" s="43"/>
      <c r="KB65" s="43"/>
      <c r="KC65" s="43"/>
      <c r="KD65" s="43"/>
      <c r="KE65" s="43"/>
      <c r="KF65" s="43"/>
      <c r="KG65" s="43"/>
      <c r="KH65" s="43"/>
      <c r="KI65" s="43"/>
      <c r="KJ65" s="43"/>
      <c r="KK65" s="43"/>
      <c r="KL65" s="43"/>
      <c r="KM65" s="43"/>
      <c r="KN65" s="43"/>
      <c r="KO65" s="43"/>
      <c r="KP65" s="43"/>
      <c r="KQ65" s="43"/>
      <c r="KR65" s="43"/>
      <c r="KS65" s="43"/>
      <c r="KT65" s="43"/>
      <c r="KU65" s="43"/>
      <c r="KV65" s="43"/>
      <c r="KW65" s="43"/>
      <c r="KX65" s="43"/>
      <c r="KY65" s="43"/>
      <c r="KZ65" s="43"/>
      <c r="LA65" s="43"/>
      <c r="LB65" s="117"/>
      <c r="LC65" s="117"/>
      <c r="LD65" s="117"/>
      <c r="LE65" s="117"/>
      <c r="LF65" s="117"/>
      <c r="LG65" s="117"/>
      <c r="LH65" s="117"/>
      <c r="LI65" s="43"/>
      <c r="LJ65" s="43"/>
      <c r="LK65" s="43"/>
      <c r="LL65" s="626"/>
      <c r="LM65" s="117"/>
      <c r="LN65" s="117"/>
      <c r="LO65" s="117"/>
      <c r="LP65" s="117"/>
      <c r="LQ65" s="626"/>
      <c r="LR65" s="117"/>
      <c r="LS65" s="117"/>
      <c r="LT65" s="117"/>
      <c r="LU65" s="117"/>
      <c r="MA65" s="43"/>
      <c r="MB65" s="43"/>
      <c r="MC65" s="43"/>
      <c r="MD65" s="43"/>
      <c r="ME65" s="43"/>
      <c r="MF65" s="43"/>
      <c r="MG65" s="43"/>
      <c r="MH65" s="43"/>
      <c r="MI65" s="43"/>
      <c r="MJ65" s="43"/>
      <c r="MK65" s="43"/>
      <c r="ML65" s="43"/>
      <c r="MM65" s="43"/>
      <c r="MN65" s="43"/>
      <c r="MO65" s="43"/>
      <c r="RU65" s="43"/>
      <c r="RV65" s="43"/>
      <c r="RW65" s="43"/>
      <c r="RX65" s="43"/>
      <c r="RY65" s="43"/>
      <c r="RZ65" s="43"/>
      <c r="SA65" s="43"/>
      <c r="SB65" s="43"/>
      <c r="SC65" s="43"/>
      <c r="SD65" s="43"/>
      <c r="SE65" s="43"/>
      <c r="SF65" s="43"/>
      <c r="SG65" s="43"/>
      <c r="SH65" s="43"/>
      <c r="SI65" s="43"/>
      <c r="UR65" s="37"/>
      <c r="US65" s="37"/>
      <c r="UT65" s="37"/>
      <c r="UU65" s="37"/>
      <c r="UV65" s="37"/>
      <c r="UW65" s="37"/>
      <c r="UX65" s="37"/>
      <c r="UY65" s="37"/>
      <c r="UZ65" s="37"/>
      <c r="VA65" s="37"/>
      <c r="VB65" s="37"/>
      <c r="VC65" s="37"/>
      <c r="VD65" s="37"/>
      <c r="VE65" s="37"/>
      <c r="VF65" s="37"/>
      <c r="VG65" s="37"/>
      <c r="VH65" s="37"/>
      <c r="VI65" s="37"/>
      <c r="VJ65" s="37"/>
      <c r="VK65" s="37"/>
      <c r="VL65" s="37"/>
      <c r="VM65" s="43"/>
      <c r="VN65" s="37"/>
      <c r="VO65" s="37"/>
      <c r="VP65" s="37"/>
      <c r="VQ65" s="37"/>
      <c r="VR65" s="43"/>
      <c r="VS65" s="37"/>
      <c r="VT65" s="37"/>
      <c r="VU65" s="43"/>
      <c r="VV65" s="37"/>
      <c r="VW65" s="37"/>
      <c r="VX65" s="37"/>
      <c r="VY65" s="37"/>
      <c r="VZ65" s="37"/>
      <c r="WD65" s="37"/>
      <c r="WE65" s="37"/>
      <c r="WF65" s="37"/>
      <c r="WG65" s="43"/>
      <c r="WH65" s="37"/>
      <c r="WI65" s="37"/>
      <c r="WJ65" s="43"/>
      <c r="WK65" s="43"/>
      <c r="WL65" s="37"/>
      <c r="WM65" s="37"/>
      <c r="WN65" s="37"/>
      <c r="WO65" s="37"/>
      <c r="WP65" s="43"/>
      <c r="WQ65" s="43"/>
      <c r="WR65" s="37"/>
      <c r="WS65" s="37"/>
      <c r="WT65" s="43"/>
      <c r="WU65" s="37"/>
      <c r="WV65" s="37"/>
      <c r="WW65" s="43"/>
      <c r="WX65" s="602"/>
      <c r="WY65" s="602"/>
      <c r="XC65" s="602"/>
      <c r="XD65" s="602"/>
      <c r="XE65" s="602"/>
      <c r="XF65" s="37"/>
      <c r="XG65" s="37"/>
      <c r="XH65" s="37"/>
      <c r="XI65" s="37"/>
      <c r="XJ65" s="37"/>
      <c r="XK65" s="37"/>
      <c r="XL65" s="37"/>
      <c r="XM65" s="43"/>
      <c r="XN65" s="43"/>
      <c r="XO65" s="43"/>
      <c r="XP65" s="60"/>
      <c r="XQ65" s="37"/>
      <c r="XR65" s="37"/>
      <c r="XS65" s="43"/>
      <c r="XT65" s="37"/>
      <c r="XU65" s="37"/>
      <c r="XV65" s="43"/>
      <c r="XW65" s="37"/>
      <c r="XX65" s="37"/>
      <c r="XY65" s="43"/>
      <c r="YB65" s="37"/>
      <c r="YC65" s="37"/>
      <c r="YD65" s="37"/>
      <c r="YE65" s="37"/>
      <c r="YF65" s="43"/>
      <c r="YG65" s="43"/>
      <c r="YH65" s="43"/>
      <c r="YI65" s="43"/>
      <c r="YJ65" s="43"/>
      <c r="YK65" s="43"/>
      <c r="YL65" s="122"/>
      <c r="ZZ65" s="43"/>
      <c r="ABD65" s="43"/>
      <c r="ABE65" s="43"/>
      <c r="ABF65" s="43"/>
      <c r="ABG65" s="43"/>
      <c r="ABH65" s="43"/>
      <c r="ABI65" s="43"/>
      <c r="ABJ65" s="43"/>
      <c r="ABK65" s="43"/>
      <c r="ABL65" s="43"/>
      <c r="ABM65" s="43"/>
      <c r="ABN65" s="43"/>
      <c r="ABO65" s="43"/>
      <c r="ABP65" s="43"/>
      <c r="ABQ65" s="43"/>
      <c r="ABR65" s="43"/>
      <c r="ABS65" s="43"/>
      <c r="ABT65" s="43"/>
      <c r="ABU65" s="43"/>
      <c r="ABV65" s="43"/>
      <c r="ABW65" s="43"/>
    </row>
    <row r="66" spans="2:806" ht="12.75" customHeight="1"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5" t="s">
        <v>222</v>
      </c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5" t="s">
        <v>222</v>
      </c>
      <c r="AQ66" s="43"/>
      <c r="AR66" s="43"/>
      <c r="AS66" s="43"/>
      <c r="AT66" s="43"/>
      <c r="AU66" s="43"/>
      <c r="AV66" s="43"/>
      <c r="AW66" s="43"/>
      <c r="AX66" s="43"/>
      <c r="AY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616"/>
      <c r="BP66" s="43"/>
      <c r="BQ66" s="43"/>
      <c r="BR66" s="43"/>
      <c r="BS66" s="43"/>
      <c r="BT66" s="616"/>
      <c r="BU66" s="43"/>
      <c r="BV66" s="43"/>
      <c r="BW66" s="43"/>
      <c r="BX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5" t="s">
        <v>222</v>
      </c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5" t="s">
        <v>222</v>
      </c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616"/>
      <c r="EG66" s="43"/>
      <c r="EH66" s="43"/>
      <c r="EI66" s="43"/>
      <c r="EJ66" s="43"/>
      <c r="EK66" s="616"/>
      <c r="EL66" s="43"/>
      <c r="EM66" s="43"/>
      <c r="EN66" s="43"/>
      <c r="EO66" s="43"/>
      <c r="EP66" s="616"/>
      <c r="EQ66" s="43"/>
      <c r="ER66" s="43"/>
      <c r="ES66" s="43"/>
      <c r="EY66" s="45"/>
      <c r="EZ66" s="43"/>
      <c r="FA66" s="43"/>
      <c r="FB66" s="43"/>
      <c r="FC66" s="43"/>
      <c r="FD66" s="43"/>
      <c r="FE66" s="43"/>
      <c r="FF66" s="43"/>
      <c r="FG66" s="43"/>
      <c r="FH66" s="43"/>
      <c r="FI66" s="43"/>
      <c r="FJ66" s="43"/>
      <c r="FK66" s="43"/>
      <c r="FL66" s="43"/>
      <c r="FM66" s="43"/>
      <c r="FN66" s="43"/>
      <c r="FO66" s="43"/>
      <c r="FP66" s="43"/>
      <c r="FQ66" s="43"/>
      <c r="FR66" s="43"/>
      <c r="FS66" s="43"/>
      <c r="FT66" s="43"/>
      <c r="FU66" s="43"/>
      <c r="FV66" s="43"/>
      <c r="FW66" s="43"/>
      <c r="FX66" s="43"/>
      <c r="FY66" s="43"/>
      <c r="FZ66" s="43"/>
      <c r="GA66" s="43"/>
      <c r="GB66" s="43"/>
      <c r="GC66" s="43"/>
      <c r="GD66" s="43"/>
      <c r="GE66" s="43"/>
      <c r="GF66" s="43"/>
      <c r="GG66" s="144"/>
      <c r="GH66" s="144"/>
      <c r="GI66" s="144"/>
      <c r="GJ66" s="144"/>
      <c r="GK66" s="144"/>
      <c r="GL66" s="45" t="s">
        <v>222</v>
      </c>
      <c r="GM66" s="43"/>
      <c r="GN66" s="43"/>
      <c r="GO66" s="43"/>
      <c r="GP66" s="43"/>
      <c r="GQ66" s="45"/>
      <c r="GR66" s="43"/>
      <c r="GS66" s="43"/>
      <c r="GT66" s="43"/>
      <c r="GU66" s="385"/>
      <c r="GV66" s="385"/>
      <c r="GW66" s="385"/>
      <c r="GX66" s="385"/>
      <c r="GY66" s="385"/>
      <c r="GZ66" s="385"/>
      <c r="HA66" s="385"/>
      <c r="HB66" s="385"/>
      <c r="HC66" s="385"/>
      <c r="HD66" s="385"/>
      <c r="HE66" s="385"/>
      <c r="HF66" s="385"/>
      <c r="HG66" s="385"/>
      <c r="HH66" s="385"/>
      <c r="HI66" s="385"/>
      <c r="HJ66" s="385"/>
      <c r="HK66" s="45" t="s">
        <v>222</v>
      </c>
      <c r="HL66" s="385"/>
      <c r="HM66" s="385"/>
      <c r="HN66" s="385"/>
      <c r="HO66" s="385"/>
      <c r="HP66" s="45" t="s">
        <v>222</v>
      </c>
      <c r="HQ66" s="385"/>
      <c r="HR66" s="385"/>
      <c r="HS66" s="385"/>
      <c r="HT66" s="385"/>
      <c r="HU66" s="43"/>
      <c r="HZ66" s="385"/>
      <c r="IA66" s="385"/>
      <c r="IB66" s="385"/>
      <c r="IC66" s="385"/>
      <c r="ID66" s="385"/>
      <c r="IE66" s="385"/>
      <c r="IF66" s="385"/>
      <c r="IG66" s="385"/>
      <c r="IH66" s="385"/>
      <c r="II66" s="385"/>
      <c r="IJ66" s="644"/>
      <c r="IK66" s="385"/>
      <c r="IL66" s="385"/>
      <c r="IM66" s="385"/>
      <c r="IN66" s="385"/>
      <c r="IO66" s="644"/>
      <c r="IP66" s="385"/>
      <c r="IQ66" s="385"/>
      <c r="IR66" s="385"/>
      <c r="IS66" s="385"/>
      <c r="IY66" s="43"/>
      <c r="IZ66" s="43"/>
      <c r="JA66" s="43"/>
      <c r="JB66" s="43"/>
      <c r="JC66" s="43"/>
      <c r="JD66" s="43"/>
      <c r="JE66" s="43"/>
      <c r="JF66" s="43"/>
      <c r="JG66" s="43"/>
      <c r="JH66" s="43"/>
      <c r="JI66" s="43"/>
      <c r="JJ66" s="43"/>
      <c r="JK66" s="43"/>
      <c r="JL66" s="43"/>
      <c r="JM66" s="43"/>
      <c r="JN66" s="43"/>
      <c r="JO66" s="43"/>
      <c r="JP66" s="43"/>
      <c r="JQ66" s="43"/>
      <c r="JR66" s="43"/>
      <c r="JS66" s="43" t="s">
        <v>222</v>
      </c>
      <c r="JT66" s="43"/>
      <c r="JU66" s="43"/>
      <c r="JV66" s="43"/>
      <c r="JW66" s="43"/>
      <c r="JX66" s="43"/>
      <c r="JY66" s="43"/>
      <c r="JZ66" s="43"/>
      <c r="KA66" s="43"/>
      <c r="KB66" s="43"/>
      <c r="KC66" s="43"/>
      <c r="KD66" s="43"/>
      <c r="KE66" s="43"/>
      <c r="KF66" s="43"/>
      <c r="KG66" s="43"/>
      <c r="KH66" s="43"/>
      <c r="KI66" s="43"/>
      <c r="KJ66" s="43"/>
      <c r="KK66" s="43"/>
      <c r="KL66" s="43"/>
      <c r="KM66" s="43"/>
      <c r="KN66" s="43"/>
      <c r="KO66" s="43"/>
      <c r="KP66" s="43"/>
      <c r="KQ66" s="43"/>
      <c r="KR66" s="45" t="s">
        <v>222</v>
      </c>
      <c r="KS66" s="43"/>
      <c r="KT66" s="43"/>
      <c r="KU66" s="43"/>
      <c r="KV66" s="43"/>
      <c r="KW66" s="43"/>
      <c r="KX66" s="43"/>
      <c r="KY66" s="43"/>
      <c r="KZ66" s="43"/>
      <c r="LA66" s="43"/>
      <c r="LB66" s="117"/>
      <c r="LC66" s="117"/>
      <c r="LD66" s="117"/>
      <c r="LE66" s="117"/>
      <c r="LF66" s="117"/>
      <c r="LG66" s="117"/>
      <c r="LH66" s="117"/>
      <c r="LI66" s="43"/>
      <c r="LJ66" s="43"/>
      <c r="LK66" s="43"/>
      <c r="LL66" s="626"/>
      <c r="LM66" s="117"/>
      <c r="LN66" s="117"/>
      <c r="LO66" s="117"/>
      <c r="LP66" s="117"/>
      <c r="LQ66" s="626"/>
      <c r="LR66" s="117"/>
      <c r="LS66" s="117"/>
      <c r="LT66" s="117"/>
      <c r="LU66" s="117"/>
      <c r="MA66" s="43"/>
      <c r="MB66" s="43"/>
      <c r="MC66" s="43"/>
      <c r="MD66" s="43"/>
      <c r="ME66" s="43"/>
      <c r="MF66" s="43"/>
      <c r="MG66" s="43"/>
      <c r="MH66" s="43"/>
      <c r="MI66" s="43"/>
      <c r="MJ66" s="43"/>
      <c r="MK66" s="43"/>
      <c r="ML66" s="43"/>
      <c r="MM66" s="43"/>
      <c r="MN66" s="43"/>
      <c r="MO66" s="43"/>
      <c r="MP66" s="45" t="s">
        <v>222</v>
      </c>
      <c r="NO66" s="45" t="s">
        <v>222</v>
      </c>
      <c r="PH66" s="45" t="s">
        <v>222</v>
      </c>
      <c r="PR66" s="45"/>
      <c r="QL66" s="45" t="s">
        <v>222</v>
      </c>
      <c r="RU66" s="43"/>
      <c r="RV66" s="43"/>
      <c r="RW66" s="43"/>
      <c r="RX66" s="43"/>
      <c r="RY66" s="43"/>
      <c r="RZ66" s="43"/>
      <c r="SA66" s="43"/>
      <c r="SB66" s="43"/>
      <c r="SC66" s="43"/>
      <c r="SD66" s="43"/>
      <c r="SE66" s="43"/>
      <c r="SF66" s="43"/>
      <c r="SG66" s="43"/>
      <c r="SH66" s="43"/>
      <c r="SI66" s="43"/>
      <c r="SJ66" s="45" t="s">
        <v>222</v>
      </c>
      <c r="SO66" s="45"/>
      <c r="UR66" s="37"/>
      <c r="US66" s="37"/>
      <c r="UT66" s="37"/>
      <c r="UU66" s="37"/>
      <c r="UV66" s="37"/>
      <c r="UW66" s="37"/>
      <c r="UX66" s="37"/>
      <c r="UY66" s="37"/>
      <c r="UZ66" s="37"/>
      <c r="VA66" s="37"/>
      <c r="VB66" s="37"/>
      <c r="VC66" s="37"/>
      <c r="VD66" s="37"/>
      <c r="VE66" s="37"/>
      <c r="VF66" s="37"/>
      <c r="VG66" s="37"/>
      <c r="VH66" s="37"/>
      <c r="VI66" s="37"/>
      <c r="VJ66" s="37"/>
      <c r="VK66" s="37"/>
      <c r="VL66" s="37"/>
      <c r="VM66" s="43"/>
      <c r="VN66" s="37"/>
      <c r="VO66" s="37"/>
      <c r="VP66" s="37"/>
      <c r="VQ66" s="37"/>
      <c r="VR66" s="43"/>
      <c r="VS66" s="37"/>
      <c r="VT66" s="37"/>
      <c r="VU66" s="43"/>
      <c r="VV66" s="37"/>
      <c r="VW66" s="37"/>
      <c r="VX66" s="37"/>
      <c r="VY66" s="37"/>
      <c r="VZ66" s="37"/>
      <c r="WD66" s="37"/>
      <c r="WE66" s="37"/>
      <c r="WF66" s="37"/>
      <c r="WG66" s="43"/>
      <c r="WH66" s="37"/>
      <c r="WI66" s="37"/>
      <c r="WJ66" s="43"/>
      <c r="WK66" s="43"/>
      <c r="WL66" s="37"/>
      <c r="WM66" s="37"/>
      <c r="WN66" s="37"/>
      <c r="WO66" s="37"/>
      <c r="WP66" s="43"/>
      <c r="WQ66" s="43"/>
      <c r="WR66" s="37"/>
      <c r="WS66" s="37"/>
      <c r="WT66" s="43"/>
      <c r="WU66" s="37"/>
      <c r="WV66" s="37"/>
      <c r="WW66" s="43"/>
      <c r="WX66" s="602"/>
      <c r="WY66" s="602"/>
      <c r="XC66" s="602"/>
      <c r="XD66" s="602"/>
      <c r="XE66" s="602"/>
      <c r="XF66" s="37"/>
      <c r="XG66" s="37"/>
      <c r="XH66" s="37"/>
      <c r="XI66" s="37"/>
      <c r="XJ66" s="37"/>
      <c r="XK66" s="37"/>
      <c r="XL66" s="37"/>
      <c r="XM66" s="43"/>
      <c r="XN66" s="43"/>
      <c r="XO66" s="43"/>
      <c r="XP66" s="60"/>
      <c r="XQ66" s="37"/>
      <c r="XR66" s="37"/>
      <c r="XS66" s="43"/>
      <c r="XT66" s="37"/>
      <c r="XU66" s="37"/>
      <c r="XV66" s="43"/>
      <c r="XW66" s="37"/>
      <c r="XX66" s="37"/>
      <c r="XY66" s="43"/>
      <c r="YB66" s="37"/>
      <c r="YC66" s="37"/>
      <c r="YD66" s="37"/>
      <c r="YE66" s="37"/>
      <c r="YF66" s="43"/>
      <c r="YG66" s="43"/>
      <c r="YH66" s="43"/>
      <c r="YI66" s="43"/>
      <c r="YJ66" s="43"/>
      <c r="YK66" s="43"/>
      <c r="YL66" s="144"/>
      <c r="YQ66" s="45" t="s">
        <v>222</v>
      </c>
      <c r="YV66" s="45"/>
      <c r="ZZ66" s="43"/>
      <c r="ABD66" s="43"/>
      <c r="ABE66" s="43"/>
      <c r="ABF66" s="43"/>
      <c r="ABG66" s="43"/>
      <c r="ABH66" s="43"/>
      <c r="ABI66" s="43"/>
      <c r="ABJ66" s="43"/>
      <c r="ABK66" s="43"/>
      <c r="ABL66" s="43"/>
      <c r="ABM66" s="43"/>
      <c r="ABN66" s="45" t="s">
        <v>222</v>
      </c>
      <c r="ABO66" s="43"/>
      <c r="ABP66" s="43"/>
      <c r="ABQ66" s="43"/>
      <c r="ABR66" s="43"/>
      <c r="ABS66" s="45"/>
      <c r="ABT66" s="43"/>
      <c r="ABU66" s="43"/>
      <c r="ABV66" s="43"/>
      <c r="ABW66" s="43"/>
      <c r="ABX66" s="45" t="s">
        <v>222</v>
      </c>
      <c r="ACM66" s="45" t="s">
        <v>222</v>
      </c>
      <c r="ACR66" s="45"/>
      <c r="ADB66" s="45"/>
      <c r="ADG66" s="45"/>
    </row>
    <row r="67" spans="2:806" s="45" customFormat="1" ht="319.5" customHeight="1">
      <c r="B67" s="4" t="s">
        <v>223</v>
      </c>
      <c r="C67" s="43"/>
      <c r="D67" s="43"/>
      <c r="E67" s="43"/>
      <c r="F67" s="43"/>
      <c r="G67" s="43" t="s">
        <v>224</v>
      </c>
      <c r="H67" s="43" t="s">
        <v>225</v>
      </c>
      <c r="I67" s="43" t="s">
        <v>225</v>
      </c>
      <c r="J67" s="43" t="s">
        <v>226</v>
      </c>
      <c r="K67" s="43" t="s">
        <v>225</v>
      </c>
      <c r="L67" s="43" t="s">
        <v>227</v>
      </c>
      <c r="M67" s="43" t="s">
        <v>228</v>
      </c>
      <c r="N67" s="43" t="s">
        <v>229</v>
      </c>
      <c r="O67" s="43" t="s">
        <v>230</v>
      </c>
      <c r="P67" s="43" t="s">
        <v>231</v>
      </c>
      <c r="Q67" s="117" t="s">
        <v>232</v>
      </c>
      <c r="R67" s="117" t="s">
        <v>233</v>
      </c>
      <c r="S67" s="117" t="s">
        <v>234</v>
      </c>
      <c r="T67" s="117" t="s">
        <v>235</v>
      </c>
      <c r="U67" s="117" t="s">
        <v>236</v>
      </c>
      <c r="V67" s="43" t="s">
        <v>237</v>
      </c>
      <c r="W67" s="43"/>
      <c r="X67" s="43"/>
      <c r="Y67" s="43"/>
      <c r="Z67" s="43"/>
      <c r="AA67" s="117" t="s">
        <v>238</v>
      </c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 t="s">
        <v>167</v>
      </c>
      <c r="AQ67" s="43"/>
      <c r="AR67" s="43"/>
      <c r="AS67" s="43"/>
      <c r="AT67" s="43"/>
      <c r="AU67" s="43" t="s">
        <v>168</v>
      </c>
      <c r="AV67" s="43"/>
      <c r="AW67" s="43"/>
      <c r="AX67" s="43"/>
      <c r="AY67" s="43"/>
      <c r="AZ67" s="43"/>
      <c r="BA67" s="43"/>
      <c r="BB67" s="43"/>
      <c r="BC67" s="43"/>
      <c r="BD67" s="43"/>
      <c r="BE67" s="43" t="s">
        <v>239</v>
      </c>
      <c r="BF67" s="43"/>
      <c r="BG67" s="43"/>
      <c r="BH67" s="43"/>
      <c r="BI67" s="43"/>
      <c r="BJ67" s="43" t="s">
        <v>240</v>
      </c>
      <c r="BK67" s="43"/>
      <c r="BL67" s="43"/>
      <c r="BM67" s="43"/>
      <c r="BN67" s="43"/>
      <c r="BO67" s="616"/>
      <c r="BP67" s="43"/>
      <c r="BQ67" s="43"/>
      <c r="BR67" s="43"/>
      <c r="BS67" s="43"/>
      <c r="BT67" s="616"/>
      <c r="BU67" s="43"/>
      <c r="BV67" s="43"/>
      <c r="BW67" s="43"/>
      <c r="BX67" s="43"/>
      <c r="BY67" s="43"/>
      <c r="BZ67" s="43"/>
      <c r="CA67" s="43"/>
      <c r="CB67" s="43"/>
      <c r="CC67" s="43" t="s">
        <v>224</v>
      </c>
      <c r="CD67" s="43" t="s">
        <v>225</v>
      </c>
      <c r="CE67" s="43" t="s">
        <v>225</v>
      </c>
      <c r="CF67" s="43" t="s">
        <v>226</v>
      </c>
      <c r="CG67" s="43" t="s">
        <v>225</v>
      </c>
      <c r="CH67" s="43" t="s">
        <v>241</v>
      </c>
      <c r="CI67" s="43" t="s">
        <v>242</v>
      </c>
      <c r="CJ67" s="43" t="s">
        <v>229</v>
      </c>
      <c r="CK67" s="43" t="s">
        <v>243</v>
      </c>
      <c r="CL67" s="43" t="s">
        <v>231</v>
      </c>
      <c r="CM67" s="117" t="s">
        <v>232</v>
      </c>
      <c r="CN67" s="117" t="s">
        <v>233</v>
      </c>
      <c r="CO67" s="117" t="s">
        <v>234</v>
      </c>
      <c r="CP67" s="117" t="s">
        <v>235</v>
      </c>
      <c r="CQ67" s="117" t="s">
        <v>236</v>
      </c>
      <c r="CR67" s="43" t="s">
        <v>237</v>
      </c>
      <c r="CS67" s="43"/>
      <c r="CT67" s="43"/>
      <c r="CU67" s="43"/>
      <c r="CV67" s="43"/>
      <c r="CW67" s="117" t="s">
        <v>238</v>
      </c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 t="s">
        <v>167</v>
      </c>
      <c r="DM67" s="43"/>
      <c r="DN67" s="43"/>
      <c r="DO67" s="43"/>
      <c r="DP67" s="43"/>
      <c r="DQ67" s="43" t="s">
        <v>168</v>
      </c>
      <c r="DR67" s="43"/>
      <c r="DS67" s="43"/>
      <c r="DT67" s="43"/>
      <c r="DU67" s="43"/>
      <c r="DV67" s="43" t="s">
        <v>239</v>
      </c>
      <c r="DW67" s="43"/>
      <c r="DX67" s="43"/>
      <c r="DY67" s="43"/>
      <c r="DZ67" s="43"/>
      <c r="EA67" s="43" t="s">
        <v>240</v>
      </c>
      <c r="EB67" s="43"/>
      <c r="EC67" s="43"/>
      <c r="ED67" s="43"/>
      <c r="EE67" s="43"/>
      <c r="EF67" s="616"/>
      <c r="EG67" s="43"/>
      <c r="EH67" s="43"/>
      <c r="EI67" s="43"/>
      <c r="EJ67" s="43"/>
      <c r="EK67" s="616"/>
      <c r="EL67" s="43"/>
      <c r="EM67" s="43"/>
      <c r="EN67" s="43"/>
      <c r="EO67" s="43"/>
      <c r="EP67" s="43" t="s">
        <v>244</v>
      </c>
      <c r="EQ67" s="43"/>
      <c r="ER67" s="43"/>
      <c r="ES67" s="43"/>
      <c r="ET67" s="43"/>
      <c r="EU67" s="43"/>
      <c r="EV67" s="43"/>
      <c r="EW67" s="43"/>
      <c r="EX67" s="43"/>
      <c r="EY67" s="43"/>
      <c r="EZ67" s="43"/>
      <c r="FA67" s="43"/>
      <c r="FB67" s="43"/>
      <c r="FC67" s="43"/>
      <c r="FD67" s="43"/>
      <c r="FE67" s="43"/>
      <c r="FF67" s="43"/>
      <c r="FG67" s="43"/>
      <c r="FH67" s="4" t="s">
        <v>223</v>
      </c>
      <c r="FI67" s="43"/>
      <c r="FJ67" s="43"/>
      <c r="FK67" s="43"/>
      <c r="FL67" s="43"/>
      <c r="FM67" s="43" t="s">
        <v>224</v>
      </c>
      <c r="FN67" s="43" t="s">
        <v>225</v>
      </c>
      <c r="FO67" s="43" t="s">
        <v>225</v>
      </c>
      <c r="FP67" s="43" t="s">
        <v>226</v>
      </c>
      <c r="FQ67" s="43" t="s">
        <v>225</v>
      </c>
      <c r="FR67" s="43" t="s">
        <v>241</v>
      </c>
      <c r="FS67" s="43" t="s">
        <v>228</v>
      </c>
      <c r="FT67" s="43" t="s">
        <v>229</v>
      </c>
      <c r="FU67" s="43" t="s">
        <v>243</v>
      </c>
      <c r="FV67" s="43" t="s">
        <v>231</v>
      </c>
      <c r="FW67" s="117" t="s">
        <v>160</v>
      </c>
      <c r="FX67" s="43"/>
      <c r="FY67" s="43"/>
      <c r="FZ67" s="43"/>
      <c r="GA67" s="43"/>
      <c r="GB67" s="117" t="s">
        <v>161</v>
      </c>
      <c r="GC67" s="43"/>
      <c r="GD67" s="43"/>
      <c r="GE67" s="43"/>
      <c r="GF67" s="43"/>
      <c r="GG67" s="117" t="s">
        <v>245</v>
      </c>
      <c r="GH67" s="144"/>
      <c r="GI67" s="144"/>
      <c r="GJ67" s="144"/>
      <c r="GK67" s="144"/>
      <c r="GL67" s="43" t="s">
        <v>237</v>
      </c>
      <c r="GM67" s="43"/>
      <c r="GN67" s="43"/>
      <c r="GO67" s="43"/>
      <c r="GP67" s="43"/>
      <c r="GQ67" s="43"/>
      <c r="GR67" s="43"/>
      <c r="GS67" s="43"/>
      <c r="GT67" s="43"/>
      <c r="GU67" s="385"/>
      <c r="GV67" s="117" t="s">
        <v>238</v>
      </c>
      <c r="GW67" s="385"/>
      <c r="GX67" s="385"/>
      <c r="GY67" s="385"/>
      <c r="GZ67" s="385"/>
      <c r="HA67" s="385"/>
      <c r="HB67" s="385"/>
      <c r="HC67" s="385"/>
      <c r="HD67" s="385"/>
      <c r="HE67" s="385"/>
      <c r="HF67" s="385"/>
      <c r="HG67" s="385"/>
      <c r="HH67" s="385"/>
      <c r="HI67" s="385"/>
      <c r="HJ67" s="385"/>
      <c r="HK67" s="43" t="s">
        <v>167</v>
      </c>
      <c r="HL67" s="385"/>
      <c r="HM67" s="385"/>
      <c r="HN67" s="385"/>
      <c r="HO67" s="385"/>
      <c r="HP67" s="43" t="s">
        <v>167</v>
      </c>
      <c r="HQ67" s="385"/>
      <c r="HR67" s="385"/>
      <c r="HS67" s="385"/>
      <c r="HT67" s="385"/>
      <c r="HU67" s="43"/>
      <c r="HV67" s="43"/>
      <c r="HW67" s="43"/>
      <c r="HX67" s="43"/>
      <c r="HY67" s="43"/>
      <c r="HZ67" s="43" t="s">
        <v>239</v>
      </c>
      <c r="IA67" s="385"/>
      <c r="IB67" s="385"/>
      <c r="IC67" s="385"/>
      <c r="ID67" s="385"/>
      <c r="IE67" s="43" t="s">
        <v>240</v>
      </c>
      <c r="IF67" s="385"/>
      <c r="IG67" s="385"/>
      <c r="IH67" s="385"/>
      <c r="II67" s="385"/>
      <c r="IJ67" s="644"/>
      <c r="IK67" s="385"/>
      <c r="IL67" s="385"/>
      <c r="IM67" s="385"/>
      <c r="IN67" s="385"/>
      <c r="IO67" s="43" t="s">
        <v>244</v>
      </c>
      <c r="IP67" s="385"/>
      <c r="IQ67" s="385"/>
      <c r="IR67" s="385"/>
      <c r="IS67" s="385"/>
      <c r="IT67" s="43"/>
      <c r="IU67" s="43"/>
      <c r="IV67" s="43"/>
      <c r="IW67" s="43"/>
      <c r="IX67" s="43"/>
      <c r="IY67" s="4" t="s">
        <v>223</v>
      </c>
      <c r="IZ67" s="43"/>
      <c r="JA67" s="43"/>
      <c r="JB67" s="43"/>
      <c r="JC67" s="43"/>
      <c r="JD67" s="43" t="s">
        <v>224</v>
      </c>
      <c r="JE67" s="43" t="s">
        <v>225</v>
      </c>
      <c r="JF67" s="43" t="s">
        <v>225</v>
      </c>
      <c r="JG67" s="43" t="s">
        <v>226</v>
      </c>
      <c r="JH67" s="43" t="s">
        <v>225</v>
      </c>
      <c r="JI67" s="43" t="s">
        <v>241</v>
      </c>
      <c r="JJ67" s="43" t="s">
        <v>228</v>
      </c>
      <c r="JK67" s="43" t="s">
        <v>246</v>
      </c>
      <c r="JL67" s="43" t="s">
        <v>243</v>
      </c>
      <c r="JM67" s="43" t="s">
        <v>231</v>
      </c>
      <c r="JN67" s="43"/>
      <c r="JO67" s="43"/>
      <c r="JP67" s="43"/>
      <c r="JQ67" s="43"/>
      <c r="JR67" s="43"/>
      <c r="JS67" s="43" t="s">
        <v>237</v>
      </c>
      <c r="JT67" s="43"/>
      <c r="JU67" s="43"/>
      <c r="JV67" s="43"/>
      <c r="JW67" s="43"/>
      <c r="JX67" s="43"/>
      <c r="JY67" s="43"/>
      <c r="JZ67" s="43"/>
      <c r="KA67" s="43"/>
      <c r="KB67" s="43"/>
      <c r="KC67" s="43"/>
      <c r="KD67" s="43"/>
      <c r="KE67" s="43"/>
      <c r="KF67" s="43"/>
      <c r="KG67" s="43"/>
      <c r="KH67" s="43"/>
      <c r="KI67" s="43"/>
      <c r="KJ67" s="43"/>
      <c r="KK67" s="43"/>
      <c r="KL67" s="43"/>
      <c r="KM67" s="43"/>
      <c r="KN67" s="43"/>
      <c r="KO67" s="43"/>
      <c r="KP67" s="43"/>
      <c r="KQ67" s="43"/>
      <c r="KR67" s="43" t="s">
        <v>167</v>
      </c>
      <c r="KS67" s="43"/>
      <c r="KT67" s="43"/>
      <c r="KU67" s="43"/>
      <c r="KV67" s="43"/>
      <c r="KW67" s="43"/>
      <c r="KX67" s="43"/>
      <c r="KY67" s="43"/>
      <c r="KZ67" s="43"/>
      <c r="LA67" s="43"/>
      <c r="LB67" s="117" t="s">
        <v>239</v>
      </c>
      <c r="LC67" s="117"/>
      <c r="LD67" s="117"/>
      <c r="LE67" s="117"/>
      <c r="LF67" s="117"/>
      <c r="LG67" s="117" t="s">
        <v>240</v>
      </c>
      <c r="LH67" s="117"/>
      <c r="LI67" s="43"/>
      <c r="LJ67" s="43"/>
      <c r="LK67" s="43"/>
      <c r="LL67" s="626"/>
      <c r="LM67" s="117"/>
      <c r="LN67" s="117"/>
      <c r="LO67" s="117"/>
      <c r="LP67" s="117"/>
      <c r="LQ67" s="43" t="s">
        <v>244</v>
      </c>
      <c r="LR67" s="117"/>
      <c r="LS67" s="117"/>
      <c r="LT67" s="117"/>
      <c r="LU67" s="117"/>
      <c r="LV67" s="43"/>
      <c r="LW67" s="43"/>
      <c r="LX67" s="43"/>
      <c r="LY67" s="43"/>
      <c r="LZ67" s="43"/>
      <c r="MA67" s="43" t="s">
        <v>224</v>
      </c>
      <c r="MB67" s="43" t="s">
        <v>225</v>
      </c>
      <c r="MC67" s="43" t="s">
        <v>225</v>
      </c>
      <c r="MD67" s="43" t="s">
        <v>226</v>
      </c>
      <c r="ME67" s="43" t="s">
        <v>225</v>
      </c>
      <c r="MF67" s="43" t="s">
        <v>247</v>
      </c>
      <c r="MG67" s="43" t="s">
        <v>228</v>
      </c>
      <c r="MH67" s="43" t="s">
        <v>246</v>
      </c>
      <c r="MI67" s="43" t="s">
        <v>243</v>
      </c>
      <c r="MJ67" s="43" t="s">
        <v>248</v>
      </c>
      <c r="MK67" s="43"/>
      <c r="ML67" s="43"/>
      <c r="MM67" s="43"/>
      <c r="MN67" s="43"/>
      <c r="MO67" s="43"/>
      <c r="MP67" s="43" t="s">
        <v>237</v>
      </c>
      <c r="MQ67" s="43"/>
      <c r="MR67" s="43"/>
      <c r="MS67" s="43"/>
      <c r="MT67" s="43"/>
      <c r="MU67" s="43"/>
      <c r="MV67" s="43"/>
      <c r="MW67" s="43"/>
      <c r="MX67" s="43"/>
      <c r="MY67" s="43"/>
      <c r="MZ67" s="43"/>
      <c r="NA67" s="43"/>
      <c r="NB67" s="43"/>
      <c r="NC67" s="43"/>
      <c r="ND67" s="43"/>
      <c r="NE67" s="43"/>
      <c r="NF67" s="43"/>
      <c r="NG67" s="43"/>
      <c r="NH67" s="43"/>
      <c r="NI67" s="43"/>
      <c r="NJ67" s="43"/>
      <c r="NK67" s="43"/>
      <c r="NL67" s="43"/>
      <c r="NM67" s="43"/>
      <c r="NN67" s="43"/>
      <c r="NO67" s="43" t="s">
        <v>167</v>
      </c>
      <c r="NP67" s="43"/>
      <c r="NQ67" s="43"/>
      <c r="NR67" s="43"/>
      <c r="NS67" s="43"/>
      <c r="NT67" s="43"/>
      <c r="NU67" s="43"/>
      <c r="NV67" s="43"/>
      <c r="NW67" s="43"/>
      <c r="NX67" s="43"/>
      <c r="NY67" s="43" t="s">
        <v>239</v>
      </c>
      <c r="NZ67" s="43"/>
      <c r="OA67" s="43"/>
      <c r="OB67" s="43"/>
      <c r="OC67" s="43"/>
      <c r="OD67" s="43" t="s">
        <v>240</v>
      </c>
      <c r="OE67" s="43"/>
      <c r="OF67" s="43"/>
      <c r="OG67" s="43"/>
      <c r="OH67" s="43"/>
      <c r="OI67" s="616"/>
      <c r="OJ67" s="43"/>
      <c r="OK67" s="43"/>
      <c r="OL67" s="43"/>
      <c r="OM67" s="43"/>
      <c r="ON67" s="43" t="s">
        <v>244</v>
      </c>
      <c r="OO67" s="43"/>
      <c r="OP67" s="43"/>
      <c r="OQ67" s="43"/>
      <c r="OR67" s="43"/>
      <c r="OS67" s="43"/>
      <c r="OT67" s="43"/>
      <c r="OU67" s="43"/>
      <c r="OV67" s="43"/>
      <c r="OW67" s="43"/>
      <c r="OX67" s="43"/>
      <c r="OY67" s="43"/>
      <c r="OZ67" s="43"/>
      <c r="PA67" s="43"/>
      <c r="PB67" s="43"/>
      <c r="PC67" s="43"/>
      <c r="PD67" s="43"/>
      <c r="PE67" s="43"/>
      <c r="PF67" s="43"/>
      <c r="PG67" s="43"/>
      <c r="PH67" s="43" t="s">
        <v>237</v>
      </c>
      <c r="PI67" s="43"/>
      <c r="PJ67" s="43"/>
      <c r="PK67" s="43"/>
      <c r="PL67" s="43"/>
      <c r="PM67" s="43"/>
      <c r="PN67" s="43"/>
      <c r="PO67" s="43"/>
      <c r="PP67" s="43"/>
      <c r="PQ67" s="43"/>
      <c r="PR67" s="43"/>
      <c r="PS67" s="43"/>
      <c r="PT67" s="43"/>
      <c r="PU67" s="43"/>
      <c r="PV67" s="43"/>
      <c r="PW67" s="43"/>
      <c r="PX67" s="43"/>
      <c r="PY67" s="43"/>
      <c r="PZ67" s="43"/>
      <c r="QA67" s="43"/>
      <c r="QB67" s="43"/>
      <c r="QC67" s="43"/>
      <c r="QD67" s="43"/>
      <c r="QE67" s="43"/>
      <c r="QF67" s="43"/>
      <c r="QG67" s="43"/>
      <c r="QH67" s="43"/>
      <c r="QI67" s="43"/>
      <c r="QJ67" s="43"/>
      <c r="QK67" s="43"/>
      <c r="QL67" s="43" t="s">
        <v>167</v>
      </c>
      <c r="QM67" s="43"/>
      <c r="QN67" s="43"/>
      <c r="QO67" s="43"/>
      <c r="QP67" s="43"/>
      <c r="QQ67" s="43"/>
      <c r="QR67" s="43"/>
      <c r="QS67" s="43"/>
      <c r="QT67" s="43"/>
      <c r="QU67" s="43"/>
      <c r="QV67" s="43" t="s">
        <v>239</v>
      </c>
      <c r="QW67" s="43"/>
      <c r="QX67" s="43"/>
      <c r="QY67" s="43"/>
      <c r="QZ67" s="43"/>
      <c r="RA67" s="43" t="s">
        <v>240</v>
      </c>
      <c r="RB67" s="43"/>
      <c r="RC67" s="43"/>
      <c r="RD67" s="43"/>
      <c r="RE67" s="43"/>
      <c r="RF67" s="43"/>
      <c r="RG67" s="43"/>
      <c r="RH67" s="43"/>
      <c r="RI67" s="43"/>
      <c r="RJ67" s="43"/>
      <c r="RK67" s="43" t="s">
        <v>244</v>
      </c>
      <c r="RL67" s="43"/>
      <c r="RM67" s="43"/>
      <c r="RN67" s="43"/>
      <c r="RO67" s="43"/>
      <c r="RP67" s="43"/>
      <c r="RQ67" s="43"/>
      <c r="RR67" s="43"/>
      <c r="RS67" s="43"/>
      <c r="RT67" s="43"/>
      <c r="RU67" s="43" t="s">
        <v>224</v>
      </c>
      <c r="RV67" s="43" t="s">
        <v>225</v>
      </c>
      <c r="RW67" s="43" t="s">
        <v>225</v>
      </c>
      <c r="RX67" s="43" t="s">
        <v>226</v>
      </c>
      <c r="RY67" s="43" t="s">
        <v>225</v>
      </c>
      <c r="RZ67" s="43" t="s">
        <v>247</v>
      </c>
      <c r="SA67" s="43" t="s">
        <v>228</v>
      </c>
      <c r="SB67" s="43" t="s">
        <v>246</v>
      </c>
      <c r="SC67" s="43" t="s">
        <v>243</v>
      </c>
      <c r="SD67" s="43" t="s">
        <v>248</v>
      </c>
      <c r="SE67" s="43"/>
      <c r="SF67" s="43"/>
      <c r="SG67" s="43"/>
      <c r="SH67" s="43"/>
      <c r="SI67" s="43"/>
      <c r="SJ67" s="43" t="s">
        <v>237</v>
      </c>
      <c r="SK67" s="43"/>
      <c r="SL67" s="43"/>
      <c r="SM67" s="43"/>
      <c r="SN67" s="43"/>
      <c r="SO67" s="43"/>
      <c r="SP67" s="43"/>
      <c r="SQ67" s="43"/>
      <c r="SR67" s="43"/>
      <c r="SS67" s="43"/>
      <c r="ST67" s="43"/>
      <c r="SU67" s="43"/>
      <c r="SV67" s="43"/>
      <c r="SW67" s="43"/>
      <c r="SX67" s="43"/>
      <c r="SY67" s="43"/>
      <c r="SZ67" s="43"/>
      <c r="TA67" s="43"/>
      <c r="TB67" s="43"/>
      <c r="TC67" s="43"/>
      <c r="TD67" s="43"/>
      <c r="TE67" s="43"/>
      <c r="TF67" s="43"/>
      <c r="TG67" s="43"/>
      <c r="TH67" s="43"/>
      <c r="TI67" s="43" t="s">
        <v>167</v>
      </c>
      <c r="TJ67" s="43"/>
      <c r="TK67" s="43"/>
      <c r="TL67" s="43"/>
      <c r="TM67" s="43"/>
      <c r="TN67" s="43"/>
      <c r="TO67" s="43"/>
      <c r="TP67" s="43"/>
      <c r="TQ67" s="43"/>
      <c r="TR67" s="43"/>
      <c r="TS67" s="43" t="s">
        <v>239</v>
      </c>
      <c r="TT67" s="43"/>
      <c r="TU67" s="43"/>
      <c r="TV67" s="43"/>
      <c r="TW67" s="43"/>
      <c r="TX67" s="43" t="s">
        <v>240</v>
      </c>
      <c r="TY67" s="43"/>
      <c r="TZ67" s="43"/>
      <c r="UA67" s="43"/>
      <c r="UB67" s="43"/>
      <c r="UC67" s="616"/>
      <c r="UD67" s="43"/>
      <c r="UE67" s="43"/>
      <c r="UF67" s="43"/>
      <c r="UG67" s="43"/>
      <c r="UH67" s="43" t="s">
        <v>244</v>
      </c>
      <c r="UI67" s="43"/>
      <c r="UJ67" s="43"/>
      <c r="UK67" s="43"/>
      <c r="UL67" s="43"/>
      <c r="UM67" s="43"/>
      <c r="UN67" s="43"/>
      <c r="UO67" s="43"/>
      <c r="UP67" s="43"/>
      <c r="UQ67" s="43"/>
      <c r="UR67" s="43"/>
      <c r="US67" s="603"/>
      <c r="UT67" s="603"/>
      <c r="UU67" s="43"/>
      <c r="UV67" s="603"/>
      <c r="UW67" s="603"/>
      <c r="UX67" s="603"/>
      <c r="UY67" s="603"/>
      <c r="UZ67" s="603"/>
      <c r="VA67" s="603"/>
      <c r="VB67" s="603"/>
      <c r="VC67" s="603"/>
      <c r="VD67" s="603"/>
      <c r="VE67" s="603"/>
      <c r="VF67" s="603"/>
      <c r="VG67" s="603"/>
      <c r="VH67" s="603"/>
      <c r="VI67" s="603"/>
      <c r="VJ67" s="4" t="s">
        <v>249</v>
      </c>
      <c r="VK67" s="603"/>
      <c r="VL67" s="603"/>
      <c r="VN67" s="603"/>
      <c r="VO67" s="603"/>
      <c r="VP67" s="603"/>
      <c r="VQ67" s="603"/>
      <c r="VR67" s="4"/>
      <c r="VS67" s="603"/>
      <c r="VT67" s="603"/>
      <c r="VU67" s="4"/>
      <c r="VV67" s="603"/>
      <c r="VW67" s="603"/>
      <c r="VX67" s="603"/>
      <c r="VY67" s="603"/>
      <c r="VZ67" s="603"/>
      <c r="WA67" s="183"/>
      <c r="WB67" s="183"/>
      <c r="WC67" s="183"/>
      <c r="WD67" s="603"/>
      <c r="WE67" s="603"/>
      <c r="WF67" s="603"/>
      <c r="WG67" s="43"/>
      <c r="WH67" s="603"/>
      <c r="WI67" s="603"/>
      <c r="WJ67" s="43"/>
      <c r="WK67" s="43"/>
      <c r="WL67" s="603"/>
      <c r="WM67" s="603"/>
      <c r="WN67" s="603"/>
      <c r="WO67" s="603"/>
      <c r="WP67" s="43"/>
      <c r="WQ67" s="43"/>
      <c r="WR67" s="603"/>
      <c r="WS67" s="603"/>
      <c r="WT67" s="43"/>
      <c r="WU67" s="603"/>
      <c r="WV67" s="603"/>
      <c r="WW67" s="43"/>
      <c r="WX67" s="604"/>
      <c r="WY67" s="604"/>
      <c r="WZ67" s="184"/>
      <c r="XA67" s="184"/>
      <c r="XB67" s="184"/>
      <c r="XC67" s="604"/>
      <c r="XD67" s="604"/>
      <c r="XE67" s="604"/>
      <c r="XF67" s="603"/>
      <c r="XG67" s="603"/>
      <c r="XH67" s="603"/>
      <c r="XI67" s="603"/>
      <c r="XJ67" s="603"/>
      <c r="XK67" s="603"/>
      <c r="XL67" s="603"/>
      <c r="XM67" s="43"/>
      <c r="XN67" s="43"/>
      <c r="XO67" s="43"/>
      <c r="XP67" s="60"/>
      <c r="XQ67" s="603"/>
      <c r="XR67" s="603"/>
      <c r="XS67" s="43"/>
      <c r="XT67" s="603"/>
      <c r="XU67" s="603"/>
      <c r="XV67" s="43"/>
      <c r="XW67" s="603"/>
      <c r="XX67" s="603"/>
      <c r="XY67" s="43"/>
      <c r="YB67" s="117" t="s">
        <v>160</v>
      </c>
      <c r="YC67" s="603"/>
      <c r="YD67" s="603"/>
      <c r="YE67" s="603"/>
      <c r="YF67" s="43"/>
      <c r="YG67" s="117" t="s">
        <v>161</v>
      </c>
      <c r="YH67" s="43"/>
      <c r="YI67" s="43"/>
      <c r="YJ67" s="43"/>
      <c r="YK67" s="43"/>
      <c r="YL67" s="117" t="s">
        <v>245</v>
      </c>
      <c r="YM67" s="123"/>
      <c r="YN67" s="123"/>
      <c r="YO67" s="123"/>
      <c r="YP67" s="123"/>
      <c r="YQ67" s="43" t="s">
        <v>237</v>
      </c>
      <c r="YR67" s="43"/>
      <c r="YS67" s="43"/>
      <c r="YT67" s="43"/>
      <c r="YU67" s="43"/>
      <c r="YV67" s="43"/>
      <c r="YW67" s="43"/>
      <c r="YX67" s="43"/>
      <c r="YY67" s="43"/>
      <c r="YZ67" s="43"/>
      <c r="ZA67" s="117" t="s">
        <v>238</v>
      </c>
      <c r="ZB67" s="43"/>
      <c r="ZC67" s="43"/>
      <c r="ZD67" s="43"/>
      <c r="ZE67" s="43"/>
      <c r="ZF67" s="43"/>
      <c r="ZG67" s="43"/>
      <c r="ZH67" s="43"/>
      <c r="ZI67" s="43"/>
      <c r="ZJ67" s="43"/>
      <c r="ZK67" s="43"/>
      <c r="ZL67" s="43"/>
      <c r="ZM67" s="43"/>
      <c r="ZN67" s="43"/>
      <c r="ZO67" s="43"/>
      <c r="ZP67" s="43" t="s">
        <v>167</v>
      </c>
      <c r="ZQ67" s="43"/>
      <c r="ZR67" s="43"/>
      <c r="ZS67" s="43"/>
      <c r="ZT67" s="43"/>
      <c r="ZU67" s="43"/>
      <c r="ZV67" s="43"/>
      <c r="ZW67" s="43"/>
      <c r="ZX67" s="43"/>
      <c r="ZY67" s="43"/>
      <c r="ZZ67" s="43"/>
      <c r="AAA67" s="43"/>
      <c r="AAB67" s="43"/>
      <c r="AAC67" s="43"/>
      <c r="AAD67" s="43"/>
      <c r="AAE67" s="43" t="s">
        <v>239</v>
      </c>
      <c r="AAF67" s="43"/>
      <c r="AAG67" s="43"/>
      <c r="AAH67" s="43"/>
      <c r="AAI67" s="43"/>
      <c r="AAJ67" s="43" t="s">
        <v>240</v>
      </c>
      <c r="AAK67" s="43"/>
      <c r="AAL67" s="43"/>
      <c r="AAM67" s="43"/>
      <c r="AAN67" s="43"/>
      <c r="AAO67" s="626"/>
      <c r="AAP67" s="117"/>
      <c r="AAQ67" s="117"/>
      <c r="AAR67" s="117"/>
      <c r="AAS67" s="117"/>
      <c r="AAT67" s="43" t="s">
        <v>244</v>
      </c>
      <c r="AAU67" s="117"/>
      <c r="AAV67" s="117"/>
      <c r="AAW67" s="117"/>
      <c r="AAX67" s="117"/>
      <c r="AAY67" s="43"/>
      <c r="AAZ67" s="43"/>
      <c r="ABA67" s="43"/>
      <c r="ABB67" s="43"/>
      <c r="ABC67" s="43"/>
      <c r="ABD67" s="43" t="s">
        <v>247</v>
      </c>
      <c r="ABE67" s="43" t="s">
        <v>228</v>
      </c>
      <c r="ABF67" s="43" t="s">
        <v>246</v>
      </c>
      <c r="ABG67" s="43" t="s">
        <v>243</v>
      </c>
      <c r="ABH67" s="43" t="s">
        <v>248</v>
      </c>
      <c r="ABI67" s="43"/>
      <c r="ABJ67" s="43"/>
      <c r="ABK67" s="43"/>
      <c r="ABL67" s="43"/>
      <c r="ABM67" s="43"/>
      <c r="ABN67" s="43" t="s">
        <v>237</v>
      </c>
      <c r="ABO67" s="43"/>
      <c r="ABP67" s="43"/>
      <c r="ABQ67" s="43"/>
      <c r="ABR67" s="43"/>
      <c r="ABS67" s="43"/>
      <c r="ABT67" s="43"/>
      <c r="ABU67" s="43"/>
      <c r="ABV67" s="43"/>
      <c r="ABW67" s="43"/>
      <c r="ABX67" s="117" t="s">
        <v>238</v>
      </c>
      <c r="ACM67" s="43" t="s">
        <v>167</v>
      </c>
      <c r="ACR67" s="43"/>
      <c r="ACV67" s="43" t="s">
        <v>168</v>
      </c>
      <c r="ACW67" s="43"/>
      <c r="ACX67" s="43"/>
      <c r="ACY67" s="43"/>
      <c r="ACZ67" s="43"/>
      <c r="ADA67" s="43"/>
      <c r="ADB67" s="43" t="s">
        <v>239</v>
      </c>
      <c r="ADF67" s="43"/>
      <c r="ADG67" s="43" t="s">
        <v>240</v>
      </c>
      <c r="ADK67" s="43"/>
      <c r="ADL67" s="616"/>
      <c r="ADM67" s="43"/>
      <c r="ADN67" s="43"/>
      <c r="ADO67" s="43"/>
      <c r="ADP67" s="43"/>
      <c r="ADQ67" s="43" t="s">
        <v>244</v>
      </c>
      <c r="ADR67" s="43"/>
      <c r="ADS67" s="43"/>
      <c r="ADT67" s="43"/>
      <c r="ADU67" s="43"/>
      <c r="ADV67" s="43"/>
      <c r="ADW67" s="43"/>
      <c r="ADX67" s="43"/>
      <c r="ADY67" s="43"/>
      <c r="ADZ67" s="43"/>
    </row>
    <row r="68" spans="2:806" ht="48" customHeight="1">
      <c r="B68" s="15"/>
      <c r="C68" s="15"/>
      <c r="D68" s="15"/>
      <c r="E68" s="15"/>
      <c r="F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47"/>
      <c r="BP68" s="15"/>
      <c r="BQ68" s="15"/>
      <c r="BR68" s="15"/>
      <c r="BS68" s="15"/>
      <c r="BT68" s="47"/>
      <c r="BU68" s="15"/>
      <c r="BV68" s="15"/>
      <c r="BW68" s="15"/>
      <c r="BX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47"/>
      <c r="EG68" s="15"/>
      <c r="EH68" s="15"/>
      <c r="EI68" s="15"/>
      <c r="EJ68" s="15"/>
      <c r="EK68" s="47"/>
      <c r="EL68" s="15"/>
      <c r="EM68" s="15"/>
      <c r="EN68" s="15"/>
      <c r="EO68" s="15"/>
      <c r="EP68" s="47"/>
      <c r="EQ68" s="15"/>
      <c r="ER68" s="15"/>
      <c r="ES68" s="15"/>
      <c r="EY68" s="15"/>
      <c r="EZ68" s="15"/>
      <c r="FA68" s="15"/>
      <c r="FB68" s="15"/>
      <c r="FC68" s="15"/>
      <c r="FD68" s="40"/>
      <c r="FE68" s="40"/>
      <c r="FF68" s="40"/>
      <c r="FG68" s="40"/>
      <c r="FH68" s="15"/>
      <c r="FI68" s="15"/>
      <c r="FJ68" s="15"/>
      <c r="FK68" s="15"/>
      <c r="FL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46"/>
      <c r="GH68" s="146"/>
      <c r="GI68" s="146"/>
      <c r="GJ68" s="146"/>
      <c r="GK68" s="146"/>
      <c r="GL68" s="15"/>
      <c r="GM68" s="15"/>
      <c r="GN68" s="15"/>
      <c r="GO68" s="15"/>
      <c r="GP68" s="15"/>
      <c r="GQ68" s="15"/>
      <c r="GR68" s="15"/>
      <c r="GS68" s="15"/>
      <c r="GT68" s="15"/>
      <c r="GU68" s="386"/>
      <c r="GV68" s="386"/>
      <c r="GW68" s="386"/>
      <c r="GX68" s="386"/>
      <c r="GY68" s="386"/>
      <c r="GZ68" s="386"/>
      <c r="HA68" s="386"/>
      <c r="HB68" s="386"/>
      <c r="HC68" s="386"/>
      <c r="HD68" s="386"/>
      <c r="HE68" s="386"/>
      <c r="HF68" s="386"/>
      <c r="HG68" s="386"/>
      <c r="HH68" s="386"/>
      <c r="HI68" s="386"/>
      <c r="HJ68" s="386"/>
      <c r="HK68" s="386"/>
      <c r="HL68" s="386"/>
      <c r="HM68" s="386"/>
      <c r="HN68" s="386"/>
      <c r="HO68" s="386"/>
      <c r="HP68" s="386"/>
      <c r="HQ68" s="386"/>
      <c r="HR68" s="386"/>
      <c r="HS68" s="386"/>
      <c r="HT68" s="386"/>
      <c r="HU68" s="15"/>
      <c r="HZ68" s="386"/>
      <c r="IA68" s="386"/>
      <c r="IB68" s="386"/>
      <c r="IC68" s="386"/>
      <c r="ID68" s="386"/>
      <c r="IE68" s="386"/>
      <c r="IF68" s="386"/>
      <c r="IG68" s="386"/>
      <c r="IH68" s="386"/>
      <c r="II68" s="386"/>
      <c r="IJ68" s="645"/>
      <c r="IK68" s="386"/>
      <c r="IL68" s="386"/>
      <c r="IM68" s="386"/>
      <c r="IN68" s="386"/>
      <c r="IO68" s="645"/>
      <c r="IP68" s="386"/>
      <c r="IQ68" s="386"/>
      <c r="IR68" s="386"/>
      <c r="IS68" s="386"/>
      <c r="IY68" s="15"/>
      <c r="IZ68" s="15"/>
      <c r="JA68" s="15"/>
      <c r="JB68" s="15"/>
      <c r="JC68" s="15"/>
      <c r="JI68" s="16"/>
      <c r="JJ68" s="15"/>
      <c r="JK68" s="15"/>
      <c r="JL68" s="15"/>
      <c r="JM68" s="15"/>
      <c r="JN68" s="15"/>
      <c r="JO68" s="15"/>
      <c r="JP68" s="15"/>
      <c r="JQ68" s="15"/>
      <c r="JR68" s="15"/>
      <c r="JS68" s="16"/>
      <c r="JT68" s="15"/>
      <c r="JU68" s="15"/>
      <c r="JV68" s="15"/>
      <c r="JW68" s="15"/>
      <c r="JX68" s="16"/>
      <c r="JY68" s="15"/>
      <c r="JZ68" s="15"/>
      <c r="KA68" s="15"/>
      <c r="KB68" s="15"/>
      <c r="KC68" s="15"/>
      <c r="KD68" s="15"/>
      <c r="KE68" s="15"/>
      <c r="KF68" s="15"/>
      <c r="KG68" s="15"/>
      <c r="KH68" s="15"/>
      <c r="KI68" s="15"/>
      <c r="KJ68" s="15"/>
      <c r="KK68" s="15"/>
      <c r="KL68" s="15"/>
      <c r="KM68" s="15"/>
      <c r="KN68" s="15"/>
      <c r="KO68" s="15"/>
      <c r="KP68" s="15"/>
      <c r="KQ68" s="15"/>
      <c r="KR68" s="15"/>
      <c r="KS68" s="15"/>
      <c r="KT68" s="15"/>
      <c r="KU68" s="15"/>
      <c r="KV68" s="15"/>
      <c r="KW68" s="15"/>
      <c r="KX68" s="15"/>
      <c r="KY68" s="15"/>
      <c r="KZ68" s="15"/>
      <c r="LA68" s="15"/>
      <c r="LB68" s="28"/>
      <c r="LC68" s="28"/>
      <c r="LD68" s="28"/>
      <c r="LE68" s="28"/>
      <c r="LF68" s="28"/>
      <c r="LG68" s="28"/>
      <c r="LH68" s="28"/>
      <c r="LI68" s="15"/>
      <c r="LJ68" s="15"/>
      <c r="LK68" s="15"/>
      <c r="LL68" s="659"/>
      <c r="LM68" s="28"/>
      <c r="LN68" s="28"/>
      <c r="LO68" s="28"/>
      <c r="LP68" s="28"/>
      <c r="LQ68" s="659"/>
      <c r="LR68" s="28"/>
      <c r="LS68" s="28"/>
      <c r="LT68" s="28"/>
      <c r="LU68" s="28"/>
      <c r="MF68" s="15"/>
      <c r="MG68" s="40"/>
      <c r="MH68" s="40"/>
      <c r="MI68" s="40"/>
      <c r="MJ68" s="40"/>
      <c r="MK68" s="40"/>
      <c r="ML68" s="40"/>
      <c r="MM68" s="40"/>
      <c r="MN68" s="40"/>
      <c r="MO68" s="40"/>
      <c r="RZ68" s="15"/>
      <c r="SA68" s="40"/>
      <c r="SB68" s="40"/>
      <c r="SC68" s="40"/>
      <c r="SD68" s="40"/>
      <c r="SE68" s="40"/>
      <c r="SF68" s="40"/>
      <c r="SG68" s="40"/>
      <c r="SH68" s="40"/>
      <c r="SI68" s="40"/>
      <c r="UR68" s="37"/>
      <c r="US68" s="37"/>
      <c r="UT68" s="37"/>
      <c r="UU68" s="37"/>
      <c r="UV68" s="37"/>
      <c r="UW68" s="37"/>
      <c r="UX68" s="37"/>
      <c r="UY68" s="37"/>
      <c r="UZ68" s="37"/>
      <c r="VA68" s="37"/>
      <c r="VB68" s="37"/>
      <c r="VC68" s="37"/>
      <c r="VD68" s="37"/>
      <c r="VE68" s="37"/>
      <c r="VF68" s="37"/>
      <c r="VG68" s="37"/>
      <c r="VH68" s="37"/>
      <c r="VI68" s="37"/>
      <c r="VJ68" s="37"/>
      <c r="VK68" s="37"/>
      <c r="VL68" s="37"/>
      <c r="VM68" s="15"/>
      <c r="VN68" s="37"/>
      <c r="VO68" s="37"/>
      <c r="VP68" s="37"/>
      <c r="VQ68" s="37"/>
      <c r="VR68" s="15"/>
      <c r="VS68" s="37"/>
      <c r="VT68" s="37"/>
      <c r="VV68" s="37"/>
      <c r="VW68" s="37"/>
      <c r="VX68" s="37"/>
      <c r="VY68" s="37"/>
      <c r="VZ68" s="37"/>
      <c r="WD68" s="37"/>
      <c r="WE68" s="37"/>
      <c r="WF68" s="37"/>
      <c r="WG68" s="40"/>
      <c r="WH68" s="37"/>
      <c r="WI68" s="37"/>
      <c r="WJ68" s="15"/>
      <c r="WK68" s="15"/>
      <c r="WL68" s="37"/>
      <c r="WM68" s="37"/>
      <c r="WN68" s="37"/>
      <c r="WO68" s="37"/>
      <c r="WP68" s="15"/>
      <c r="WQ68" s="15"/>
      <c r="WR68" s="37"/>
      <c r="WS68" s="37"/>
      <c r="WT68" s="15"/>
      <c r="WU68" s="37"/>
      <c r="WV68" s="37"/>
      <c r="WW68" s="15"/>
      <c r="WX68" s="602"/>
      <c r="WY68" s="602"/>
      <c r="XC68" s="602"/>
      <c r="XD68" s="602"/>
      <c r="XE68" s="602"/>
      <c r="XF68" s="37"/>
      <c r="XG68" s="37"/>
      <c r="XH68" s="37"/>
      <c r="XI68" s="37"/>
      <c r="XJ68" s="37"/>
      <c r="XK68" s="37"/>
      <c r="XL68" s="37"/>
      <c r="XM68" s="81"/>
      <c r="XN68" s="81"/>
      <c r="XO68" s="81"/>
      <c r="XP68" s="85"/>
      <c r="XQ68" s="37"/>
      <c r="XR68" s="37"/>
      <c r="XS68" s="81"/>
      <c r="XT68" s="37"/>
      <c r="XU68" s="37"/>
      <c r="XV68" s="81"/>
      <c r="XW68" s="37"/>
      <c r="XX68" s="37"/>
      <c r="XY68" s="81"/>
      <c r="YB68" s="37"/>
      <c r="YC68" s="37"/>
      <c r="YD68" s="37"/>
      <c r="YE68" s="37"/>
      <c r="YF68" s="81"/>
      <c r="YG68" s="15"/>
      <c r="YH68" s="15"/>
      <c r="YI68" s="15"/>
      <c r="YJ68" s="15"/>
      <c r="YK68" s="15"/>
      <c r="YL68" s="146"/>
      <c r="YQ68" s="121" t="s">
        <v>250</v>
      </c>
      <c r="ZZ68" s="15"/>
      <c r="ABF68" s="40"/>
      <c r="ABG68" s="40"/>
      <c r="ABH68" s="40"/>
      <c r="ABI68" s="40"/>
      <c r="ABJ68" s="40"/>
      <c r="ABK68" s="40"/>
      <c r="ABL68" s="40"/>
      <c r="ABM68" s="40"/>
      <c r="ABP68" s="40"/>
      <c r="ABQ68" s="40"/>
      <c r="ABR68" s="40"/>
      <c r="ABU68" s="40"/>
      <c r="ABV68" s="40"/>
      <c r="ABW68" s="40"/>
    </row>
    <row r="69" spans="2:806">
      <c r="B69" s="15"/>
      <c r="C69" s="15"/>
      <c r="D69" s="15"/>
      <c r="E69" s="15"/>
      <c r="F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47"/>
      <c r="BP69" s="15"/>
      <c r="BQ69" s="15"/>
      <c r="BR69" s="15"/>
      <c r="BS69" s="15"/>
      <c r="BT69" s="47"/>
      <c r="BU69" s="15"/>
      <c r="BV69" s="15"/>
      <c r="BW69" s="15"/>
      <c r="BX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47"/>
      <c r="EG69" s="15"/>
      <c r="EH69" s="15"/>
      <c r="EI69" s="15"/>
      <c r="EJ69" s="15"/>
      <c r="EK69" s="47"/>
      <c r="EL69" s="15"/>
      <c r="EM69" s="15"/>
      <c r="EN69" s="15"/>
      <c r="EO69" s="15"/>
      <c r="EP69" s="47"/>
      <c r="EQ69" s="15"/>
      <c r="ER69" s="15"/>
      <c r="ES69" s="15"/>
      <c r="EY69" s="15"/>
      <c r="EZ69" s="15"/>
      <c r="FA69" s="15"/>
      <c r="FB69" s="15"/>
      <c r="FC69" s="15"/>
      <c r="FD69" s="40"/>
      <c r="FE69" s="40"/>
      <c r="FF69" s="40"/>
      <c r="FG69" s="40"/>
      <c r="FH69" s="15"/>
      <c r="FI69" s="15"/>
      <c r="FJ69" s="15"/>
      <c r="FK69" s="15"/>
      <c r="FL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46"/>
      <c r="GH69" s="146"/>
      <c r="GI69" s="146"/>
      <c r="GJ69" s="146"/>
      <c r="GK69" s="146"/>
      <c r="GL69" s="15"/>
      <c r="GM69" s="15"/>
      <c r="GN69" s="15"/>
      <c r="GO69" s="15"/>
      <c r="GP69" s="15"/>
      <c r="GQ69" s="15"/>
      <c r="GR69" s="15"/>
      <c r="GS69" s="15"/>
      <c r="GT69" s="15"/>
      <c r="GU69" s="386"/>
      <c r="GV69" s="386"/>
      <c r="GW69" s="386"/>
      <c r="GX69" s="386"/>
      <c r="GY69" s="386"/>
      <c r="GZ69" s="386"/>
      <c r="HA69" s="386"/>
      <c r="HB69" s="386"/>
      <c r="HC69" s="386"/>
      <c r="HD69" s="386"/>
      <c r="HE69" s="386"/>
      <c r="HF69" s="386"/>
      <c r="HG69" s="386"/>
      <c r="HH69" s="386"/>
      <c r="HI69" s="386"/>
      <c r="HJ69" s="386"/>
      <c r="HK69" s="386"/>
      <c r="HL69" s="386"/>
      <c r="HM69" s="386"/>
      <c r="HN69" s="386"/>
      <c r="HO69" s="386"/>
      <c r="HP69" s="386"/>
      <c r="HQ69" s="386"/>
      <c r="HR69" s="386"/>
      <c r="HS69" s="386"/>
      <c r="HT69" s="386"/>
      <c r="HU69" s="15"/>
      <c r="HZ69" s="386"/>
      <c r="IA69" s="386"/>
      <c r="IB69" s="386"/>
      <c r="IC69" s="386"/>
      <c r="ID69" s="386"/>
      <c r="IE69" s="386"/>
      <c r="IF69" s="386"/>
      <c r="IG69" s="386"/>
      <c r="IH69" s="386"/>
      <c r="II69" s="386"/>
      <c r="IJ69" s="645"/>
      <c r="IK69" s="386"/>
      <c r="IL69" s="386"/>
      <c r="IM69" s="386"/>
      <c r="IN69" s="386"/>
      <c r="IO69" s="645"/>
      <c r="IP69" s="386"/>
      <c r="IQ69" s="386"/>
      <c r="IR69" s="386"/>
      <c r="IS69" s="386"/>
      <c r="IY69" s="15"/>
      <c r="IZ69" s="15"/>
      <c r="JA69" s="15"/>
      <c r="JB69" s="15"/>
      <c r="JC69" s="15"/>
      <c r="JI69" s="15"/>
      <c r="JJ69" s="15"/>
      <c r="JK69" s="15"/>
      <c r="JL69" s="15"/>
      <c r="JM69" s="15"/>
      <c r="JN69" s="15"/>
      <c r="JO69" s="15"/>
      <c r="JP69" s="15"/>
      <c r="JQ69" s="15"/>
      <c r="JR69" s="15"/>
      <c r="JS69" s="15"/>
      <c r="JT69" s="15"/>
      <c r="JU69" s="15"/>
      <c r="JV69" s="15"/>
      <c r="JW69" s="15"/>
      <c r="JX69" s="15"/>
      <c r="JY69" s="15"/>
      <c r="JZ69" s="15"/>
      <c r="KA69" s="15"/>
      <c r="KB69" s="15"/>
      <c r="KC69" s="15"/>
      <c r="KD69" s="15"/>
      <c r="KE69" s="15"/>
      <c r="KF69" s="15"/>
      <c r="KG69" s="15"/>
      <c r="KH69" s="15"/>
      <c r="KI69" s="15"/>
      <c r="KJ69" s="15"/>
      <c r="KK69" s="15"/>
      <c r="KL69" s="15"/>
      <c r="KM69" s="15"/>
      <c r="KN69" s="15"/>
      <c r="KO69" s="15"/>
      <c r="KP69" s="15"/>
      <c r="KQ69" s="15"/>
      <c r="KR69" s="15"/>
      <c r="KS69" s="15"/>
      <c r="KT69" s="15"/>
      <c r="KU69" s="15"/>
      <c r="KV69" s="15"/>
      <c r="KW69" s="15"/>
      <c r="KX69" s="15"/>
      <c r="KY69" s="15"/>
      <c r="KZ69" s="15"/>
      <c r="LA69" s="15"/>
      <c r="LB69" s="28"/>
      <c r="LC69" s="28"/>
      <c r="LD69" s="28"/>
      <c r="LE69" s="28"/>
      <c r="LF69" s="28"/>
      <c r="LG69" s="28"/>
      <c r="LH69" s="28"/>
      <c r="LI69" s="15"/>
      <c r="LJ69" s="15"/>
      <c r="LK69" s="15"/>
      <c r="LL69" s="659"/>
      <c r="LM69" s="28"/>
      <c r="LN69" s="28"/>
      <c r="LO69" s="28"/>
      <c r="LP69" s="28"/>
      <c r="LQ69" s="659"/>
      <c r="LR69" s="28"/>
      <c r="LS69" s="28"/>
      <c r="LT69" s="28"/>
      <c r="LU69" s="28"/>
      <c r="MF69" s="15"/>
      <c r="MG69" s="40"/>
      <c r="MH69" s="40"/>
      <c r="MI69" s="40"/>
      <c r="MJ69" s="40"/>
      <c r="MK69" s="40"/>
      <c r="ML69" s="40"/>
      <c r="MM69" s="40"/>
      <c r="MN69" s="40"/>
      <c r="MO69" s="40"/>
      <c r="RZ69" s="15"/>
      <c r="SA69" s="40"/>
      <c r="SB69" s="40"/>
      <c r="SC69" s="40"/>
      <c r="SD69" s="40"/>
      <c r="SE69" s="40"/>
      <c r="SF69" s="40"/>
      <c r="SG69" s="40"/>
      <c r="SH69" s="40"/>
      <c r="SI69" s="40"/>
      <c r="UR69" s="37"/>
      <c r="US69" s="37"/>
      <c r="UT69" s="37"/>
      <c r="UU69" s="37"/>
      <c r="UV69" s="37"/>
      <c r="UW69" s="37"/>
      <c r="UX69" s="37"/>
      <c r="UY69" s="37"/>
      <c r="UZ69" s="37"/>
      <c r="VA69" s="37"/>
      <c r="VB69" s="37"/>
      <c r="VC69" s="37"/>
      <c r="VD69" s="37"/>
      <c r="VE69" s="37"/>
      <c r="VF69" s="37"/>
      <c r="VG69" s="37"/>
      <c r="VH69" s="37"/>
      <c r="VI69" s="37"/>
      <c r="VJ69" s="37"/>
      <c r="VK69" s="37"/>
      <c r="VL69" s="37"/>
      <c r="VM69" s="15"/>
      <c r="VN69" s="37"/>
      <c r="VO69" s="37"/>
      <c r="VP69" s="37"/>
      <c r="VQ69" s="37"/>
      <c r="VR69" s="15"/>
      <c r="VS69" s="37"/>
      <c r="VT69" s="37"/>
      <c r="VU69" s="15"/>
      <c r="VV69" s="37"/>
      <c r="VW69" s="37"/>
      <c r="VX69" s="37"/>
      <c r="VY69" s="37"/>
      <c r="VZ69" s="37"/>
      <c r="WD69" s="37"/>
      <c r="WE69" s="37"/>
      <c r="WF69" s="37"/>
      <c r="WG69" s="40"/>
      <c r="WH69" s="37"/>
      <c r="WI69" s="37"/>
      <c r="WJ69" s="15"/>
      <c r="WK69" s="15"/>
      <c r="WL69" s="37"/>
      <c r="WM69" s="37"/>
      <c r="WN69" s="37"/>
      <c r="WO69" s="37"/>
      <c r="WP69" s="15"/>
      <c r="WQ69" s="15"/>
      <c r="WR69" s="37"/>
      <c r="WS69" s="37"/>
      <c r="WT69" s="15"/>
      <c r="WU69" s="37"/>
      <c r="WV69" s="37"/>
      <c r="WW69" s="15"/>
      <c r="WX69" s="602"/>
      <c r="WY69" s="602"/>
      <c r="XC69" s="602"/>
      <c r="XD69" s="602"/>
      <c r="XE69" s="602"/>
      <c r="XF69" s="37"/>
      <c r="XG69" s="37"/>
      <c r="XH69" s="37"/>
      <c r="XI69" s="37"/>
      <c r="XJ69" s="37"/>
      <c r="XK69" s="37"/>
      <c r="XL69" s="37"/>
      <c r="XM69" s="81"/>
      <c r="XN69" s="81"/>
      <c r="XO69" s="81"/>
      <c r="XP69" s="85"/>
      <c r="XQ69" s="37"/>
      <c r="XR69" s="37"/>
      <c r="XS69" s="81"/>
      <c r="XT69" s="37"/>
      <c r="XU69" s="37"/>
      <c r="XV69" s="81"/>
      <c r="XW69" s="37"/>
      <c r="XX69" s="37"/>
      <c r="XY69" s="81"/>
      <c r="YB69" s="37"/>
      <c r="YC69" s="37"/>
      <c r="YD69" s="37"/>
      <c r="YE69" s="37"/>
      <c r="YF69" s="81"/>
      <c r="YG69" s="15"/>
      <c r="YH69" s="15"/>
      <c r="YI69" s="15"/>
      <c r="YJ69" s="15"/>
      <c r="YK69" s="15"/>
      <c r="YL69" s="146"/>
      <c r="ZZ69" s="15"/>
      <c r="ABF69" s="40"/>
      <c r="ABG69" s="40"/>
      <c r="ABH69" s="40"/>
      <c r="ABI69" s="40"/>
      <c r="ABJ69" s="40"/>
      <c r="ABK69" s="40"/>
      <c r="ABL69" s="40"/>
      <c r="ABM69" s="40"/>
      <c r="ABP69" s="40"/>
      <c r="ABQ69" s="40"/>
      <c r="ABR69" s="40"/>
      <c r="ABU69" s="40"/>
      <c r="ABV69" s="40"/>
      <c r="ABW69" s="40"/>
    </row>
    <row r="70" spans="2:806">
      <c r="B70" s="15"/>
      <c r="C70" s="15"/>
      <c r="D70" s="15"/>
      <c r="E70" s="15"/>
      <c r="F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47"/>
      <c r="BP70" s="15"/>
      <c r="BQ70" s="15"/>
      <c r="BR70" s="15"/>
      <c r="BS70" s="15"/>
      <c r="BT70" s="47"/>
      <c r="BU70" s="15"/>
      <c r="BV70" s="15"/>
      <c r="BW70" s="15"/>
      <c r="BX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47"/>
      <c r="EG70" s="15"/>
      <c r="EH70" s="15"/>
      <c r="EI70" s="15"/>
      <c r="EJ70" s="15"/>
      <c r="EK70" s="47"/>
      <c r="EL70" s="15"/>
      <c r="EM70" s="15"/>
      <c r="EN70" s="15"/>
      <c r="EO70" s="15"/>
      <c r="EP70" s="47"/>
      <c r="EQ70" s="15"/>
      <c r="ER70" s="15"/>
      <c r="ES70" s="15"/>
      <c r="EY70" s="15"/>
      <c r="EZ70" s="15"/>
      <c r="FA70" s="15"/>
      <c r="FB70" s="15"/>
      <c r="FC70" s="15"/>
      <c r="FD70" s="40"/>
      <c r="FE70" s="40"/>
      <c r="FF70" s="40"/>
      <c r="FG70" s="40"/>
      <c r="FH70" s="15"/>
      <c r="FI70" s="15"/>
      <c r="FJ70" s="15"/>
      <c r="FK70" s="15"/>
      <c r="FL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46"/>
      <c r="GH70" s="146"/>
      <c r="GI70" s="146"/>
      <c r="GJ70" s="146"/>
      <c r="GK70" s="146"/>
      <c r="GL70" s="15"/>
      <c r="GM70" s="15"/>
      <c r="GN70" s="15"/>
      <c r="GO70" s="15"/>
      <c r="GP70" s="15"/>
      <c r="GQ70" s="15"/>
      <c r="GR70" s="15"/>
      <c r="GS70" s="15"/>
      <c r="GT70" s="15"/>
      <c r="GU70" s="386"/>
      <c r="GV70" s="386"/>
      <c r="GW70" s="386"/>
      <c r="GX70" s="386"/>
      <c r="GY70" s="386"/>
      <c r="GZ70" s="386"/>
      <c r="HA70" s="386"/>
      <c r="HB70" s="386"/>
      <c r="HC70" s="386"/>
      <c r="HD70" s="386"/>
      <c r="HE70" s="386"/>
      <c r="HF70" s="386"/>
      <c r="HG70" s="386"/>
      <c r="HH70" s="386"/>
      <c r="HI70" s="386"/>
      <c r="HJ70" s="386"/>
      <c r="HK70" s="386"/>
      <c r="HL70" s="386"/>
      <c r="HM70" s="386"/>
      <c r="HN70" s="386"/>
      <c r="HO70" s="386"/>
      <c r="HP70" s="386"/>
      <c r="HQ70" s="386"/>
      <c r="HR70" s="386"/>
      <c r="HS70" s="386"/>
      <c r="HT70" s="386"/>
      <c r="HU70" s="15"/>
      <c r="HZ70" s="386"/>
      <c r="IA70" s="386"/>
      <c r="IB70" s="386"/>
      <c r="IC70" s="386"/>
      <c r="ID70" s="386"/>
      <c r="IE70" s="386"/>
      <c r="IF70" s="386"/>
      <c r="IG70" s="386"/>
      <c r="IH70" s="386"/>
      <c r="II70" s="386"/>
      <c r="IJ70" s="645"/>
      <c r="IK70" s="386"/>
      <c r="IL70" s="386"/>
      <c r="IM70" s="386"/>
      <c r="IN70" s="386"/>
      <c r="IO70" s="645"/>
      <c r="IP70" s="386"/>
      <c r="IQ70" s="386"/>
      <c r="IR70" s="386"/>
      <c r="IS70" s="386"/>
      <c r="IY70" s="15"/>
      <c r="IZ70" s="15"/>
      <c r="JA70" s="15"/>
      <c r="JB70" s="15"/>
      <c r="JC70" s="15"/>
      <c r="JI70" s="15"/>
      <c r="JJ70" s="15"/>
      <c r="JK70" s="15"/>
      <c r="JL70" s="15"/>
      <c r="JM70" s="15"/>
      <c r="JN70" s="15"/>
      <c r="JO70" s="15"/>
      <c r="JP70" s="15"/>
      <c r="JQ70" s="15"/>
      <c r="JR70" s="15"/>
      <c r="JS70" s="15"/>
      <c r="JT70" s="15"/>
      <c r="JU70" s="15"/>
      <c r="JV70" s="15"/>
      <c r="JW70" s="15"/>
      <c r="JX70" s="15"/>
      <c r="JY70" s="15"/>
      <c r="JZ70" s="15"/>
      <c r="KA70" s="15"/>
      <c r="KB70" s="15"/>
      <c r="KC70" s="15"/>
      <c r="KD70" s="15"/>
      <c r="KE70" s="15"/>
      <c r="KF70" s="15"/>
      <c r="KG70" s="15"/>
      <c r="KH70" s="15"/>
      <c r="KI70" s="15"/>
      <c r="KJ70" s="15"/>
      <c r="KK70" s="15"/>
      <c r="KL70" s="15"/>
      <c r="KM70" s="15"/>
      <c r="KN70" s="15"/>
      <c r="KO70" s="15"/>
      <c r="KP70" s="15"/>
      <c r="KQ70" s="15"/>
      <c r="KR70" s="15"/>
      <c r="KS70" s="15"/>
      <c r="KT70" s="15"/>
      <c r="KU70" s="15"/>
      <c r="KV70" s="15"/>
      <c r="KW70" s="15"/>
      <c r="KX70" s="15"/>
      <c r="KY70" s="15"/>
      <c r="KZ70" s="15"/>
      <c r="LA70" s="15"/>
      <c r="LB70" s="28"/>
      <c r="LC70" s="28"/>
      <c r="LD70" s="28"/>
      <c r="LE70" s="28"/>
      <c r="LF70" s="28"/>
      <c r="LG70" s="28"/>
      <c r="LH70" s="28"/>
      <c r="LI70" s="15"/>
      <c r="LJ70" s="15"/>
      <c r="LK70" s="15"/>
      <c r="LL70" s="659"/>
      <c r="LM70" s="28"/>
      <c r="LN70" s="28"/>
      <c r="LO70" s="28"/>
      <c r="LP70" s="28"/>
      <c r="LQ70" s="659"/>
      <c r="LR70" s="28"/>
      <c r="LS70" s="28"/>
      <c r="LT70" s="28"/>
      <c r="LU70" s="28"/>
      <c r="MF70" s="15"/>
      <c r="MG70" s="40"/>
      <c r="MH70" s="40"/>
      <c r="MI70" s="40"/>
      <c r="MJ70" s="40"/>
      <c r="MK70" s="40"/>
      <c r="ML70" s="40"/>
      <c r="MM70" s="40"/>
      <c r="MN70" s="40"/>
      <c r="MO70" s="40"/>
      <c r="RZ70" s="15"/>
      <c r="SA70" s="40"/>
      <c r="SB70" s="40"/>
      <c r="SC70" s="40"/>
      <c r="SD70" s="40"/>
      <c r="SE70" s="40"/>
      <c r="SF70" s="40"/>
      <c r="SG70" s="40"/>
      <c r="SH70" s="40"/>
      <c r="SI70" s="40"/>
      <c r="UR70" s="37"/>
      <c r="US70" s="37"/>
      <c r="UT70" s="37"/>
      <c r="UU70" s="37"/>
      <c r="UV70" s="37"/>
      <c r="UW70" s="37"/>
      <c r="UX70" s="37"/>
      <c r="UY70" s="37"/>
      <c r="UZ70" s="37"/>
      <c r="VA70" s="37"/>
      <c r="VB70" s="37"/>
      <c r="VC70" s="37"/>
      <c r="VD70" s="37"/>
      <c r="VE70" s="37"/>
      <c r="VF70" s="37"/>
      <c r="VG70" s="37"/>
      <c r="VH70" s="37"/>
      <c r="VI70" s="37"/>
      <c r="VJ70" s="37"/>
      <c r="VK70" s="37"/>
      <c r="VL70" s="37"/>
      <c r="VM70" s="15"/>
      <c r="VN70" s="37"/>
      <c r="VO70" s="37"/>
      <c r="VP70" s="37"/>
      <c r="VQ70" s="37"/>
      <c r="VR70" s="15"/>
      <c r="VS70" s="37"/>
      <c r="VT70" s="37"/>
      <c r="VU70" s="15"/>
      <c r="VV70" s="37"/>
      <c r="VW70" s="37"/>
      <c r="VX70" s="37"/>
      <c r="VY70" s="37"/>
      <c r="VZ70" s="37"/>
      <c r="WD70" s="37"/>
      <c r="WE70" s="37"/>
      <c r="WF70" s="37"/>
      <c r="WG70" s="40"/>
      <c r="WH70" s="37"/>
      <c r="WI70" s="37"/>
      <c r="WJ70" s="15"/>
      <c r="WK70" s="15"/>
      <c r="WL70" s="37"/>
      <c r="WM70" s="37"/>
      <c r="WN70" s="37"/>
      <c r="WO70" s="37"/>
      <c r="WP70" s="15"/>
      <c r="WQ70" s="15"/>
      <c r="WR70" s="37"/>
      <c r="WS70" s="37"/>
      <c r="WT70" s="15"/>
      <c r="WU70" s="37"/>
      <c r="WV70" s="37"/>
      <c r="WW70" s="15"/>
      <c r="WX70" s="602"/>
      <c r="WY70" s="602"/>
      <c r="XC70" s="602"/>
      <c r="XD70" s="602"/>
      <c r="XE70" s="602"/>
      <c r="XF70" s="37"/>
      <c r="XG70" s="37"/>
      <c r="XH70" s="37"/>
      <c r="XI70" s="37"/>
      <c r="XJ70" s="37"/>
      <c r="XK70" s="37"/>
      <c r="XL70" s="37"/>
      <c r="XM70" s="81"/>
      <c r="XN70" s="81"/>
      <c r="XO70" s="81"/>
      <c r="XP70" s="85"/>
      <c r="XQ70" s="37"/>
      <c r="XR70" s="37"/>
      <c r="XS70" s="81"/>
      <c r="XT70" s="37"/>
      <c r="XU70" s="37"/>
      <c r="XV70" s="81"/>
      <c r="XW70" s="37"/>
      <c r="XX70" s="37"/>
      <c r="XY70" s="81"/>
      <c r="YB70" s="37"/>
      <c r="YC70" s="37"/>
      <c r="YD70" s="37"/>
      <c r="YE70" s="37"/>
      <c r="YF70" s="81"/>
      <c r="YG70" s="15"/>
      <c r="YH70" s="15"/>
      <c r="YI70" s="15"/>
      <c r="YJ70" s="15"/>
      <c r="YK70" s="15"/>
      <c r="YL70" s="146"/>
      <c r="ZZ70" s="15"/>
      <c r="ABF70" s="40"/>
      <c r="ABG70" s="40"/>
      <c r="ABH70" s="40"/>
      <c r="ABI70" s="40"/>
      <c r="ABJ70" s="40"/>
      <c r="ABK70" s="40"/>
      <c r="ABL70" s="40"/>
      <c r="ABM70" s="40"/>
      <c r="ABP70" s="40"/>
      <c r="ABQ70" s="40"/>
      <c r="ABR70" s="40"/>
      <c r="ABU70" s="40"/>
      <c r="ABV70" s="40"/>
      <c r="ABW70" s="40"/>
    </row>
    <row r="71" spans="2:806">
      <c r="B71" s="15"/>
      <c r="C71" s="15"/>
      <c r="D71" s="15"/>
      <c r="E71" s="15"/>
      <c r="F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47"/>
      <c r="BP71" s="15"/>
      <c r="BQ71" s="15"/>
      <c r="BR71" s="15"/>
      <c r="BS71" s="15"/>
      <c r="BT71" s="47"/>
      <c r="BU71" s="15"/>
      <c r="BV71" s="15"/>
      <c r="BW71" s="15"/>
      <c r="BX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47"/>
      <c r="EG71" s="15"/>
      <c r="EH71" s="15"/>
      <c r="EI71" s="15"/>
      <c r="EJ71" s="15"/>
      <c r="EK71" s="47"/>
      <c r="EL71" s="15"/>
      <c r="EM71" s="15"/>
      <c r="EN71" s="15"/>
      <c r="EO71" s="15"/>
      <c r="EP71" s="47"/>
      <c r="EQ71" s="15"/>
      <c r="ER71" s="15"/>
      <c r="ES71" s="15"/>
      <c r="EY71" s="15"/>
      <c r="EZ71" s="15"/>
      <c r="FA71" s="15"/>
      <c r="FB71" s="15"/>
      <c r="FC71" s="15"/>
      <c r="FD71" s="40"/>
      <c r="FE71" s="40"/>
      <c r="FF71" s="40"/>
      <c r="FG71" s="40"/>
      <c r="FH71" s="15"/>
      <c r="FI71" s="15"/>
      <c r="FJ71" s="15"/>
      <c r="FK71" s="15"/>
      <c r="FL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46"/>
      <c r="GH71" s="146"/>
      <c r="GI71" s="146"/>
      <c r="GJ71" s="146"/>
      <c r="GK71" s="146"/>
      <c r="GL71" s="15"/>
      <c r="GM71" s="15"/>
      <c r="GN71" s="15"/>
      <c r="GO71" s="15"/>
      <c r="GP71" s="15"/>
      <c r="GQ71" s="15"/>
      <c r="GR71" s="15"/>
      <c r="GS71" s="15"/>
      <c r="GT71" s="15"/>
      <c r="GU71" s="386"/>
      <c r="GV71" s="386"/>
      <c r="GW71" s="386"/>
      <c r="GX71" s="386"/>
      <c r="GY71" s="386"/>
      <c r="GZ71" s="386"/>
      <c r="HA71" s="386"/>
      <c r="HB71" s="386"/>
      <c r="HC71" s="386"/>
      <c r="HD71" s="386"/>
      <c r="HE71" s="386"/>
      <c r="HF71" s="386"/>
      <c r="HG71" s="386"/>
      <c r="HH71" s="386"/>
      <c r="HI71" s="386"/>
      <c r="HJ71" s="386"/>
      <c r="HK71" s="386"/>
      <c r="HL71" s="386"/>
      <c r="HM71" s="386"/>
      <c r="HN71" s="386"/>
      <c r="HO71" s="386"/>
      <c r="HP71" s="386"/>
      <c r="HQ71" s="386"/>
      <c r="HR71" s="386"/>
      <c r="HS71" s="386"/>
      <c r="HT71" s="386"/>
      <c r="HU71" s="15"/>
      <c r="HZ71" s="386"/>
      <c r="IA71" s="386"/>
      <c r="IB71" s="386"/>
      <c r="IC71" s="386"/>
      <c r="ID71" s="386"/>
      <c r="IE71" s="386"/>
      <c r="IF71" s="386"/>
      <c r="IG71" s="386"/>
      <c r="IH71" s="386"/>
      <c r="II71" s="386"/>
      <c r="IJ71" s="645"/>
      <c r="IK71" s="386"/>
      <c r="IL71" s="386"/>
      <c r="IM71" s="386"/>
      <c r="IN71" s="386"/>
      <c r="IO71" s="645"/>
      <c r="IP71" s="386"/>
      <c r="IQ71" s="386"/>
      <c r="IR71" s="386"/>
      <c r="IS71" s="386"/>
      <c r="IY71" s="15"/>
      <c r="IZ71" s="15"/>
      <c r="JA71" s="15"/>
      <c r="JB71" s="15"/>
      <c r="JC71" s="15"/>
      <c r="JI71" s="15"/>
      <c r="JJ71" s="15"/>
      <c r="JK71" s="15"/>
      <c r="JL71" s="15"/>
      <c r="JM71" s="15"/>
      <c r="JN71" s="15"/>
      <c r="JO71" s="15"/>
      <c r="JP71" s="15"/>
      <c r="JQ71" s="15"/>
      <c r="JR71" s="15"/>
      <c r="JS71" s="15"/>
      <c r="JT71" s="15"/>
      <c r="JU71" s="15"/>
      <c r="JV71" s="15"/>
      <c r="JW71" s="15"/>
      <c r="JX71" s="15"/>
      <c r="JY71" s="15"/>
      <c r="JZ71" s="15"/>
      <c r="KA71" s="15"/>
      <c r="KB71" s="15"/>
      <c r="KC71" s="15"/>
      <c r="KD71" s="15"/>
      <c r="KE71" s="15"/>
      <c r="KF71" s="15"/>
      <c r="KG71" s="15"/>
      <c r="KH71" s="15"/>
      <c r="KI71" s="15"/>
      <c r="KJ71" s="15"/>
      <c r="KK71" s="15"/>
      <c r="KL71" s="15"/>
      <c r="KM71" s="15"/>
      <c r="KN71" s="15"/>
      <c r="KO71" s="15"/>
      <c r="KP71" s="15"/>
      <c r="KQ71" s="15"/>
      <c r="KR71" s="15"/>
      <c r="KS71" s="15"/>
      <c r="KT71" s="15"/>
      <c r="KU71" s="15"/>
      <c r="KV71" s="15"/>
      <c r="KW71" s="15"/>
      <c r="KX71" s="15"/>
      <c r="KY71" s="15"/>
      <c r="KZ71" s="15"/>
      <c r="LA71" s="15"/>
      <c r="LB71" s="28"/>
      <c r="LC71" s="28"/>
      <c r="LD71" s="28"/>
      <c r="LE71" s="28"/>
      <c r="LF71" s="28"/>
      <c r="LG71" s="28"/>
      <c r="LH71" s="28"/>
      <c r="LI71" s="15"/>
      <c r="LJ71" s="15"/>
      <c r="LK71" s="15"/>
      <c r="LL71" s="659"/>
      <c r="LM71" s="28"/>
      <c r="LN71" s="28"/>
      <c r="LO71" s="28"/>
      <c r="LP71" s="28"/>
      <c r="LQ71" s="659"/>
      <c r="LR71" s="28"/>
      <c r="LS71" s="28"/>
      <c r="LT71" s="28"/>
      <c r="LU71" s="28"/>
      <c r="MF71" s="15"/>
      <c r="MG71" s="40"/>
      <c r="MH71" s="40"/>
      <c r="MI71" s="40"/>
      <c r="MJ71" s="40"/>
      <c r="MK71" s="40"/>
      <c r="ML71" s="40"/>
      <c r="MM71" s="40"/>
      <c r="MN71" s="40"/>
      <c r="MO71" s="40"/>
      <c r="RZ71" s="15"/>
      <c r="SA71" s="40"/>
      <c r="SB71" s="40"/>
      <c r="SC71" s="40"/>
      <c r="SD71" s="40"/>
      <c r="SE71" s="40"/>
      <c r="SF71" s="40"/>
      <c r="SG71" s="40"/>
      <c r="SH71" s="40"/>
      <c r="SI71" s="40"/>
      <c r="UR71" s="37"/>
      <c r="US71" s="37"/>
      <c r="UT71" s="37"/>
      <c r="UU71" s="37"/>
      <c r="UV71" s="37"/>
      <c r="UW71" s="37"/>
      <c r="UX71" s="37"/>
      <c r="UY71" s="37"/>
      <c r="UZ71" s="37"/>
      <c r="VA71" s="37"/>
      <c r="VB71" s="37"/>
      <c r="VC71" s="37"/>
      <c r="VD71" s="37"/>
      <c r="VE71" s="37"/>
      <c r="VF71" s="37"/>
      <c r="VG71" s="37"/>
      <c r="VH71" s="37"/>
      <c r="VI71" s="37"/>
      <c r="VJ71" s="37"/>
      <c r="VK71" s="37"/>
      <c r="VL71" s="37"/>
      <c r="VM71" s="15"/>
      <c r="VN71" s="37"/>
      <c r="VO71" s="37"/>
      <c r="VP71" s="37"/>
      <c r="VQ71" s="37"/>
      <c r="VR71" s="15"/>
      <c r="VS71" s="37"/>
      <c r="VT71" s="37"/>
      <c r="VU71" s="15"/>
      <c r="VV71" s="37"/>
      <c r="VW71" s="37"/>
      <c r="VX71" s="37"/>
      <c r="VY71" s="37"/>
      <c r="VZ71" s="37"/>
      <c r="WD71" s="37"/>
      <c r="WE71" s="37"/>
      <c r="WF71" s="37"/>
      <c r="WG71" s="40"/>
      <c r="WH71" s="37"/>
      <c r="WI71" s="37"/>
      <c r="WJ71" s="15"/>
      <c r="WK71" s="15"/>
      <c r="WL71" s="37"/>
      <c r="WM71" s="37"/>
      <c r="WN71" s="37"/>
      <c r="WO71" s="37"/>
      <c r="WP71" s="15"/>
      <c r="WQ71" s="15"/>
      <c r="WR71" s="37"/>
      <c r="WS71" s="37"/>
      <c r="WT71" s="15"/>
      <c r="WU71" s="37"/>
      <c r="WV71" s="37"/>
      <c r="WW71" s="15"/>
      <c r="WX71" s="602"/>
      <c r="WY71" s="602"/>
      <c r="XC71" s="602"/>
      <c r="XD71" s="602"/>
      <c r="XE71" s="602"/>
      <c r="XF71" s="37"/>
      <c r="XG71" s="37"/>
      <c r="XH71" s="37"/>
      <c r="XI71" s="37"/>
      <c r="XJ71" s="37"/>
      <c r="XK71" s="37"/>
      <c r="XL71" s="37"/>
      <c r="XM71" s="81"/>
      <c r="XN71" s="81"/>
      <c r="XO71" s="81"/>
      <c r="XP71" s="85"/>
      <c r="XQ71" s="37"/>
      <c r="XR71" s="37"/>
      <c r="XS71" s="81"/>
      <c r="XT71" s="37"/>
      <c r="XU71" s="37"/>
      <c r="XV71" s="81"/>
      <c r="XW71" s="37"/>
      <c r="XX71" s="37"/>
      <c r="XY71" s="81"/>
      <c r="YB71" s="37"/>
      <c r="YC71" s="37"/>
      <c r="YD71" s="37"/>
      <c r="YE71" s="37"/>
      <c r="YF71" s="81"/>
      <c r="YG71" s="15"/>
      <c r="YH71" s="15"/>
      <c r="YI71" s="15"/>
      <c r="YJ71" s="15"/>
      <c r="YK71" s="15"/>
      <c r="YL71" s="146"/>
      <c r="ZZ71" s="15"/>
      <c r="ABF71" s="40"/>
      <c r="ABG71" s="40"/>
      <c r="ABH71" s="40"/>
      <c r="ABI71" s="40"/>
      <c r="ABJ71" s="40"/>
      <c r="ABK71" s="40"/>
      <c r="ABL71" s="40"/>
      <c r="ABM71" s="40"/>
      <c r="ABP71" s="40"/>
      <c r="ABQ71" s="40"/>
      <c r="ABR71" s="40"/>
      <c r="ABU71" s="40"/>
      <c r="ABV71" s="40"/>
      <c r="ABW71" s="40"/>
    </row>
    <row r="72" spans="2:806">
      <c r="B72" s="15"/>
      <c r="C72" s="15"/>
      <c r="D72" s="15"/>
      <c r="E72" s="15"/>
      <c r="F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47"/>
      <c r="BP72" s="15"/>
      <c r="BQ72" s="15"/>
      <c r="BR72" s="15"/>
      <c r="BS72" s="15"/>
      <c r="BT72" s="47"/>
      <c r="BU72" s="15"/>
      <c r="BV72" s="15"/>
      <c r="BW72" s="15"/>
      <c r="BX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47"/>
      <c r="EG72" s="15"/>
      <c r="EH72" s="15"/>
      <c r="EI72" s="15"/>
      <c r="EJ72" s="15"/>
      <c r="EK72" s="47"/>
      <c r="EL72" s="15"/>
      <c r="EM72" s="15"/>
      <c r="EN72" s="15"/>
      <c r="EO72" s="15"/>
      <c r="EP72" s="47"/>
      <c r="EQ72" s="15"/>
      <c r="ER72" s="15"/>
      <c r="ES72" s="15"/>
      <c r="EY72" s="15"/>
      <c r="EZ72" s="15"/>
      <c r="FA72" s="15"/>
      <c r="FB72" s="15"/>
      <c r="FC72" s="15"/>
      <c r="FD72" s="40"/>
      <c r="FE72" s="40"/>
      <c r="FF72" s="40"/>
      <c r="FG72" s="40"/>
      <c r="FH72" s="15"/>
      <c r="FI72" s="15"/>
      <c r="FJ72" s="15"/>
      <c r="FK72" s="15"/>
      <c r="FL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46"/>
      <c r="GH72" s="146"/>
      <c r="GI72" s="146"/>
      <c r="GJ72" s="146"/>
      <c r="GK72" s="146"/>
      <c r="GL72" s="15"/>
      <c r="GM72" s="15"/>
      <c r="GN72" s="15"/>
      <c r="GO72" s="15"/>
      <c r="GP72" s="15"/>
      <c r="GQ72" s="15"/>
      <c r="GR72" s="15"/>
      <c r="GS72" s="15"/>
      <c r="GT72" s="15"/>
      <c r="GU72" s="386"/>
      <c r="GV72" s="386"/>
      <c r="GW72" s="386"/>
      <c r="GX72" s="386"/>
      <c r="GY72" s="386"/>
      <c r="GZ72" s="386"/>
      <c r="HA72" s="386"/>
      <c r="HB72" s="386"/>
      <c r="HC72" s="386"/>
      <c r="HD72" s="386"/>
      <c r="HE72" s="386"/>
      <c r="HF72" s="386"/>
      <c r="HG72" s="386"/>
      <c r="HH72" s="386"/>
      <c r="HI72" s="386"/>
      <c r="HJ72" s="386"/>
      <c r="HK72" s="386"/>
      <c r="HL72" s="386"/>
      <c r="HM72" s="386"/>
      <c r="HN72" s="386"/>
      <c r="HO72" s="386"/>
      <c r="HP72" s="386"/>
      <c r="HQ72" s="386"/>
      <c r="HR72" s="386"/>
      <c r="HS72" s="386"/>
      <c r="HT72" s="386"/>
      <c r="HU72" s="15"/>
      <c r="HZ72" s="386"/>
      <c r="IA72" s="386"/>
      <c r="IB72" s="386"/>
      <c r="IC72" s="386"/>
      <c r="ID72" s="386"/>
      <c r="IE72" s="386"/>
      <c r="IF72" s="386"/>
      <c r="IG72" s="386"/>
      <c r="IH72" s="386"/>
      <c r="II72" s="386"/>
      <c r="IJ72" s="645"/>
      <c r="IK72" s="386"/>
      <c r="IL72" s="386"/>
      <c r="IM72" s="386"/>
      <c r="IN72" s="386"/>
      <c r="IO72" s="645"/>
      <c r="IP72" s="386"/>
      <c r="IQ72" s="386"/>
      <c r="IR72" s="386"/>
      <c r="IS72" s="386"/>
      <c r="IY72" s="15"/>
      <c r="IZ72" s="15"/>
      <c r="JA72" s="15"/>
      <c r="JB72" s="15"/>
      <c r="JC72" s="15"/>
      <c r="JI72" s="15"/>
      <c r="JJ72" s="15"/>
      <c r="JK72" s="15"/>
      <c r="JL72" s="15"/>
      <c r="JM72" s="15"/>
      <c r="JN72" s="15"/>
      <c r="JO72" s="15"/>
      <c r="JP72" s="15"/>
      <c r="JQ72" s="15"/>
      <c r="JR72" s="15"/>
      <c r="JS72" s="15"/>
      <c r="JT72" s="15"/>
      <c r="JU72" s="15"/>
      <c r="JV72" s="15"/>
      <c r="JW72" s="15"/>
      <c r="JX72" s="15"/>
      <c r="JY72" s="15"/>
      <c r="JZ72" s="15"/>
      <c r="KA72" s="15"/>
      <c r="KB72" s="15"/>
      <c r="KC72" s="15"/>
      <c r="KD72" s="15"/>
      <c r="KE72" s="15"/>
      <c r="KF72" s="15"/>
      <c r="KG72" s="15"/>
      <c r="KH72" s="15"/>
      <c r="KI72" s="15"/>
      <c r="KJ72" s="15"/>
      <c r="KK72" s="15"/>
      <c r="KL72" s="15"/>
      <c r="KM72" s="15"/>
      <c r="KN72" s="15"/>
      <c r="KO72" s="15"/>
      <c r="KP72" s="15"/>
      <c r="KQ72" s="15"/>
      <c r="KR72" s="15"/>
      <c r="KS72" s="15"/>
      <c r="KT72" s="15"/>
      <c r="KU72" s="15"/>
      <c r="KV72" s="15"/>
      <c r="KW72" s="15"/>
      <c r="KX72" s="15"/>
      <c r="KY72" s="15"/>
      <c r="KZ72" s="15"/>
      <c r="LA72" s="15"/>
      <c r="LB72" s="28"/>
      <c r="LC72" s="28"/>
      <c r="LD72" s="28"/>
      <c r="LE72" s="28"/>
      <c r="LF72" s="28"/>
      <c r="LG72" s="28"/>
      <c r="LH72" s="28"/>
      <c r="LI72" s="15"/>
      <c r="LJ72" s="15"/>
      <c r="LK72" s="15"/>
      <c r="LL72" s="659"/>
      <c r="LM72" s="28"/>
      <c r="LN72" s="28"/>
      <c r="LO72" s="28"/>
      <c r="LP72" s="28"/>
      <c r="LQ72" s="659"/>
      <c r="LR72" s="28"/>
      <c r="LS72" s="28"/>
      <c r="LT72" s="28"/>
      <c r="LU72" s="28"/>
      <c r="MF72" s="15"/>
      <c r="MG72" s="40"/>
      <c r="MH72" s="40"/>
      <c r="MI72" s="40"/>
      <c r="MJ72" s="40"/>
      <c r="MK72" s="40"/>
      <c r="ML72" s="40"/>
      <c r="MM72" s="40"/>
      <c r="MN72" s="40"/>
      <c r="MO72" s="40"/>
      <c r="RZ72" s="15"/>
      <c r="SA72" s="40"/>
      <c r="SB72" s="40"/>
      <c r="SC72" s="40"/>
      <c r="SD72" s="40"/>
      <c r="SE72" s="40"/>
      <c r="SF72" s="40"/>
      <c r="SG72" s="40"/>
      <c r="SH72" s="40"/>
      <c r="SI72" s="40"/>
      <c r="UR72" s="37"/>
      <c r="US72" s="37"/>
      <c r="UT72" s="37"/>
      <c r="UU72" s="37"/>
      <c r="UV72" s="37"/>
      <c r="UW72" s="37"/>
      <c r="UX72" s="37"/>
      <c r="UY72" s="37"/>
      <c r="UZ72" s="37"/>
      <c r="VA72" s="37"/>
      <c r="VB72" s="37"/>
      <c r="VC72" s="37"/>
      <c r="VD72" s="37"/>
      <c r="VE72" s="37"/>
      <c r="VF72" s="37"/>
      <c r="VG72" s="37"/>
      <c r="VH72" s="37"/>
      <c r="VI72" s="37"/>
      <c r="VJ72" s="37"/>
      <c r="VK72" s="37"/>
      <c r="VL72" s="37"/>
      <c r="VM72" s="15"/>
      <c r="VN72" s="37"/>
      <c r="VO72" s="37"/>
      <c r="VP72" s="37"/>
      <c r="VQ72" s="37"/>
      <c r="VR72" s="15"/>
      <c r="VS72" s="37"/>
      <c r="VT72" s="37"/>
      <c r="VU72" s="15"/>
      <c r="VV72" s="37"/>
      <c r="VW72" s="37"/>
      <c r="VX72" s="37"/>
      <c r="VY72" s="37"/>
      <c r="VZ72" s="37"/>
      <c r="WD72" s="37"/>
      <c r="WE72" s="37"/>
      <c r="WF72" s="37"/>
      <c r="WG72" s="40"/>
      <c r="WH72" s="37"/>
      <c r="WI72" s="37"/>
      <c r="WJ72" s="15"/>
      <c r="WK72" s="15"/>
      <c r="WL72" s="37"/>
      <c r="WM72" s="37"/>
      <c r="WN72" s="37"/>
      <c r="WO72" s="37"/>
      <c r="WP72" s="15"/>
      <c r="WQ72" s="15"/>
      <c r="WR72" s="37"/>
      <c r="WS72" s="37"/>
      <c r="WT72" s="15"/>
      <c r="WU72" s="37"/>
      <c r="WV72" s="37"/>
      <c r="WW72" s="15"/>
      <c r="WX72" s="602"/>
      <c r="WY72" s="602"/>
      <c r="XC72" s="602"/>
      <c r="XD72" s="602"/>
      <c r="XE72" s="602"/>
      <c r="XF72" s="37"/>
      <c r="XG72" s="37"/>
      <c r="XH72" s="37"/>
      <c r="XI72" s="37"/>
      <c r="XJ72" s="37"/>
      <c r="XK72" s="37"/>
      <c r="XL72" s="37"/>
      <c r="XM72" s="81"/>
      <c r="XN72" s="81"/>
      <c r="XO72" s="81"/>
      <c r="XP72" s="85"/>
      <c r="XQ72" s="37"/>
      <c r="XR72" s="37"/>
      <c r="XS72" s="81"/>
      <c r="XT72" s="37"/>
      <c r="XU72" s="37"/>
      <c r="XV72" s="81"/>
      <c r="XW72" s="37"/>
      <c r="XX72" s="37"/>
      <c r="XY72" s="81"/>
      <c r="YB72" s="37"/>
      <c r="YC72" s="37"/>
      <c r="YD72" s="37"/>
      <c r="YE72" s="37"/>
      <c r="YF72" s="81"/>
      <c r="YG72" s="15"/>
      <c r="YH72" s="15"/>
      <c r="YI72" s="15"/>
      <c r="YJ72" s="15"/>
      <c r="YK72" s="15"/>
      <c r="YL72" s="146"/>
      <c r="ZZ72" s="15"/>
      <c r="ABF72" s="40"/>
      <c r="ABG72" s="40"/>
      <c r="ABH72" s="40"/>
      <c r="ABI72" s="40"/>
      <c r="ABJ72" s="40"/>
      <c r="ABK72" s="40"/>
      <c r="ABL72" s="40"/>
      <c r="ABM72" s="40"/>
      <c r="ABP72" s="40"/>
      <c r="ABQ72" s="40"/>
      <c r="ABR72" s="40"/>
      <c r="ABU72" s="40"/>
      <c r="ABV72" s="40"/>
      <c r="ABW72" s="40"/>
    </row>
    <row r="73" spans="2:806">
      <c r="B73" s="15"/>
      <c r="C73" s="15"/>
      <c r="D73" s="15"/>
      <c r="E73" s="15"/>
      <c r="F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47"/>
      <c r="BP73" s="15"/>
      <c r="BQ73" s="15"/>
      <c r="BR73" s="15"/>
      <c r="BS73" s="15"/>
      <c r="BT73" s="47"/>
      <c r="BU73" s="15"/>
      <c r="BV73" s="15"/>
      <c r="BW73" s="15"/>
      <c r="BX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47"/>
      <c r="EG73" s="15"/>
      <c r="EH73" s="15"/>
      <c r="EI73" s="15"/>
      <c r="EJ73" s="15"/>
      <c r="EK73" s="47"/>
      <c r="EL73" s="15"/>
      <c r="EM73" s="15"/>
      <c r="EN73" s="15"/>
      <c r="EO73" s="15"/>
      <c r="EP73" s="47"/>
      <c r="EQ73" s="15"/>
      <c r="ER73" s="15"/>
      <c r="ES73" s="15"/>
      <c r="EY73" s="15"/>
      <c r="EZ73" s="15"/>
      <c r="FA73" s="15"/>
      <c r="FB73" s="15"/>
      <c r="FC73" s="15"/>
      <c r="FD73" s="40"/>
      <c r="FE73" s="40"/>
      <c r="FF73" s="40"/>
      <c r="FG73" s="40"/>
      <c r="FH73" s="15"/>
      <c r="FI73" s="15"/>
      <c r="FJ73" s="15"/>
      <c r="FK73" s="15"/>
      <c r="FL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46"/>
      <c r="GH73" s="146"/>
      <c r="GI73" s="146"/>
      <c r="GJ73" s="146"/>
      <c r="GK73" s="146"/>
      <c r="GL73" s="15"/>
      <c r="GM73" s="15"/>
      <c r="GN73" s="15"/>
      <c r="GO73" s="15"/>
      <c r="GP73" s="15"/>
      <c r="GQ73" s="15"/>
      <c r="GR73" s="15"/>
      <c r="GS73" s="15"/>
      <c r="GT73" s="15"/>
      <c r="GU73" s="386"/>
      <c r="GV73" s="386"/>
      <c r="GW73" s="386"/>
      <c r="GX73" s="386"/>
      <c r="GY73" s="386"/>
      <c r="GZ73" s="386"/>
      <c r="HA73" s="386"/>
      <c r="HB73" s="386"/>
      <c r="HC73" s="386"/>
      <c r="HD73" s="386"/>
      <c r="HE73" s="386"/>
      <c r="HF73" s="386"/>
      <c r="HG73" s="386"/>
      <c r="HH73" s="386"/>
      <c r="HI73" s="386"/>
      <c r="HJ73" s="386"/>
      <c r="HK73" s="386"/>
      <c r="HL73" s="386"/>
      <c r="HM73" s="386"/>
      <c r="HN73" s="386"/>
      <c r="HO73" s="386"/>
      <c r="HP73" s="386"/>
      <c r="HQ73" s="386"/>
      <c r="HR73" s="386"/>
      <c r="HS73" s="386"/>
      <c r="HT73" s="386"/>
      <c r="HU73" s="15"/>
      <c r="HZ73" s="386"/>
      <c r="IA73" s="386"/>
      <c r="IB73" s="386"/>
      <c r="IC73" s="386"/>
      <c r="ID73" s="386"/>
      <c r="IE73" s="386"/>
      <c r="IF73" s="386"/>
      <c r="IG73" s="386"/>
      <c r="IH73" s="386"/>
      <c r="II73" s="386"/>
      <c r="IJ73" s="645"/>
      <c r="IK73" s="386"/>
      <c r="IL73" s="386"/>
      <c r="IM73" s="386"/>
      <c r="IN73" s="386"/>
      <c r="IO73" s="645"/>
      <c r="IP73" s="386"/>
      <c r="IQ73" s="386"/>
      <c r="IR73" s="386"/>
      <c r="IS73" s="386"/>
      <c r="IY73" s="15"/>
      <c r="IZ73" s="15"/>
      <c r="JA73" s="15"/>
      <c r="JB73" s="15"/>
      <c r="JC73" s="15"/>
      <c r="JI73" s="15"/>
      <c r="JJ73" s="15"/>
      <c r="JK73" s="15"/>
      <c r="JL73" s="15"/>
      <c r="JM73" s="15"/>
      <c r="JN73" s="15"/>
      <c r="JO73" s="15"/>
      <c r="JP73" s="15"/>
      <c r="JQ73" s="15"/>
      <c r="JR73" s="15"/>
      <c r="JS73" s="15"/>
      <c r="JT73" s="15"/>
      <c r="JU73" s="15"/>
      <c r="JV73" s="15"/>
      <c r="JW73" s="15"/>
      <c r="JX73" s="15"/>
      <c r="JY73" s="15"/>
      <c r="JZ73" s="15"/>
      <c r="KA73" s="15"/>
      <c r="KB73" s="15"/>
      <c r="KC73" s="15"/>
      <c r="KD73" s="15"/>
      <c r="KE73" s="15"/>
      <c r="KF73" s="15"/>
      <c r="KG73" s="15"/>
      <c r="KH73" s="15"/>
      <c r="KI73" s="15"/>
      <c r="KJ73" s="15"/>
      <c r="KK73" s="15"/>
      <c r="KL73" s="15"/>
      <c r="KM73" s="15"/>
      <c r="KN73" s="15"/>
      <c r="KO73" s="15"/>
      <c r="KP73" s="15"/>
      <c r="KQ73" s="15"/>
      <c r="KR73" s="15"/>
      <c r="KS73" s="15"/>
      <c r="KT73" s="15"/>
      <c r="KU73" s="15"/>
      <c r="KV73" s="15"/>
      <c r="KW73" s="15"/>
      <c r="KX73" s="15"/>
      <c r="KY73" s="15"/>
      <c r="KZ73" s="15"/>
      <c r="LA73" s="15"/>
      <c r="LB73" s="28"/>
      <c r="LC73" s="28"/>
      <c r="LD73" s="28"/>
      <c r="LE73" s="28"/>
      <c r="LF73" s="28"/>
      <c r="LG73" s="28"/>
      <c r="LH73" s="28"/>
      <c r="LI73" s="15"/>
      <c r="LJ73" s="15"/>
      <c r="LK73" s="15"/>
      <c r="LL73" s="659"/>
      <c r="LM73" s="28"/>
      <c r="LN73" s="28"/>
      <c r="LO73" s="28"/>
      <c r="LP73" s="28"/>
      <c r="LQ73" s="659"/>
      <c r="LR73" s="28"/>
      <c r="LS73" s="28"/>
      <c r="LT73" s="28"/>
      <c r="LU73" s="28"/>
      <c r="MF73" s="15"/>
      <c r="RZ73" s="15"/>
      <c r="UR73" s="37"/>
      <c r="US73" s="37"/>
      <c r="UT73" s="37"/>
      <c r="UU73" s="37"/>
      <c r="UV73" s="37"/>
      <c r="UW73" s="37"/>
      <c r="UX73" s="37"/>
      <c r="UY73" s="37"/>
      <c r="UZ73" s="37"/>
      <c r="VA73" s="37"/>
      <c r="VB73" s="37"/>
      <c r="VC73" s="37"/>
      <c r="VD73" s="37"/>
      <c r="VE73" s="37"/>
      <c r="VF73" s="37"/>
      <c r="VG73" s="37"/>
      <c r="VH73" s="37"/>
      <c r="VI73" s="37"/>
      <c r="VJ73" s="37"/>
      <c r="VK73" s="37"/>
      <c r="VL73" s="37"/>
      <c r="VM73" s="15"/>
      <c r="VN73" s="37"/>
      <c r="VO73" s="37"/>
      <c r="VP73" s="37"/>
      <c r="VQ73" s="37"/>
      <c r="VR73" s="15"/>
      <c r="VS73" s="37"/>
      <c r="VT73" s="37"/>
      <c r="VU73" s="15"/>
      <c r="VV73" s="37"/>
      <c r="VW73" s="37"/>
      <c r="VX73" s="37"/>
      <c r="VY73" s="37"/>
      <c r="VZ73" s="37"/>
      <c r="WD73" s="37"/>
      <c r="WE73" s="37"/>
      <c r="WF73" s="37"/>
      <c r="WG73" s="40"/>
      <c r="WH73" s="37"/>
      <c r="WI73" s="37"/>
      <c r="WJ73" s="15"/>
      <c r="WK73" s="15"/>
      <c r="WL73" s="37"/>
      <c r="WM73" s="37"/>
      <c r="WN73" s="37"/>
      <c r="WO73" s="37"/>
      <c r="WP73" s="15"/>
      <c r="WQ73" s="15"/>
      <c r="WR73" s="37"/>
      <c r="WS73" s="37"/>
      <c r="WT73" s="15"/>
      <c r="WU73" s="37"/>
      <c r="WV73" s="37"/>
      <c r="WW73" s="15"/>
      <c r="WX73" s="602"/>
      <c r="WY73" s="602"/>
      <c r="XC73" s="602"/>
      <c r="XD73" s="602"/>
      <c r="XE73" s="602"/>
      <c r="XF73" s="37"/>
      <c r="XG73" s="37"/>
      <c r="XH73" s="37"/>
      <c r="XI73" s="37"/>
      <c r="XJ73" s="37"/>
      <c r="XK73" s="37"/>
      <c r="XL73" s="37"/>
      <c r="XM73" s="81"/>
      <c r="XN73" s="81"/>
      <c r="XO73" s="81"/>
      <c r="XP73" s="85"/>
      <c r="XQ73" s="37"/>
      <c r="XR73" s="37"/>
      <c r="XS73" s="81"/>
      <c r="XT73" s="37"/>
      <c r="XU73" s="37"/>
      <c r="XV73" s="81"/>
      <c r="XW73" s="37"/>
      <c r="XX73" s="37"/>
      <c r="XY73" s="81"/>
      <c r="YB73" s="37"/>
      <c r="YC73" s="37"/>
      <c r="YD73" s="37"/>
      <c r="YE73" s="37"/>
      <c r="YF73" s="81"/>
      <c r="YG73" s="15"/>
      <c r="YH73" s="15"/>
      <c r="YI73" s="15"/>
      <c r="YJ73" s="15"/>
      <c r="YK73" s="15"/>
      <c r="YL73" s="146"/>
      <c r="ZZ73" s="15"/>
    </row>
    <row r="74" spans="2:806">
      <c r="B74" s="15"/>
      <c r="C74" s="15"/>
      <c r="D74" s="15"/>
      <c r="E74" s="15"/>
      <c r="F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47"/>
      <c r="BP74" s="15"/>
      <c r="BQ74" s="15"/>
      <c r="BR74" s="15"/>
      <c r="BS74" s="15"/>
      <c r="BT74" s="47"/>
      <c r="BU74" s="15"/>
      <c r="BV74" s="15"/>
      <c r="BW74" s="15"/>
      <c r="BX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47"/>
      <c r="EG74" s="15"/>
      <c r="EH74" s="15"/>
      <c r="EI74" s="15"/>
      <c r="EJ74" s="15"/>
      <c r="EK74" s="47"/>
      <c r="EL74" s="15"/>
      <c r="EM74" s="15"/>
      <c r="EN74" s="15"/>
      <c r="EO74" s="15"/>
      <c r="EP74" s="47"/>
      <c r="EQ74" s="15"/>
      <c r="ER74" s="15"/>
      <c r="ES74" s="15"/>
      <c r="EY74" s="15"/>
      <c r="EZ74" s="15"/>
      <c r="FA74" s="15"/>
      <c r="FB74" s="15"/>
      <c r="FC74" s="15"/>
      <c r="FD74" s="40"/>
      <c r="FE74" s="40"/>
      <c r="FF74" s="40"/>
      <c r="FG74" s="40"/>
      <c r="FH74" s="15"/>
      <c r="FI74" s="15"/>
      <c r="FJ74" s="15"/>
      <c r="FK74" s="15"/>
      <c r="FL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46"/>
      <c r="GH74" s="146"/>
      <c r="GI74" s="146"/>
      <c r="GJ74" s="146"/>
      <c r="GK74" s="146"/>
      <c r="GL74" s="15"/>
      <c r="GM74" s="15"/>
      <c r="GN74" s="15"/>
      <c r="GO74" s="15"/>
      <c r="GP74" s="15"/>
      <c r="GQ74" s="15"/>
      <c r="GR74" s="15"/>
      <c r="GS74" s="15"/>
      <c r="GT74" s="15"/>
      <c r="GU74" s="386"/>
      <c r="GV74" s="386"/>
      <c r="GW74" s="386"/>
      <c r="GX74" s="386"/>
      <c r="GY74" s="386"/>
      <c r="GZ74" s="386"/>
      <c r="HA74" s="386"/>
      <c r="HB74" s="386"/>
      <c r="HC74" s="386"/>
      <c r="HD74" s="386"/>
      <c r="HE74" s="386"/>
      <c r="HF74" s="386"/>
      <c r="HG74" s="386"/>
      <c r="HH74" s="386"/>
      <c r="HI74" s="386"/>
      <c r="HJ74" s="386"/>
      <c r="HK74" s="386"/>
      <c r="HL74" s="386"/>
      <c r="HM74" s="386"/>
      <c r="HN74" s="386"/>
      <c r="HO74" s="386"/>
      <c r="HP74" s="386"/>
      <c r="HQ74" s="386"/>
      <c r="HR74" s="386"/>
      <c r="HS74" s="386"/>
      <c r="HT74" s="386"/>
      <c r="HU74" s="15"/>
      <c r="HZ74" s="386"/>
      <c r="IA74" s="386"/>
      <c r="IB74" s="386"/>
      <c r="IC74" s="386"/>
      <c r="ID74" s="386"/>
      <c r="IE74" s="386"/>
      <c r="IF74" s="386"/>
      <c r="IG74" s="386"/>
      <c r="IH74" s="386"/>
      <c r="II74" s="386"/>
      <c r="IJ74" s="645"/>
      <c r="IK74" s="386"/>
      <c r="IL74" s="386"/>
      <c r="IM74" s="386"/>
      <c r="IN74" s="386"/>
      <c r="IO74" s="645"/>
      <c r="IP74" s="386"/>
      <c r="IQ74" s="386"/>
      <c r="IR74" s="386"/>
      <c r="IS74" s="386"/>
      <c r="IY74" s="15"/>
      <c r="IZ74" s="15"/>
      <c r="JA74" s="15"/>
      <c r="JB74" s="15"/>
      <c r="JC74" s="15"/>
      <c r="JI74" s="15"/>
      <c r="JJ74" s="15"/>
      <c r="JK74" s="15"/>
      <c r="JL74" s="15"/>
      <c r="JM74" s="15"/>
      <c r="JN74" s="15"/>
      <c r="JO74" s="15"/>
      <c r="JP74" s="15"/>
      <c r="JQ74" s="15"/>
      <c r="JR74" s="15"/>
      <c r="JS74" s="15"/>
      <c r="JT74" s="15"/>
      <c r="JU74" s="15"/>
      <c r="JV74" s="15"/>
      <c r="JW74" s="15"/>
      <c r="JX74" s="15"/>
      <c r="JY74" s="15"/>
      <c r="JZ74" s="15"/>
      <c r="KA74" s="15"/>
      <c r="KB74" s="15"/>
      <c r="KC74" s="15"/>
      <c r="KD74" s="15"/>
      <c r="KE74" s="15"/>
      <c r="KF74" s="15"/>
      <c r="KG74" s="15"/>
      <c r="KH74" s="15"/>
      <c r="KI74" s="15"/>
      <c r="KJ74" s="15"/>
      <c r="KK74" s="15"/>
      <c r="KL74" s="15"/>
      <c r="KM74" s="15"/>
      <c r="KN74" s="15"/>
      <c r="KO74" s="15"/>
      <c r="KP74" s="15"/>
      <c r="KQ74" s="15"/>
      <c r="KR74" s="15"/>
      <c r="KS74" s="15"/>
      <c r="KT74" s="15"/>
      <c r="KU74" s="15"/>
      <c r="KV74" s="15"/>
      <c r="KW74" s="15"/>
      <c r="KX74" s="15"/>
      <c r="KY74" s="15"/>
      <c r="KZ74" s="15"/>
      <c r="LA74" s="15"/>
      <c r="LB74" s="28"/>
      <c r="LC74" s="28"/>
      <c r="LD74" s="28"/>
      <c r="LE74" s="28"/>
      <c r="LF74" s="28"/>
      <c r="LG74" s="28"/>
      <c r="LH74" s="28"/>
      <c r="LI74" s="15"/>
      <c r="LJ74" s="15"/>
      <c r="LK74" s="15"/>
      <c r="LL74" s="659"/>
      <c r="LM74" s="28"/>
      <c r="LN74" s="28"/>
      <c r="LO74" s="28"/>
      <c r="LP74" s="28"/>
      <c r="LQ74" s="659"/>
      <c r="LR74" s="28"/>
      <c r="LS74" s="28"/>
      <c r="LT74" s="28"/>
      <c r="LU74" s="28"/>
      <c r="MF74" s="15"/>
      <c r="RZ74" s="15"/>
      <c r="UR74" s="37"/>
      <c r="US74" s="37"/>
      <c r="UT74" s="37"/>
      <c r="UU74" s="37"/>
      <c r="UV74" s="37"/>
      <c r="UW74" s="37"/>
      <c r="UX74" s="37"/>
      <c r="UY74" s="37"/>
      <c r="UZ74" s="37"/>
      <c r="VA74" s="37"/>
      <c r="VB74" s="37"/>
      <c r="VC74" s="37"/>
      <c r="VD74" s="37"/>
      <c r="VE74" s="37"/>
      <c r="VF74" s="37"/>
      <c r="VG74" s="37"/>
      <c r="VH74" s="37"/>
      <c r="VI74" s="37"/>
      <c r="VJ74" s="37"/>
      <c r="VK74" s="37"/>
      <c r="VL74" s="37"/>
      <c r="VM74" s="15"/>
      <c r="VN74" s="37"/>
      <c r="VO74" s="37"/>
      <c r="VP74" s="37"/>
      <c r="VQ74" s="37"/>
      <c r="VR74" s="15"/>
      <c r="VS74" s="37"/>
      <c r="VT74" s="37"/>
      <c r="VU74" s="15"/>
      <c r="VV74" s="37"/>
      <c r="VW74" s="37"/>
      <c r="VX74" s="37"/>
      <c r="VY74" s="37"/>
      <c r="VZ74" s="37"/>
      <c r="WD74" s="37"/>
      <c r="WE74" s="37"/>
      <c r="WF74" s="37"/>
      <c r="WG74" s="40"/>
      <c r="WH74" s="37"/>
      <c r="WI74" s="37"/>
      <c r="WJ74" s="15"/>
      <c r="WK74" s="15"/>
      <c r="WL74" s="37"/>
      <c r="WM74" s="37"/>
      <c r="WN74" s="37"/>
      <c r="WO74" s="37"/>
      <c r="WP74" s="15"/>
      <c r="WQ74" s="15"/>
      <c r="WR74" s="37"/>
      <c r="WS74" s="37"/>
      <c r="WT74" s="15"/>
      <c r="WU74" s="37"/>
      <c r="WV74" s="37"/>
      <c r="WW74" s="15"/>
      <c r="WX74" s="602"/>
      <c r="WY74" s="602"/>
      <c r="XC74" s="602"/>
      <c r="XD74" s="602"/>
      <c r="XE74" s="602"/>
      <c r="XF74" s="37"/>
      <c r="XG74" s="37"/>
      <c r="XH74" s="37"/>
      <c r="XI74" s="37"/>
      <c r="XJ74" s="37"/>
      <c r="XK74" s="37"/>
      <c r="XL74" s="37"/>
      <c r="XM74" s="81"/>
      <c r="XN74" s="81"/>
      <c r="XO74" s="81"/>
      <c r="XP74" s="85"/>
      <c r="XQ74" s="37"/>
      <c r="XR74" s="37"/>
      <c r="XS74" s="81"/>
      <c r="XT74" s="37"/>
      <c r="XU74" s="37"/>
      <c r="XV74" s="81"/>
      <c r="XW74" s="37"/>
      <c r="XX74" s="37"/>
      <c r="XY74" s="81"/>
      <c r="YB74" s="37"/>
      <c r="YC74" s="37"/>
      <c r="YD74" s="37"/>
      <c r="YE74" s="37"/>
      <c r="YF74" s="81"/>
      <c r="YG74" s="15"/>
      <c r="YH74" s="15"/>
      <c r="YI74" s="15"/>
      <c r="YJ74" s="15"/>
      <c r="YK74" s="15"/>
      <c r="YL74" s="146"/>
      <c r="ZZ74" s="15"/>
    </row>
    <row r="75" spans="2:806">
      <c r="B75" s="15"/>
      <c r="C75" s="15"/>
      <c r="D75" s="15"/>
      <c r="E75" s="15"/>
      <c r="F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47"/>
      <c r="BP75" s="15"/>
      <c r="BQ75" s="15"/>
      <c r="BR75" s="15"/>
      <c r="BS75" s="15"/>
      <c r="BT75" s="47"/>
      <c r="BU75" s="15"/>
      <c r="BV75" s="15"/>
      <c r="BW75" s="15"/>
      <c r="BX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47"/>
      <c r="EG75" s="15"/>
      <c r="EH75" s="15"/>
      <c r="EI75" s="15"/>
      <c r="EJ75" s="15"/>
      <c r="EK75" s="47"/>
      <c r="EL75" s="15"/>
      <c r="EM75" s="15"/>
      <c r="EN75" s="15"/>
      <c r="EO75" s="15"/>
      <c r="EP75" s="47"/>
      <c r="EQ75" s="15"/>
      <c r="ER75" s="15"/>
      <c r="ES75" s="15"/>
      <c r="EY75" s="15"/>
      <c r="EZ75" s="15"/>
      <c r="FA75" s="15"/>
      <c r="FB75" s="15"/>
      <c r="FC75" s="15"/>
      <c r="FD75" s="40"/>
      <c r="FE75" s="40"/>
      <c r="FF75" s="40"/>
      <c r="FG75" s="40"/>
      <c r="FH75" s="15"/>
      <c r="FI75" s="15"/>
      <c r="FJ75" s="15"/>
      <c r="FK75" s="15"/>
      <c r="FL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46"/>
      <c r="GH75" s="146"/>
      <c r="GI75" s="146"/>
      <c r="GJ75" s="146"/>
      <c r="GK75" s="146"/>
      <c r="GL75" s="15"/>
      <c r="GM75" s="15"/>
      <c r="GN75" s="15"/>
      <c r="GO75" s="15"/>
      <c r="GP75" s="15"/>
      <c r="GQ75" s="15"/>
      <c r="GR75" s="15"/>
      <c r="GS75" s="15"/>
      <c r="GT75" s="15"/>
      <c r="GU75" s="386"/>
      <c r="GV75" s="386"/>
      <c r="GW75" s="386"/>
      <c r="GX75" s="386"/>
      <c r="GY75" s="386"/>
      <c r="GZ75" s="386"/>
      <c r="HA75" s="386"/>
      <c r="HB75" s="386"/>
      <c r="HC75" s="386"/>
      <c r="HD75" s="386"/>
      <c r="HE75" s="386"/>
      <c r="HF75" s="386"/>
      <c r="HG75" s="386"/>
      <c r="HH75" s="386"/>
      <c r="HI75" s="386"/>
      <c r="HJ75" s="386"/>
      <c r="HK75" s="386"/>
      <c r="HL75" s="386"/>
      <c r="HM75" s="386"/>
      <c r="HN75" s="386"/>
      <c r="HO75" s="386"/>
      <c r="HP75" s="386"/>
      <c r="HQ75" s="386"/>
      <c r="HR75" s="386"/>
      <c r="HS75" s="386"/>
      <c r="HT75" s="386"/>
      <c r="HU75" s="15"/>
      <c r="HZ75" s="386"/>
      <c r="IA75" s="386"/>
      <c r="IB75" s="386"/>
      <c r="IC75" s="386"/>
      <c r="ID75" s="386"/>
      <c r="IE75" s="386"/>
      <c r="IF75" s="386"/>
      <c r="IG75" s="386"/>
      <c r="IH75" s="386"/>
      <c r="II75" s="386"/>
      <c r="IJ75" s="645"/>
      <c r="IK75" s="386"/>
      <c r="IL75" s="386"/>
      <c r="IM75" s="386"/>
      <c r="IN75" s="386"/>
      <c r="IO75" s="645"/>
      <c r="IP75" s="386"/>
      <c r="IQ75" s="386"/>
      <c r="IR75" s="386"/>
      <c r="IS75" s="386"/>
      <c r="IY75" s="15"/>
      <c r="IZ75" s="15"/>
      <c r="JA75" s="15"/>
      <c r="JB75" s="15"/>
      <c r="JC75" s="15"/>
      <c r="JI75" s="15"/>
      <c r="JJ75" s="15"/>
      <c r="JK75" s="15"/>
      <c r="JL75" s="15"/>
      <c r="JM75" s="15"/>
      <c r="JN75" s="15"/>
      <c r="JO75" s="15"/>
      <c r="JP75" s="15"/>
      <c r="JQ75" s="15"/>
      <c r="JR75" s="15"/>
      <c r="JS75" s="15"/>
      <c r="JT75" s="15"/>
      <c r="JU75" s="15"/>
      <c r="JV75" s="15"/>
      <c r="JW75" s="15"/>
      <c r="JX75" s="15"/>
      <c r="JY75" s="15"/>
      <c r="JZ75" s="15"/>
      <c r="KA75" s="15"/>
      <c r="KB75" s="15"/>
      <c r="KC75" s="15"/>
      <c r="KD75" s="15"/>
      <c r="KE75" s="15"/>
      <c r="KF75" s="15"/>
      <c r="KG75" s="15"/>
      <c r="KH75" s="15"/>
      <c r="KI75" s="15"/>
      <c r="KJ75" s="15"/>
      <c r="KK75" s="15"/>
      <c r="KL75" s="15"/>
      <c r="KM75" s="15"/>
      <c r="KN75" s="15"/>
      <c r="KO75" s="15"/>
      <c r="KP75" s="15"/>
      <c r="KQ75" s="15"/>
      <c r="KR75" s="15"/>
      <c r="KS75" s="15"/>
      <c r="KT75" s="15"/>
      <c r="KU75" s="15"/>
      <c r="KV75" s="15"/>
      <c r="KW75" s="15"/>
      <c r="KX75" s="15"/>
      <c r="KY75" s="15"/>
      <c r="KZ75" s="15"/>
      <c r="LA75" s="15"/>
      <c r="LB75" s="28"/>
      <c r="LC75" s="28"/>
      <c r="LD75" s="28"/>
      <c r="LE75" s="28"/>
      <c r="LF75" s="28"/>
      <c r="LG75" s="28"/>
      <c r="LH75" s="28"/>
      <c r="LI75" s="15"/>
      <c r="LJ75" s="15"/>
      <c r="LK75" s="15"/>
      <c r="LL75" s="659"/>
      <c r="LM75" s="28"/>
      <c r="LN75" s="28"/>
      <c r="LO75" s="28"/>
      <c r="LP75" s="28"/>
      <c r="LQ75" s="659"/>
      <c r="LR75" s="28"/>
      <c r="LS75" s="28"/>
      <c r="LT75" s="28"/>
      <c r="LU75" s="28"/>
      <c r="MF75" s="15"/>
      <c r="RZ75" s="15"/>
      <c r="UR75" s="37"/>
      <c r="US75" s="37"/>
      <c r="UT75" s="37"/>
      <c r="UU75" s="37"/>
      <c r="UV75" s="37"/>
      <c r="UW75" s="37"/>
      <c r="UX75" s="37"/>
      <c r="UY75" s="37"/>
      <c r="UZ75" s="37"/>
      <c r="VA75" s="37"/>
      <c r="VB75" s="37"/>
      <c r="VC75" s="37"/>
      <c r="VD75" s="37"/>
      <c r="VE75" s="37"/>
      <c r="VF75" s="37"/>
      <c r="VG75" s="37"/>
      <c r="VH75" s="37"/>
      <c r="VI75" s="37"/>
      <c r="VJ75" s="37"/>
      <c r="VK75" s="37"/>
      <c r="VL75" s="37"/>
      <c r="VM75" s="15"/>
      <c r="VN75" s="37"/>
      <c r="VO75" s="37"/>
      <c r="VP75" s="37"/>
      <c r="VQ75" s="37"/>
      <c r="VR75" s="15"/>
      <c r="VS75" s="37"/>
      <c r="VT75" s="37"/>
      <c r="VU75" s="15"/>
      <c r="VV75" s="37"/>
      <c r="VW75" s="37"/>
      <c r="VX75" s="37"/>
      <c r="VY75" s="37"/>
      <c r="VZ75" s="37"/>
      <c r="WD75" s="37"/>
      <c r="WE75" s="37"/>
      <c r="WF75" s="37"/>
      <c r="WG75" s="40"/>
      <c r="WH75" s="37"/>
      <c r="WI75" s="37"/>
      <c r="WJ75" s="15"/>
      <c r="WK75" s="15"/>
      <c r="WL75" s="37"/>
      <c r="WM75" s="37"/>
      <c r="WN75" s="37"/>
      <c r="WO75" s="37"/>
      <c r="WP75" s="15"/>
      <c r="WQ75" s="15"/>
      <c r="WR75" s="37"/>
      <c r="WS75" s="37"/>
      <c r="WT75" s="15"/>
      <c r="WU75" s="37"/>
      <c r="WV75" s="37"/>
      <c r="WW75" s="15"/>
      <c r="WX75" s="602"/>
      <c r="WY75" s="602"/>
      <c r="XC75" s="602"/>
      <c r="XD75" s="602"/>
      <c r="XE75" s="602"/>
      <c r="XF75" s="37"/>
      <c r="XG75" s="37"/>
      <c r="XH75" s="37"/>
      <c r="XI75" s="37"/>
      <c r="XJ75" s="37"/>
      <c r="XK75" s="37"/>
      <c r="XL75" s="37"/>
      <c r="XM75" s="81"/>
      <c r="XN75" s="81"/>
      <c r="XO75" s="81"/>
      <c r="XP75" s="85"/>
      <c r="XQ75" s="37"/>
      <c r="XR75" s="37"/>
      <c r="XS75" s="81"/>
      <c r="XT75" s="37"/>
      <c r="XU75" s="37"/>
      <c r="XV75" s="81"/>
      <c r="XW75" s="37"/>
      <c r="XX75" s="37"/>
      <c r="XY75" s="81"/>
      <c r="YB75" s="37"/>
      <c r="YC75" s="37"/>
      <c r="YD75" s="37"/>
      <c r="YE75" s="37"/>
      <c r="YF75" s="81"/>
      <c r="YG75" s="15"/>
      <c r="YH75" s="15"/>
      <c r="YI75" s="15"/>
      <c r="YJ75" s="15"/>
      <c r="YK75" s="15"/>
      <c r="YL75" s="146"/>
      <c r="ZZ75" s="15"/>
    </row>
    <row r="76" spans="2:806">
      <c r="B76" s="15"/>
      <c r="C76" s="15"/>
      <c r="D76" s="15"/>
      <c r="E76" s="15"/>
      <c r="F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47"/>
      <c r="BP76" s="15"/>
      <c r="BQ76" s="15"/>
      <c r="BR76" s="15"/>
      <c r="BS76" s="15"/>
      <c r="BT76" s="47"/>
      <c r="BU76" s="15"/>
      <c r="BV76" s="15"/>
      <c r="BW76" s="15"/>
      <c r="BX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47"/>
      <c r="EG76" s="15"/>
      <c r="EH76" s="15"/>
      <c r="EI76" s="15"/>
      <c r="EJ76" s="15"/>
      <c r="EK76" s="47"/>
      <c r="EL76" s="15"/>
      <c r="EM76" s="15"/>
      <c r="EN76" s="15"/>
      <c r="EO76" s="15"/>
      <c r="EP76" s="47"/>
      <c r="EQ76" s="15"/>
      <c r="ER76" s="15"/>
      <c r="ES76" s="15"/>
      <c r="EY76" s="15"/>
      <c r="EZ76" s="15"/>
      <c r="FA76" s="15"/>
      <c r="FB76" s="15"/>
      <c r="FC76" s="15"/>
      <c r="FD76" s="40"/>
      <c r="FE76" s="40"/>
      <c r="FF76" s="40"/>
      <c r="FG76" s="40"/>
      <c r="FH76" s="15"/>
      <c r="FI76" s="15"/>
      <c r="FJ76" s="15"/>
      <c r="FK76" s="15"/>
      <c r="FL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46"/>
      <c r="GH76" s="146"/>
      <c r="GI76" s="146"/>
      <c r="GJ76" s="146"/>
      <c r="GK76" s="146"/>
      <c r="GL76" s="15"/>
      <c r="GM76" s="15"/>
      <c r="GN76" s="15"/>
      <c r="GO76" s="15"/>
      <c r="GP76" s="15"/>
      <c r="GQ76" s="15"/>
      <c r="GR76" s="15"/>
      <c r="GS76" s="15"/>
      <c r="GT76" s="15"/>
      <c r="GU76" s="386"/>
      <c r="GV76" s="386"/>
      <c r="GW76" s="386"/>
      <c r="GX76" s="386"/>
      <c r="GY76" s="386"/>
      <c r="GZ76" s="386"/>
      <c r="HA76" s="386"/>
      <c r="HB76" s="386"/>
      <c r="HC76" s="386"/>
      <c r="HD76" s="386"/>
      <c r="HE76" s="386"/>
      <c r="HF76" s="386"/>
      <c r="HG76" s="386"/>
      <c r="HH76" s="386"/>
      <c r="HI76" s="386"/>
      <c r="HJ76" s="386"/>
      <c r="HK76" s="386"/>
      <c r="HL76" s="386"/>
      <c r="HM76" s="386"/>
      <c r="HN76" s="386"/>
      <c r="HO76" s="386"/>
      <c r="HP76" s="386"/>
      <c r="HQ76" s="386"/>
      <c r="HR76" s="386"/>
      <c r="HS76" s="386"/>
      <c r="HT76" s="386"/>
      <c r="HU76" s="15"/>
      <c r="HZ76" s="386"/>
      <c r="IA76" s="386"/>
      <c r="IB76" s="386"/>
      <c r="IC76" s="386"/>
      <c r="ID76" s="386"/>
      <c r="IE76" s="386"/>
      <c r="IF76" s="386"/>
      <c r="IG76" s="386"/>
      <c r="IH76" s="386"/>
      <c r="II76" s="386"/>
      <c r="IJ76" s="645"/>
      <c r="IK76" s="386"/>
      <c r="IL76" s="386"/>
      <c r="IM76" s="386"/>
      <c r="IN76" s="386"/>
      <c r="IO76" s="645"/>
      <c r="IP76" s="386"/>
      <c r="IQ76" s="386"/>
      <c r="IR76" s="386"/>
      <c r="IS76" s="386"/>
      <c r="IY76" s="15"/>
      <c r="IZ76" s="15"/>
      <c r="JA76" s="15"/>
      <c r="JB76" s="15"/>
      <c r="JC76" s="15"/>
      <c r="JI76" s="15"/>
      <c r="JJ76" s="15"/>
      <c r="JK76" s="15"/>
      <c r="JL76" s="15"/>
      <c r="JM76" s="15"/>
      <c r="JN76" s="15"/>
      <c r="JO76" s="15"/>
      <c r="JP76" s="15"/>
      <c r="JQ76" s="15"/>
      <c r="JR76" s="15"/>
      <c r="JS76" s="15"/>
      <c r="JT76" s="15"/>
      <c r="JU76" s="15"/>
      <c r="JV76" s="15"/>
      <c r="JW76" s="15"/>
      <c r="JX76" s="15"/>
      <c r="JY76" s="15"/>
      <c r="JZ76" s="15"/>
      <c r="KA76" s="15"/>
      <c r="KB76" s="15"/>
      <c r="KC76" s="15"/>
      <c r="KD76" s="15"/>
      <c r="KE76" s="15"/>
      <c r="KF76" s="15"/>
      <c r="KG76" s="15"/>
      <c r="KH76" s="15"/>
      <c r="KI76" s="15"/>
      <c r="KJ76" s="15"/>
      <c r="KK76" s="15"/>
      <c r="KL76" s="15"/>
      <c r="KM76" s="15"/>
      <c r="KN76" s="15"/>
      <c r="KO76" s="15"/>
      <c r="KP76" s="15"/>
      <c r="KQ76" s="15"/>
      <c r="KR76" s="15"/>
      <c r="KS76" s="15"/>
      <c r="KT76" s="15"/>
      <c r="KU76" s="15"/>
      <c r="KV76" s="15"/>
      <c r="KW76" s="15"/>
      <c r="KX76" s="15"/>
      <c r="KY76" s="15"/>
      <c r="KZ76" s="15"/>
      <c r="LA76" s="15"/>
      <c r="LB76" s="28"/>
      <c r="LC76" s="28"/>
      <c r="LD76" s="28"/>
      <c r="LE76" s="28"/>
      <c r="LF76" s="28"/>
      <c r="LG76" s="28"/>
      <c r="LH76" s="28"/>
      <c r="LI76" s="15"/>
      <c r="LJ76" s="15"/>
      <c r="LK76" s="15"/>
      <c r="LL76" s="659"/>
      <c r="LM76" s="28"/>
      <c r="LN76" s="28"/>
      <c r="LO76" s="28"/>
      <c r="LP76" s="28"/>
      <c r="LQ76" s="659"/>
      <c r="LR76" s="28"/>
      <c r="LS76" s="28"/>
      <c r="LT76" s="28"/>
      <c r="LU76" s="28"/>
      <c r="MF76" s="15"/>
      <c r="RZ76" s="15"/>
      <c r="UR76" s="37"/>
      <c r="US76" s="37"/>
      <c r="UT76" s="37"/>
      <c r="UU76" s="37"/>
      <c r="UV76" s="37"/>
      <c r="UW76" s="37"/>
      <c r="UX76" s="37"/>
      <c r="UY76" s="37"/>
      <c r="UZ76" s="37"/>
      <c r="VA76" s="37"/>
      <c r="VB76" s="37"/>
      <c r="VC76" s="37"/>
      <c r="VD76" s="37"/>
      <c r="VE76" s="37"/>
      <c r="VF76" s="37"/>
      <c r="VG76" s="37"/>
      <c r="VH76" s="37"/>
      <c r="VI76" s="37"/>
      <c r="VJ76" s="37"/>
      <c r="VK76" s="37"/>
      <c r="VL76" s="37"/>
      <c r="VM76" s="15"/>
      <c r="VN76" s="37"/>
      <c r="VO76" s="37"/>
      <c r="VP76" s="37"/>
      <c r="VQ76" s="37"/>
      <c r="VR76" s="15"/>
      <c r="VS76" s="37"/>
      <c r="VT76" s="37"/>
      <c r="VU76" s="15"/>
      <c r="VV76" s="37"/>
      <c r="VW76" s="37"/>
      <c r="VX76" s="37"/>
      <c r="VY76" s="37"/>
      <c r="VZ76" s="37"/>
      <c r="WD76" s="37"/>
      <c r="WE76" s="37"/>
      <c r="WF76" s="37"/>
      <c r="WG76" s="40"/>
      <c r="WH76" s="37"/>
      <c r="WI76" s="37"/>
      <c r="WJ76" s="15"/>
      <c r="WK76" s="15"/>
      <c r="WL76" s="37"/>
      <c r="WM76" s="37"/>
      <c r="WN76" s="37"/>
      <c r="WO76" s="37"/>
      <c r="WP76" s="15"/>
      <c r="WQ76" s="15"/>
      <c r="WR76" s="37"/>
      <c r="WS76" s="37"/>
      <c r="WT76" s="15"/>
      <c r="WU76" s="37"/>
      <c r="WV76" s="37"/>
      <c r="WW76" s="15"/>
      <c r="WX76" s="602"/>
      <c r="WY76" s="602"/>
      <c r="XC76" s="602"/>
      <c r="XD76" s="602"/>
      <c r="XE76" s="602"/>
      <c r="XF76" s="37"/>
      <c r="XG76" s="37"/>
      <c r="XH76" s="37"/>
      <c r="XI76" s="37"/>
      <c r="XJ76" s="37"/>
      <c r="XK76" s="37"/>
      <c r="XL76" s="37"/>
      <c r="XM76" s="81"/>
      <c r="XN76" s="81"/>
      <c r="XO76" s="81"/>
      <c r="XP76" s="85"/>
      <c r="XQ76" s="37"/>
      <c r="XR76" s="37"/>
      <c r="XS76" s="81"/>
      <c r="XT76" s="37"/>
      <c r="XU76" s="37"/>
      <c r="XV76" s="81"/>
      <c r="XW76" s="37"/>
      <c r="XX76" s="37"/>
      <c r="XY76" s="81"/>
      <c r="YB76" s="37"/>
      <c r="YC76" s="37"/>
      <c r="YD76" s="37"/>
      <c r="YE76" s="37"/>
      <c r="YF76" s="81"/>
      <c r="YG76" s="15"/>
      <c r="YH76" s="15"/>
      <c r="YI76" s="15"/>
      <c r="YJ76" s="15"/>
      <c r="YK76" s="15"/>
      <c r="YL76" s="146"/>
      <c r="ZZ76" s="15"/>
      <c r="ABD76" s="15"/>
      <c r="ABN76" s="15"/>
      <c r="ABS76" s="15"/>
    </row>
    <row r="77" spans="2:806">
      <c r="B77" s="15"/>
      <c r="C77" s="15"/>
      <c r="D77" s="15"/>
      <c r="E77" s="15"/>
      <c r="F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47"/>
      <c r="BP77" s="15"/>
      <c r="BQ77" s="15"/>
      <c r="BR77" s="15"/>
      <c r="BS77" s="15"/>
      <c r="BT77" s="47"/>
      <c r="BU77" s="15"/>
      <c r="BV77" s="15"/>
      <c r="BW77" s="15"/>
      <c r="BX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47"/>
      <c r="EG77" s="15"/>
      <c r="EH77" s="15"/>
      <c r="EI77" s="15"/>
      <c r="EJ77" s="15"/>
      <c r="EK77" s="47"/>
      <c r="EL77" s="15"/>
      <c r="EM77" s="15"/>
      <c r="EN77" s="15"/>
      <c r="EO77" s="15"/>
      <c r="EP77" s="47"/>
      <c r="EQ77" s="15"/>
      <c r="ER77" s="15"/>
      <c r="ES77" s="15"/>
      <c r="EY77" s="15"/>
      <c r="EZ77" s="15"/>
      <c r="FA77" s="15"/>
      <c r="FB77" s="15"/>
      <c r="FC77" s="15"/>
      <c r="FD77" s="40"/>
      <c r="FE77" s="40"/>
      <c r="FF77" s="40"/>
      <c r="FG77" s="40"/>
      <c r="FH77" s="15"/>
      <c r="FI77" s="15"/>
      <c r="FJ77" s="15"/>
      <c r="FK77" s="15"/>
      <c r="FL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46"/>
      <c r="GH77" s="146"/>
      <c r="GI77" s="146"/>
      <c r="GJ77" s="146"/>
      <c r="GK77" s="146"/>
      <c r="GL77" s="15"/>
      <c r="GM77" s="15"/>
      <c r="GN77" s="15"/>
      <c r="GO77" s="15"/>
      <c r="GP77" s="15"/>
      <c r="GQ77" s="15"/>
      <c r="GR77" s="15"/>
      <c r="GS77" s="15"/>
      <c r="GT77" s="15"/>
      <c r="GU77" s="386"/>
      <c r="GV77" s="386"/>
      <c r="GW77" s="386"/>
      <c r="GX77" s="386"/>
      <c r="GY77" s="386"/>
      <c r="GZ77" s="386"/>
      <c r="HA77" s="386"/>
      <c r="HB77" s="386"/>
      <c r="HC77" s="386"/>
      <c r="HD77" s="386"/>
      <c r="HE77" s="386"/>
      <c r="HF77" s="386"/>
      <c r="HG77" s="386"/>
      <c r="HH77" s="386"/>
      <c r="HI77" s="386"/>
      <c r="HJ77" s="386"/>
      <c r="HK77" s="386"/>
      <c r="HL77" s="386"/>
      <c r="HM77" s="386"/>
      <c r="HN77" s="386"/>
      <c r="HO77" s="386"/>
      <c r="HP77" s="386"/>
      <c r="HQ77" s="386"/>
      <c r="HR77" s="386"/>
      <c r="HS77" s="386"/>
      <c r="HT77" s="386"/>
      <c r="HU77" s="15"/>
      <c r="HZ77" s="386"/>
      <c r="IA77" s="386"/>
      <c r="IB77" s="386"/>
      <c r="IC77" s="386"/>
      <c r="ID77" s="386"/>
      <c r="IE77" s="386"/>
      <c r="IF77" s="386"/>
      <c r="IG77" s="386"/>
      <c r="IH77" s="386"/>
      <c r="II77" s="386"/>
      <c r="IJ77" s="645"/>
      <c r="IK77" s="386"/>
      <c r="IL77" s="386"/>
      <c r="IM77" s="386"/>
      <c r="IN77" s="386"/>
      <c r="IO77" s="645"/>
      <c r="IP77" s="386"/>
      <c r="IQ77" s="386"/>
      <c r="IR77" s="386"/>
      <c r="IS77" s="386"/>
      <c r="IY77" s="15"/>
      <c r="IZ77" s="15"/>
      <c r="JA77" s="15"/>
      <c r="JB77" s="15"/>
      <c r="JC77" s="15"/>
      <c r="JI77" s="15"/>
      <c r="JJ77" s="15"/>
      <c r="JK77" s="15"/>
      <c r="JL77" s="15"/>
      <c r="JM77" s="15"/>
      <c r="JN77" s="15"/>
      <c r="JO77" s="15"/>
      <c r="JP77" s="15"/>
      <c r="JQ77" s="15"/>
      <c r="JR77" s="15"/>
      <c r="JS77" s="15"/>
      <c r="JT77" s="15"/>
      <c r="JU77" s="15"/>
      <c r="JV77" s="15"/>
      <c r="JW77" s="15"/>
      <c r="JX77" s="15"/>
      <c r="JY77" s="15"/>
      <c r="JZ77" s="15"/>
      <c r="KA77" s="15"/>
      <c r="KB77" s="15"/>
      <c r="KC77" s="15"/>
      <c r="KD77" s="15"/>
      <c r="KE77" s="15"/>
      <c r="KF77" s="15"/>
      <c r="KG77" s="15"/>
      <c r="KH77" s="15"/>
      <c r="KI77" s="15"/>
      <c r="KJ77" s="15"/>
      <c r="KK77" s="15"/>
      <c r="KL77" s="15"/>
      <c r="KM77" s="15"/>
      <c r="KN77" s="15"/>
      <c r="KO77" s="15"/>
      <c r="KP77" s="15"/>
      <c r="KQ77" s="15"/>
      <c r="KR77" s="15"/>
      <c r="KS77" s="15"/>
      <c r="KT77" s="15"/>
      <c r="KU77" s="15"/>
      <c r="KV77" s="15"/>
      <c r="KW77" s="15"/>
      <c r="KX77" s="15"/>
      <c r="KY77" s="15"/>
      <c r="KZ77" s="15"/>
      <c r="LA77" s="15"/>
      <c r="LB77" s="28"/>
      <c r="LC77" s="28"/>
      <c r="LD77" s="28"/>
      <c r="LE77" s="28"/>
      <c r="LF77" s="28"/>
      <c r="LG77" s="28"/>
      <c r="LH77" s="28"/>
      <c r="LI77" s="15"/>
      <c r="LJ77" s="15"/>
      <c r="LK77" s="15"/>
      <c r="LL77" s="659"/>
      <c r="LM77" s="28"/>
      <c r="LN77" s="28"/>
      <c r="LO77" s="28"/>
      <c r="LP77" s="28"/>
      <c r="LQ77" s="659"/>
      <c r="LR77" s="28"/>
      <c r="LS77" s="28"/>
      <c r="LT77" s="28"/>
      <c r="LU77" s="28"/>
      <c r="MF77" s="15"/>
      <c r="RZ77" s="15"/>
      <c r="UR77" s="37"/>
      <c r="US77" s="37"/>
      <c r="UT77" s="37"/>
      <c r="UU77" s="37"/>
      <c r="UV77" s="37"/>
      <c r="UW77" s="37"/>
      <c r="UX77" s="37"/>
      <c r="UY77" s="37"/>
      <c r="UZ77" s="37"/>
      <c r="VA77" s="37"/>
      <c r="VB77" s="37"/>
      <c r="VC77" s="37"/>
      <c r="VD77" s="37"/>
      <c r="VE77" s="37"/>
      <c r="VF77" s="37"/>
      <c r="VG77" s="37"/>
      <c r="VH77" s="37"/>
      <c r="VI77" s="37"/>
      <c r="VJ77" s="37"/>
      <c r="VK77" s="37"/>
      <c r="VL77" s="37"/>
      <c r="VM77" s="15"/>
      <c r="VN77" s="37"/>
      <c r="VO77" s="37"/>
      <c r="VP77" s="37"/>
      <c r="VQ77" s="37"/>
      <c r="VR77" s="15"/>
      <c r="VS77" s="37"/>
      <c r="VT77" s="37"/>
      <c r="VU77" s="15"/>
      <c r="VV77" s="37"/>
      <c r="VW77" s="37"/>
      <c r="VX77" s="37"/>
      <c r="VY77" s="37"/>
      <c r="VZ77" s="37"/>
      <c r="WD77" s="37"/>
      <c r="WE77" s="37"/>
      <c r="WF77" s="37"/>
      <c r="WG77" s="40"/>
      <c r="WH77" s="37"/>
      <c r="WI77" s="37"/>
      <c r="WJ77" s="15"/>
      <c r="WK77" s="15"/>
      <c r="WL77" s="37"/>
      <c r="WM77" s="37"/>
      <c r="WN77" s="37"/>
      <c r="WO77" s="37"/>
      <c r="WP77" s="15"/>
      <c r="WQ77" s="15"/>
      <c r="WR77" s="37"/>
      <c r="WS77" s="37"/>
      <c r="WT77" s="15"/>
      <c r="WU77" s="37"/>
      <c r="WV77" s="37"/>
      <c r="WW77" s="15"/>
      <c r="WX77" s="602"/>
      <c r="WY77" s="602"/>
      <c r="XC77" s="602"/>
      <c r="XD77" s="602"/>
      <c r="XE77" s="602"/>
      <c r="XF77" s="37"/>
      <c r="XG77" s="37"/>
      <c r="XH77" s="37"/>
      <c r="XI77" s="37"/>
      <c r="XJ77" s="37"/>
      <c r="XK77" s="37"/>
      <c r="XL77" s="37"/>
      <c r="XM77" s="81"/>
      <c r="XN77" s="81"/>
      <c r="XO77" s="81"/>
      <c r="XP77" s="85"/>
      <c r="XQ77" s="37"/>
      <c r="XR77" s="37"/>
      <c r="XS77" s="81"/>
      <c r="XT77" s="37"/>
      <c r="XU77" s="37"/>
      <c r="XV77" s="81"/>
      <c r="XW77" s="37"/>
      <c r="XX77" s="37"/>
      <c r="XY77" s="81"/>
      <c r="YB77" s="37"/>
      <c r="YC77" s="37"/>
      <c r="YD77" s="37"/>
      <c r="YE77" s="37"/>
      <c r="YF77" s="81"/>
      <c r="YG77" s="15"/>
      <c r="YH77" s="15"/>
      <c r="YI77" s="15"/>
      <c r="YJ77" s="15"/>
      <c r="YK77" s="15"/>
      <c r="YL77" s="146"/>
      <c r="ZZ77" s="15"/>
      <c r="ABD77" s="15"/>
      <c r="ABN77" s="15"/>
      <c r="ABS77" s="15"/>
    </row>
    <row r="78" spans="2:806">
      <c r="B78" s="15"/>
      <c r="C78" s="15"/>
      <c r="D78" s="15"/>
      <c r="E78" s="15"/>
      <c r="F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47"/>
      <c r="BP78" s="15"/>
      <c r="BQ78" s="15"/>
      <c r="BR78" s="15"/>
      <c r="BS78" s="15"/>
      <c r="BT78" s="47"/>
      <c r="BU78" s="15"/>
      <c r="BV78" s="15"/>
      <c r="BW78" s="15"/>
      <c r="BX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47"/>
      <c r="EG78" s="15"/>
      <c r="EH78" s="15"/>
      <c r="EI78" s="15"/>
      <c r="EJ78" s="15"/>
      <c r="EK78" s="47"/>
      <c r="EL78" s="15"/>
      <c r="EM78" s="15"/>
      <c r="EN78" s="15"/>
      <c r="EO78" s="15"/>
      <c r="EP78" s="47"/>
      <c r="EQ78" s="15"/>
      <c r="ER78" s="15"/>
      <c r="ES78" s="15"/>
      <c r="EY78" s="15"/>
      <c r="EZ78" s="15"/>
      <c r="FA78" s="15"/>
      <c r="FB78" s="15"/>
      <c r="FC78" s="15"/>
      <c r="FD78" s="40"/>
      <c r="FE78" s="40"/>
      <c r="FF78" s="40"/>
      <c r="FG78" s="40"/>
      <c r="FH78" s="15"/>
      <c r="FI78" s="15"/>
      <c r="FJ78" s="15"/>
      <c r="FK78" s="15"/>
      <c r="FL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46"/>
      <c r="GH78" s="146"/>
      <c r="GI78" s="146"/>
      <c r="GJ78" s="146"/>
      <c r="GK78" s="146"/>
      <c r="GL78" s="15"/>
      <c r="GM78" s="15"/>
      <c r="GN78" s="15"/>
      <c r="GO78" s="15"/>
      <c r="GP78" s="15"/>
      <c r="GQ78" s="15"/>
      <c r="GR78" s="15"/>
      <c r="GS78" s="15"/>
      <c r="GT78" s="15"/>
      <c r="GU78" s="386"/>
      <c r="GV78" s="386"/>
      <c r="GW78" s="386"/>
      <c r="GX78" s="386"/>
      <c r="GY78" s="386"/>
      <c r="GZ78" s="386"/>
      <c r="HA78" s="386"/>
      <c r="HB78" s="386"/>
      <c r="HC78" s="386"/>
      <c r="HD78" s="386"/>
      <c r="HE78" s="386"/>
      <c r="HF78" s="386"/>
      <c r="HG78" s="386"/>
      <c r="HH78" s="386"/>
      <c r="HI78" s="386"/>
      <c r="HJ78" s="386"/>
      <c r="HK78" s="386"/>
      <c r="HL78" s="386"/>
      <c r="HM78" s="386"/>
      <c r="HN78" s="386"/>
      <c r="HO78" s="386"/>
      <c r="HP78" s="386"/>
      <c r="HQ78" s="386"/>
      <c r="HR78" s="386"/>
      <c r="HS78" s="386"/>
      <c r="HT78" s="386"/>
      <c r="HU78" s="15"/>
      <c r="HZ78" s="386"/>
      <c r="IA78" s="386"/>
      <c r="IB78" s="386"/>
      <c r="IC78" s="386"/>
      <c r="ID78" s="386"/>
      <c r="IE78" s="386"/>
      <c r="IF78" s="386"/>
      <c r="IG78" s="386"/>
      <c r="IH78" s="386"/>
      <c r="II78" s="386"/>
      <c r="IJ78" s="645"/>
      <c r="IK78" s="386"/>
      <c r="IL78" s="386"/>
      <c r="IM78" s="386"/>
      <c r="IN78" s="386"/>
      <c r="IO78" s="645"/>
      <c r="IP78" s="386"/>
      <c r="IQ78" s="386"/>
      <c r="IR78" s="386"/>
      <c r="IS78" s="386"/>
      <c r="IY78" s="15"/>
      <c r="IZ78" s="15"/>
      <c r="JA78" s="15"/>
      <c r="JB78" s="15"/>
      <c r="JC78" s="15"/>
      <c r="JI78" s="15"/>
      <c r="JJ78" s="15"/>
      <c r="JK78" s="15"/>
      <c r="JL78" s="15"/>
      <c r="JM78" s="15"/>
      <c r="JN78" s="15"/>
      <c r="JO78" s="15"/>
      <c r="JP78" s="15"/>
      <c r="JQ78" s="15"/>
      <c r="JR78" s="15"/>
      <c r="JS78" s="15"/>
      <c r="JT78" s="15"/>
      <c r="JU78" s="15"/>
      <c r="JV78" s="15"/>
      <c r="JW78" s="15"/>
      <c r="JX78" s="15"/>
      <c r="JY78" s="15"/>
      <c r="JZ78" s="15"/>
      <c r="KA78" s="15"/>
      <c r="KB78" s="15"/>
      <c r="KC78" s="15"/>
      <c r="KD78" s="15"/>
      <c r="KE78" s="15"/>
      <c r="KF78" s="15"/>
      <c r="KG78" s="15"/>
      <c r="KH78" s="15"/>
      <c r="KI78" s="15"/>
      <c r="KJ78" s="15"/>
      <c r="KK78" s="15"/>
      <c r="KL78" s="15"/>
      <c r="KM78" s="15"/>
      <c r="KN78" s="15"/>
      <c r="KO78" s="15"/>
      <c r="KP78" s="15"/>
      <c r="KQ78" s="15"/>
      <c r="KR78" s="15"/>
      <c r="KS78" s="15"/>
      <c r="KT78" s="15"/>
      <c r="KU78" s="15"/>
      <c r="KV78" s="15"/>
      <c r="KW78" s="15"/>
      <c r="KX78" s="15"/>
      <c r="KY78" s="15"/>
      <c r="KZ78" s="15"/>
      <c r="LA78" s="15"/>
      <c r="LB78" s="28"/>
      <c r="LC78" s="28"/>
      <c r="LD78" s="28"/>
      <c r="LE78" s="28"/>
      <c r="LF78" s="28"/>
      <c r="LG78" s="28"/>
      <c r="LH78" s="28"/>
      <c r="LI78" s="15"/>
      <c r="LJ78" s="15"/>
      <c r="LK78" s="15"/>
      <c r="LL78" s="659"/>
      <c r="LM78" s="28"/>
      <c r="LN78" s="28"/>
      <c r="LO78" s="28"/>
      <c r="LP78" s="28"/>
      <c r="LQ78" s="659"/>
      <c r="LR78" s="28"/>
      <c r="LS78" s="28"/>
      <c r="LT78" s="28"/>
      <c r="LU78" s="28"/>
      <c r="MF78" s="15"/>
      <c r="RZ78" s="15"/>
      <c r="UR78" s="37"/>
      <c r="US78" s="37"/>
      <c r="UT78" s="37"/>
      <c r="UU78" s="37"/>
      <c r="UV78" s="37"/>
      <c r="UW78" s="37"/>
      <c r="UX78" s="37"/>
      <c r="UY78" s="37"/>
      <c r="UZ78" s="37"/>
      <c r="VA78" s="37"/>
      <c r="VB78" s="37"/>
      <c r="VC78" s="37"/>
      <c r="VD78" s="37"/>
      <c r="VE78" s="37"/>
      <c r="VF78" s="37"/>
      <c r="VG78" s="37"/>
      <c r="VH78" s="37"/>
      <c r="VI78" s="37"/>
      <c r="VJ78" s="37"/>
      <c r="VK78" s="37"/>
      <c r="VL78" s="37"/>
      <c r="VM78" s="15"/>
      <c r="VN78" s="37"/>
      <c r="VO78" s="37"/>
      <c r="VP78" s="37"/>
      <c r="VQ78" s="37"/>
      <c r="VR78" s="15"/>
      <c r="VS78" s="37"/>
      <c r="VT78" s="37"/>
      <c r="VU78" s="15"/>
      <c r="VV78" s="37"/>
      <c r="VW78" s="37"/>
      <c r="VX78" s="37"/>
      <c r="VY78" s="37"/>
      <c r="VZ78" s="37"/>
      <c r="WD78" s="37"/>
      <c r="WE78" s="37"/>
      <c r="WF78" s="37"/>
      <c r="WG78" s="40"/>
      <c r="WH78" s="37"/>
      <c r="WI78" s="37"/>
      <c r="WJ78" s="15"/>
      <c r="WK78" s="15"/>
      <c r="WL78" s="37"/>
      <c r="WM78" s="37"/>
      <c r="WN78" s="37"/>
      <c r="WO78" s="37"/>
      <c r="WP78" s="15"/>
      <c r="WQ78" s="15"/>
      <c r="WR78" s="37"/>
      <c r="WS78" s="37"/>
      <c r="WT78" s="15"/>
      <c r="WU78" s="37"/>
      <c r="WV78" s="37"/>
      <c r="WW78" s="15"/>
      <c r="WX78" s="602"/>
      <c r="WY78" s="602"/>
      <c r="XC78" s="602"/>
      <c r="XD78" s="602"/>
      <c r="XE78" s="602"/>
      <c r="XF78" s="37"/>
      <c r="XG78" s="37"/>
      <c r="XH78" s="37"/>
      <c r="XI78" s="37"/>
      <c r="XJ78" s="37"/>
      <c r="XK78" s="37"/>
      <c r="XL78" s="37"/>
      <c r="XM78" s="81"/>
      <c r="XN78" s="81"/>
      <c r="XO78" s="81"/>
      <c r="XP78" s="85"/>
      <c r="XQ78" s="37"/>
      <c r="XR78" s="37"/>
      <c r="XS78" s="81"/>
      <c r="XT78" s="37"/>
      <c r="XU78" s="37"/>
      <c r="XV78" s="81"/>
      <c r="XW78" s="37"/>
      <c r="XX78" s="37"/>
      <c r="XY78" s="81"/>
      <c r="YB78" s="37"/>
      <c r="YC78" s="37"/>
      <c r="YD78" s="37"/>
      <c r="YE78" s="37"/>
      <c r="YF78" s="81"/>
      <c r="YG78" s="15"/>
      <c r="YH78" s="15"/>
      <c r="YI78" s="15"/>
      <c r="YJ78" s="15"/>
      <c r="YK78" s="15"/>
      <c r="YL78" s="146"/>
      <c r="ZZ78" s="15"/>
      <c r="ABD78" s="15"/>
      <c r="ABN78" s="15"/>
      <c r="ABS78" s="15"/>
    </row>
    <row r="79" spans="2:806">
      <c r="B79" s="15"/>
      <c r="C79" s="15"/>
      <c r="D79" s="15"/>
      <c r="E79" s="15"/>
      <c r="F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47"/>
      <c r="BP79" s="15"/>
      <c r="BQ79" s="15"/>
      <c r="BR79" s="15"/>
      <c r="BS79" s="15"/>
      <c r="BT79" s="47"/>
      <c r="BU79" s="15"/>
      <c r="BV79" s="15"/>
      <c r="BW79" s="15"/>
      <c r="BX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47"/>
      <c r="EG79" s="15"/>
      <c r="EH79" s="15"/>
      <c r="EI79" s="15"/>
      <c r="EJ79" s="15"/>
      <c r="EK79" s="47"/>
      <c r="EL79" s="15"/>
      <c r="EM79" s="15"/>
      <c r="EN79" s="15"/>
      <c r="EO79" s="15"/>
      <c r="EP79" s="47"/>
      <c r="EQ79" s="15"/>
      <c r="ER79" s="15"/>
      <c r="ES79" s="15"/>
      <c r="EY79" s="15"/>
      <c r="EZ79" s="15"/>
      <c r="FA79" s="15"/>
      <c r="FB79" s="15"/>
      <c r="FC79" s="15"/>
      <c r="FD79" s="40"/>
      <c r="FE79" s="40"/>
      <c r="FF79" s="40"/>
      <c r="FG79" s="40"/>
      <c r="FH79" s="15"/>
      <c r="FI79" s="15"/>
      <c r="FJ79" s="15"/>
      <c r="FK79" s="15"/>
      <c r="FL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46"/>
      <c r="GH79" s="146"/>
      <c r="GI79" s="146"/>
      <c r="GJ79" s="146"/>
      <c r="GK79" s="146"/>
      <c r="GL79" s="15"/>
      <c r="GM79" s="15"/>
      <c r="GN79" s="15"/>
      <c r="GO79" s="15"/>
      <c r="GP79" s="15"/>
      <c r="GQ79" s="15"/>
      <c r="GR79" s="15"/>
      <c r="GS79" s="15"/>
      <c r="GT79" s="15"/>
      <c r="GU79" s="386"/>
      <c r="GV79" s="386"/>
      <c r="GW79" s="386"/>
      <c r="GX79" s="386"/>
      <c r="GY79" s="386"/>
      <c r="GZ79" s="386"/>
      <c r="HA79" s="386"/>
      <c r="HB79" s="386"/>
      <c r="HC79" s="386"/>
      <c r="HD79" s="386"/>
      <c r="HE79" s="386"/>
      <c r="HF79" s="386"/>
      <c r="HG79" s="386"/>
      <c r="HH79" s="386"/>
      <c r="HI79" s="386"/>
      <c r="HJ79" s="386"/>
      <c r="HK79" s="386"/>
      <c r="HL79" s="386"/>
      <c r="HM79" s="386"/>
      <c r="HN79" s="386"/>
      <c r="HO79" s="386"/>
      <c r="HP79" s="386"/>
      <c r="HQ79" s="386"/>
      <c r="HR79" s="386"/>
      <c r="HS79" s="386"/>
      <c r="HT79" s="386"/>
      <c r="HU79" s="15"/>
      <c r="HZ79" s="386"/>
      <c r="IA79" s="386"/>
      <c r="IB79" s="386"/>
      <c r="IC79" s="386"/>
      <c r="ID79" s="386"/>
      <c r="IE79" s="386"/>
      <c r="IF79" s="386"/>
      <c r="IG79" s="386"/>
      <c r="IH79" s="386"/>
      <c r="II79" s="386"/>
      <c r="IJ79" s="645"/>
      <c r="IK79" s="386"/>
      <c r="IL79" s="386"/>
      <c r="IM79" s="386"/>
      <c r="IN79" s="386"/>
      <c r="IO79" s="645"/>
      <c r="IP79" s="386"/>
      <c r="IQ79" s="386"/>
      <c r="IR79" s="386"/>
      <c r="IS79" s="386"/>
      <c r="IY79" s="15"/>
      <c r="IZ79" s="15"/>
      <c r="JA79" s="15"/>
      <c r="JB79" s="15"/>
      <c r="JC79" s="15"/>
      <c r="JI79" s="15"/>
      <c r="JJ79" s="15"/>
      <c r="JK79" s="15"/>
      <c r="JL79" s="15"/>
      <c r="JM79" s="15"/>
      <c r="JN79" s="15"/>
      <c r="JO79" s="15"/>
      <c r="JP79" s="15"/>
      <c r="JQ79" s="15"/>
      <c r="JR79" s="15"/>
      <c r="JS79" s="15"/>
      <c r="JT79" s="15"/>
      <c r="JU79" s="15"/>
      <c r="JV79" s="15"/>
      <c r="JW79" s="15"/>
      <c r="JX79" s="15"/>
      <c r="JY79" s="15"/>
      <c r="JZ79" s="15"/>
      <c r="KA79" s="15"/>
      <c r="KB79" s="15"/>
      <c r="KC79" s="15"/>
      <c r="KD79" s="15"/>
      <c r="KE79" s="15"/>
      <c r="KF79" s="15"/>
      <c r="KG79" s="15"/>
      <c r="KH79" s="15"/>
      <c r="KI79" s="15"/>
      <c r="KJ79" s="15"/>
      <c r="KK79" s="15"/>
      <c r="KL79" s="15"/>
      <c r="KM79" s="15"/>
      <c r="KN79" s="15"/>
      <c r="KO79" s="15"/>
      <c r="KP79" s="15"/>
      <c r="KQ79" s="15"/>
      <c r="KR79" s="15"/>
      <c r="KS79" s="15"/>
      <c r="KT79" s="15"/>
      <c r="KU79" s="15"/>
      <c r="KV79" s="15"/>
      <c r="KW79" s="15"/>
      <c r="KX79" s="15"/>
      <c r="KY79" s="15"/>
      <c r="KZ79" s="15"/>
      <c r="LA79" s="15"/>
      <c r="LB79" s="28"/>
      <c r="LC79" s="28"/>
      <c r="LD79" s="28"/>
      <c r="LE79" s="28"/>
      <c r="LF79" s="28"/>
      <c r="LG79" s="28"/>
      <c r="LH79" s="28"/>
      <c r="LI79" s="15"/>
      <c r="LJ79" s="15"/>
      <c r="LK79" s="15"/>
      <c r="LL79" s="659"/>
      <c r="LM79" s="28"/>
      <c r="LN79" s="28"/>
      <c r="LO79" s="28"/>
      <c r="LP79" s="28"/>
      <c r="LQ79" s="659"/>
      <c r="LR79" s="28"/>
      <c r="LS79" s="28"/>
      <c r="LT79" s="28"/>
      <c r="LU79" s="28"/>
      <c r="MF79" s="15"/>
      <c r="RZ79" s="15"/>
      <c r="UR79" s="37"/>
      <c r="US79" s="37"/>
      <c r="UT79" s="37"/>
      <c r="UU79" s="37"/>
      <c r="UV79" s="37"/>
      <c r="UW79" s="37"/>
      <c r="UX79" s="37"/>
      <c r="UY79" s="37"/>
      <c r="UZ79" s="37"/>
      <c r="VA79" s="37"/>
      <c r="VB79" s="37"/>
      <c r="VC79" s="37"/>
      <c r="VD79" s="37"/>
      <c r="VE79" s="37"/>
      <c r="VF79" s="37"/>
      <c r="VG79" s="37"/>
      <c r="VH79" s="37"/>
      <c r="VI79" s="37"/>
      <c r="VJ79" s="37"/>
      <c r="VK79" s="37"/>
      <c r="VL79" s="37"/>
      <c r="VM79" s="15"/>
      <c r="VN79" s="37"/>
      <c r="VO79" s="37"/>
      <c r="VP79" s="37"/>
      <c r="VQ79" s="37"/>
      <c r="VR79" s="15"/>
      <c r="VS79" s="37"/>
      <c r="VT79" s="37"/>
      <c r="VU79" s="15"/>
      <c r="VV79" s="37"/>
      <c r="VW79" s="37"/>
      <c r="VX79" s="37"/>
      <c r="VY79" s="37"/>
      <c r="VZ79" s="37"/>
      <c r="WD79" s="37"/>
      <c r="WE79" s="37"/>
      <c r="WF79" s="37"/>
      <c r="WG79" s="40"/>
      <c r="WH79" s="37"/>
      <c r="WI79" s="37"/>
      <c r="WJ79" s="15"/>
      <c r="WK79" s="15"/>
      <c r="WL79" s="37"/>
      <c r="WM79" s="37"/>
      <c r="WN79" s="37"/>
      <c r="WO79" s="37"/>
      <c r="WP79" s="15"/>
      <c r="WQ79" s="15"/>
      <c r="WR79" s="37"/>
      <c r="WS79" s="37"/>
      <c r="WT79" s="15"/>
      <c r="WU79" s="37"/>
      <c r="WV79" s="37"/>
      <c r="WW79" s="15"/>
      <c r="WX79" s="602"/>
      <c r="WY79" s="602"/>
      <c r="XC79" s="602"/>
      <c r="XD79" s="602"/>
      <c r="XE79" s="602"/>
      <c r="XF79" s="37"/>
      <c r="XG79" s="37"/>
      <c r="XH79" s="37"/>
      <c r="XI79" s="37"/>
      <c r="XJ79" s="37"/>
      <c r="XK79" s="37"/>
      <c r="XL79" s="37"/>
      <c r="XM79" s="81"/>
      <c r="XN79" s="81"/>
      <c r="XO79" s="81"/>
      <c r="XP79" s="85"/>
      <c r="XQ79" s="37"/>
      <c r="XR79" s="37"/>
      <c r="XS79" s="81"/>
      <c r="XT79" s="37"/>
      <c r="XU79" s="37"/>
      <c r="XV79" s="81"/>
      <c r="XW79" s="37"/>
      <c r="XX79" s="37"/>
      <c r="XY79" s="81"/>
      <c r="YB79" s="37"/>
      <c r="YC79" s="37"/>
      <c r="YD79" s="37"/>
      <c r="YE79" s="37"/>
      <c r="YF79" s="81"/>
      <c r="YG79" s="15"/>
      <c r="YH79" s="15"/>
      <c r="YI79" s="15"/>
      <c r="YJ79" s="15"/>
      <c r="YK79" s="15"/>
      <c r="YL79" s="146"/>
      <c r="ZZ79" s="15"/>
      <c r="ABD79" s="15"/>
      <c r="ABN79" s="15"/>
      <c r="ABS79" s="15"/>
    </row>
    <row r="80" spans="2:806">
      <c r="B80" s="15"/>
      <c r="C80" s="15"/>
      <c r="D80" s="15"/>
      <c r="E80" s="15"/>
      <c r="F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47"/>
      <c r="BP80" s="15"/>
      <c r="BQ80" s="15"/>
      <c r="BR80" s="15"/>
      <c r="BS80" s="15"/>
      <c r="BT80" s="47"/>
      <c r="BU80" s="15"/>
      <c r="BV80" s="15"/>
      <c r="BW80" s="15"/>
      <c r="BX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47"/>
      <c r="EG80" s="15"/>
      <c r="EH80" s="15"/>
      <c r="EI80" s="15"/>
      <c r="EJ80" s="15"/>
      <c r="EK80" s="47"/>
      <c r="EL80" s="15"/>
      <c r="EM80" s="15"/>
      <c r="EN80" s="15"/>
      <c r="EO80" s="15"/>
      <c r="EP80" s="47"/>
      <c r="EQ80" s="15"/>
      <c r="ER80" s="15"/>
      <c r="ES80" s="15"/>
      <c r="EY80" s="15"/>
      <c r="EZ80" s="15"/>
      <c r="FA80" s="15"/>
      <c r="FB80" s="15"/>
      <c r="FC80" s="15"/>
      <c r="FD80" s="40"/>
      <c r="FE80" s="40"/>
      <c r="FF80" s="40"/>
      <c r="FG80" s="40"/>
      <c r="FH80" s="15"/>
      <c r="FI80" s="15"/>
      <c r="FJ80" s="15"/>
      <c r="FK80" s="15"/>
      <c r="FL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46"/>
      <c r="GH80" s="146"/>
      <c r="GI80" s="146"/>
      <c r="GJ80" s="146"/>
      <c r="GK80" s="146"/>
      <c r="GL80" s="15"/>
      <c r="GM80" s="15"/>
      <c r="GN80" s="15"/>
      <c r="GO80" s="15"/>
      <c r="GP80" s="15"/>
      <c r="GQ80" s="15"/>
      <c r="GR80" s="15"/>
      <c r="GS80" s="15"/>
      <c r="GT80" s="15"/>
      <c r="GU80" s="386"/>
      <c r="GV80" s="386"/>
      <c r="GW80" s="386"/>
      <c r="GX80" s="386"/>
      <c r="GY80" s="386"/>
      <c r="GZ80" s="386"/>
      <c r="HA80" s="386"/>
      <c r="HB80" s="386"/>
      <c r="HC80" s="386"/>
      <c r="HD80" s="386"/>
      <c r="HE80" s="386"/>
      <c r="HF80" s="386"/>
      <c r="HG80" s="386"/>
      <c r="HH80" s="386"/>
      <c r="HI80" s="386"/>
      <c r="HJ80" s="386"/>
      <c r="HK80" s="386"/>
      <c r="HL80" s="386"/>
      <c r="HM80" s="386"/>
      <c r="HN80" s="386"/>
      <c r="HO80" s="386"/>
      <c r="HP80" s="386"/>
      <c r="HQ80" s="386"/>
      <c r="HR80" s="386"/>
      <c r="HS80" s="386"/>
      <c r="HT80" s="386"/>
      <c r="HU80" s="15"/>
      <c r="HZ80" s="386"/>
      <c r="IA80" s="386"/>
      <c r="IB80" s="386"/>
      <c r="IC80" s="386"/>
      <c r="ID80" s="386"/>
      <c r="IE80" s="386"/>
      <c r="IF80" s="386"/>
      <c r="IG80" s="386"/>
      <c r="IH80" s="386"/>
      <c r="II80" s="386"/>
      <c r="IJ80" s="645"/>
      <c r="IK80" s="386"/>
      <c r="IL80" s="386"/>
      <c r="IM80" s="386"/>
      <c r="IN80" s="386"/>
      <c r="IO80" s="645"/>
      <c r="IP80" s="386"/>
      <c r="IQ80" s="386"/>
      <c r="IR80" s="386"/>
      <c r="IS80" s="386"/>
      <c r="IY80" s="15"/>
      <c r="IZ80" s="15"/>
      <c r="JA80" s="15"/>
      <c r="JB80" s="15"/>
      <c r="JC80" s="15"/>
      <c r="JI80" s="15"/>
      <c r="JJ80" s="15"/>
      <c r="JK80" s="15"/>
      <c r="JL80" s="15"/>
      <c r="JM80" s="15"/>
      <c r="JN80" s="15"/>
      <c r="JO80" s="15"/>
      <c r="JP80" s="15"/>
      <c r="JQ80" s="15"/>
      <c r="JR80" s="15"/>
      <c r="JS80" s="15"/>
      <c r="JT80" s="15"/>
      <c r="JU80" s="15"/>
      <c r="JV80" s="15"/>
      <c r="JW80" s="15"/>
      <c r="JX80" s="15"/>
      <c r="JY80" s="15"/>
      <c r="JZ80" s="15"/>
      <c r="KA80" s="15"/>
      <c r="KB80" s="15"/>
      <c r="KC80" s="15"/>
      <c r="KD80" s="15"/>
      <c r="KE80" s="15"/>
      <c r="KF80" s="15"/>
      <c r="KG80" s="15"/>
      <c r="KH80" s="15"/>
      <c r="KI80" s="15"/>
      <c r="KJ80" s="15"/>
      <c r="KK80" s="15"/>
      <c r="KL80" s="15"/>
      <c r="KM80" s="15"/>
      <c r="KN80" s="15"/>
      <c r="KO80" s="15"/>
      <c r="KP80" s="15"/>
      <c r="KQ80" s="15"/>
      <c r="KR80" s="15"/>
      <c r="KS80" s="15"/>
      <c r="KT80" s="15"/>
      <c r="KU80" s="15"/>
      <c r="KV80" s="15"/>
      <c r="KW80" s="15"/>
      <c r="KX80" s="15"/>
      <c r="KY80" s="15"/>
      <c r="KZ80" s="15"/>
      <c r="LA80" s="15"/>
      <c r="LB80" s="28"/>
      <c r="LC80" s="28"/>
      <c r="LD80" s="28"/>
      <c r="LE80" s="28"/>
      <c r="LF80" s="28"/>
      <c r="LG80" s="28"/>
      <c r="LH80" s="28"/>
      <c r="LI80" s="15"/>
      <c r="LJ80" s="15"/>
      <c r="LK80" s="15"/>
      <c r="LL80" s="659"/>
      <c r="LM80" s="28"/>
      <c r="LN80" s="28"/>
      <c r="LO80" s="28"/>
      <c r="LP80" s="28"/>
      <c r="LQ80" s="659"/>
      <c r="LR80" s="28"/>
      <c r="LS80" s="28"/>
      <c r="LT80" s="28"/>
      <c r="LU80" s="28"/>
      <c r="MF80" s="15"/>
      <c r="RZ80" s="15"/>
      <c r="UR80" s="37"/>
      <c r="US80" s="37"/>
      <c r="UT80" s="37"/>
      <c r="UU80" s="37"/>
      <c r="UV80" s="37"/>
      <c r="UW80" s="37"/>
      <c r="UX80" s="37"/>
      <c r="UY80" s="37"/>
      <c r="UZ80" s="37"/>
      <c r="VA80" s="37"/>
      <c r="VB80" s="37"/>
      <c r="VC80" s="37"/>
      <c r="VD80" s="37"/>
      <c r="VE80" s="37"/>
      <c r="VF80" s="37"/>
      <c r="VG80" s="37"/>
      <c r="VH80" s="37"/>
      <c r="VI80" s="37"/>
      <c r="VJ80" s="37"/>
      <c r="VK80" s="37"/>
      <c r="VL80" s="37"/>
      <c r="VM80" s="15"/>
      <c r="VN80" s="37"/>
      <c r="VO80" s="37"/>
      <c r="VP80" s="37"/>
      <c r="VQ80" s="37"/>
      <c r="VR80" s="15"/>
      <c r="VS80" s="37"/>
      <c r="VT80" s="37"/>
      <c r="VU80" s="15"/>
      <c r="VV80" s="37"/>
      <c r="VW80" s="37"/>
      <c r="VX80" s="37"/>
      <c r="VY80" s="37"/>
      <c r="VZ80" s="37"/>
      <c r="WD80" s="37"/>
      <c r="WE80" s="37"/>
      <c r="WF80" s="37"/>
      <c r="WG80" s="40"/>
      <c r="WH80" s="37"/>
      <c r="WI80" s="37"/>
      <c r="WJ80" s="15"/>
      <c r="WK80" s="15"/>
      <c r="WL80" s="37"/>
      <c r="WM80" s="37"/>
      <c r="WN80" s="37"/>
      <c r="WO80" s="37"/>
      <c r="WP80" s="15"/>
      <c r="WQ80" s="15"/>
      <c r="WR80" s="37"/>
      <c r="WS80" s="37"/>
      <c r="WT80" s="15"/>
      <c r="WU80" s="37"/>
      <c r="WV80" s="37"/>
      <c r="WW80" s="15"/>
      <c r="WX80" s="602"/>
      <c r="WY80" s="602"/>
      <c r="XC80" s="602"/>
      <c r="XD80" s="602"/>
      <c r="XE80" s="602"/>
      <c r="XF80" s="37"/>
      <c r="XG80" s="37"/>
      <c r="XH80" s="37"/>
      <c r="XI80" s="37"/>
      <c r="XJ80" s="37"/>
      <c r="XK80" s="37"/>
      <c r="XL80" s="37"/>
      <c r="XM80" s="81"/>
      <c r="XN80" s="81"/>
      <c r="XO80" s="81"/>
      <c r="XP80" s="85"/>
      <c r="XQ80" s="37"/>
      <c r="XR80" s="37"/>
      <c r="XS80" s="81"/>
      <c r="XT80" s="37"/>
      <c r="XU80" s="37"/>
      <c r="XV80" s="81"/>
      <c r="XW80" s="37"/>
      <c r="XX80" s="37"/>
      <c r="XY80" s="81"/>
      <c r="YB80" s="37"/>
      <c r="YC80" s="37"/>
      <c r="YD80" s="37"/>
      <c r="YE80" s="37"/>
      <c r="YF80" s="81"/>
      <c r="YG80" s="15"/>
      <c r="YH80" s="15"/>
      <c r="YI80" s="15"/>
      <c r="YJ80" s="15"/>
      <c r="YK80" s="15"/>
      <c r="YL80" s="146"/>
      <c r="ZZ80" s="15"/>
      <c r="ABD80" s="15"/>
      <c r="ABN80" s="15"/>
      <c r="ABS80" s="15"/>
    </row>
    <row r="81" spans="2:747">
      <c r="B81" s="15"/>
      <c r="C81" s="15"/>
      <c r="D81" s="15"/>
      <c r="E81" s="15"/>
      <c r="F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47"/>
      <c r="BP81" s="15"/>
      <c r="BQ81" s="15"/>
      <c r="BR81" s="15"/>
      <c r="BS81" s="15"/>
      <c r="BT81" s="47"/>
      <c r="BU81" s="15"/>
      <c r="BV81" s="15"/>
      <c r="BW81" s="15"/>
      <c r="BX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47"/>
      <c r="EG81" s="15"/>
      <c r="EH81" s="15"/>
      <c r="EI81" s="15"/>
      <c r="EJ81" s="15"/>
      <c r="EK81" s="47"/>
      <c r="EL81" s="15"/>
      <c r="EM81" s="15"/>
      <c r="EN81" s="15"/>
      <c r="EO81" s="15"/>
      <c r="EP81" s="47"/>
      <c r="EQ81" s="15"/>
      <c r="ER81" s="15"/>
      <c r="ES81" s="15"/>
      <c r="EY81" s="15"/>
      <c r="EZ81" s="15"/>
      <c r="FA81" s="15"/>
      <c r="FB81" s="15"/>
      <c r="FC81" s="15"/>
      <c r="FD81" s="40"/>
      <c r="FE81" s="40"/>
      <c r="FF81" s="40"/>
      <c r="FG81" s="40"/>
      <c r="FH81" s="15"/>
      <c r="FI81" s="15"/>
      <c r="FJ81" s="15"/>
      <c r="FK81" s="15"/>
      <c r="FL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46"/>
      <c r="GH81" s="146"/>
      <c r="GI81" s="146"/>
      <c r="GJ81" s="146"/>
      <c r="GK81" s="146"/>
      <c r="GL81" s="15"/>
      <c r="GM81" s="15"/>
      <c r="GN81" s="15"/>
      <c r="GO81" s="15"/>
      <c r="GP81" s="15"/>
      <c r="GQ81" s="15"/>
      <c r="GR81" s="15"/>
      <c r="GS81" s="15"/>
      <c r="GT81" s="15"/>
      <c r="GU81" s="386"/>
      <c r="GV81" s="386"/>
      <c r="GW81" s="386"/>
      <c r="GX81" s="386"/>
      <c r="GY81" s="386"/>
      <c r="GZ81" s="386"/>
      <c r="HA81" s="386"/>
      <c r="HB81" s="386"/>
      <c r="HC81" s="386"/>
      <c r="HD81" s="386"/>
      <c r="HE81" s="386"/>
      <c r="HF81" s="386"/>
      <c r="HG81" s="386"/>
      <c r="HH81" s="386"/>
      <c r="HI81" s="386"/>
      <c r="HJ81" s="386"/>
      <c r="HK81" s="386"/>
      <c r="HL81" s="386"/>
      <c r="HM81" s="386"/>
      <c r="HN81" s="386"/>
      <c r="HO81" s="386"/>
      <c r="HP81" s="386"/>
      <c r="HQ81" s="386"/>
      <c r="HR81" s="386"/>
      <c r="HS81" s="386"/>
      <c r="HT81" s="386"/>
      <c r="HU81" s="15"/>
      <c r="HZ81" s="386"/>
      <c r="IA81" s="386"/>
      <c r="IB81" s="386"/>
      <c r="IC81" s="386"/>
      <c r="ID81" s="386"/>
      <c r="IE81" s="386"/>
      <c r="IF81" s="386"/>
      <c r="IG81" s="386"/>
      <c r="IH81" s="386"/>
      <c r="II81" s="386"/>
      <c r="IJ81" s="645"/>
      <c r="IK81" s="386"/>
      <c r="IL81" s="386"/>
      <c r="IM81" s="386"/>
      <c r="IN81" s="386"/>
      <c r="IO81" s="645"/>
      <c r="IP81" s="386"/>
      <c r="IQ81" s="386"/>
      <c r="IR81" s="386"/>
      <c r="IS81" s="386"/>
      <c r="IY81" s="15"/>
      <c r="IZ81" s="15"/>
      <c r="JA81" s="15"/>
      <c r="JB81" s="15"/>
      <c r="JC81" s="15"/>
      <c r="JI81" s="15"/>
      <c r="JJ81" s="15"/>
      <c r="JK81" s="15"/>
      <c r="JL81" s="15"/>
      <c r="JM81" s="15"/>
      <c r="JN81" s="15"/>
      <c r="JO81" s="15"/>
      <c r="JP81" s="15"/>
      <c r="JQ81" s="15"/>
      <c r="JR81" s="15"/>
      <c r="JS81" s="15"/>
      <c r="JT81" s="15"/>
      <c r="JU81" s="15"/>
      <c r="JV81" s="15"/>
      <c r="JW81" s="15"/>
      <c r="JX81" s="15"/>
      <c r="JY81" s="15"/>
      <c r="JZ81" s="15"/>
      <c r="KA81" s="15"/>
      <c r="KB81" s="15"/>
      <c r="KC81" s="15"/>
      <c r="KD81" s="15"/>
      <c r="KE81" s="15"/>
      <c r="KF81" s="15"/>
      <c r="KG81" s="15"/>
      <c r="KH81" s="15"/>
      <c r="KI81" s="15"/>
      <c r="KJ81" s="15"/>
      <c r="KK81" s="15"/>
      <c r="KL81" s="15"/>
      <c r="KM81" s="15"/>
      <c r="KN81" s="15"/>
      <c r="KO81" s="15"/>
      <c r="KP81" s="15"/>
      <c r="KQ81" s="15"/>
      <c r="KR81" s="15"/>
      <c r="KS81" s="15"/>
      <c r="KT81" s="15"/>
      <c r="KU81" s="15"/>
      <c r="KV81" s="15"/>
      <c r="KW81" s="15"/>
      <c r="KX81" s="15"/>
      <c r="KY81" s="15"/>
      <c r="KZ81" s="15"/>
      <c r="LA81" s="15"/>
      <c r="LB81" s="28"/>
      <c r="LC81" s="28"/>
      <c r="LD81" s="28"/>
      <c r="LE81" s="28"/>
      <c r="LF81" s="28"/>
      <c r="LG81" s="28"/>
      <c r="LH81" s="28"/>
      <c r="LI81" s="15"/>
      <c r="LJ81" s="15"/>
      <c r="LK81" s="15"/>
      <c r="LL81" s="659"/>
      <c r="LM81" s="28"/>
      <c r="LN81" s="28"/>
      <c r="LO81" s="28"/>
      <c r="LP81" s="28"/>
      <c r="LQ81" s="659"/>
      <c r="LR81" s="28"/>
      <c r="LS81" s="28"/>
      <c r="LT81" s="28"/>
      <c r="LU81" s="28"/>
      <c r="MF81" s="15"/>
      <c r="RZ81" s="15"/>
      <c r="UR81" s="37"/>
      <c r="US81" s="37"/>
      <c r="UT81" s="37"/>
      <c r="UU81" s="37"/>
      <c r="UV81" s="37"/>
      <c r="UW81" s="37"/>
      <c r="UX81" s="37"/>
      <c r="UY81" s="37"/>
      <c r="UZ81" s="37"/>
      <c r="VA81" s="37"/>
      <c r="VB81" s="37"/>
      <c r="VC81" s="37"/>
      <c r="VD81" s="37"/>
      <c r="VE81" s="37"/>
      <c r="VF81" s="37"/>
      <c r="VG81" s="37"/>
      <c r="VH81" s="37"/>
      <c r="VI81" s="37"/>
      <c r="VJ81" s="37"/>
      <c r="VK81" s="37"/>
      <c r="VL81" s="37"/>
      <c r="VM81" s="15"/>
      <c r="VN81" s="37"/>
      <c r="VO81" s="37"/>
      <c r="VP81" s="37"/>
      <c r="VQ81" s="37"/>
      <c r="VR81" s="15"/>
      <c r="VS81" s="37"/>
      <c r="VT81" s="37"/>
      <c r="VU81" s="15"/>
      <c r="VV81" s="37"/>
      <c r="VW81" s="37"/>
      <c r="VX81" s="37"/>
      <c r="VY81" s="37"/>
      <c r="VZ81" s="37"/>
      <c r="WD81" s="37"/>
      <c r="WE81" s="37"/>
      <c r="WF81" s="37"/>
      <c r="WG81" s="40"/>
      <c r="WH81" s="37"/>
      <c r="WI81" s="37"/>
      <c r="WJ81" s="15"/>
      <c r="WK81" s="15"/>
      <c r="WL81" s="37"/>
      <c r="WM81" s="37"/>
      <c r="WN81" s="37"/>
      <c r="WO81" s="37"/>
      <c r="WP81" s="15"/>
      <c r="WQ81" s="15"/>
      <c r="WR81" s="37"/>
      <c r="WS81" s="37"/>
      <c r="WT81" s="15"/>
      <c r="WU81" s="37"/>
      <c r="WV81" s="37"/>
      <c r="WW81" s="15"/>
      <c r="WX81" s="602"/>
      <c r="WY81" s="602"/>
      <c r="XC81" s="602"/>
      <c r="XD81" s="602"/>
      <c r="XE81" s="602"/>
      <c r="XF81" s="37"/>
      <c r="XG81" s="37"/>
      <c r="XH81" s="37"/>
      <c r="XI81" s="37"/>
      <c r="XJ81" s="37"/>
      <c r="XK81" s="37"/>
      <c r="XL81" s="37"/>
      <c r="XM81" s="81"/>
      <c r="XN81" s="81"/>
      <c r="XO81" s="81"/>
      <c r="XP81" s="85"/>
      <c r="XQ81" s="37"/>
      <c r="XR81" s="37"/>
      <c r="XS81" s="81"/>
      <c r="XT81" s="37"/>
      <c r="XU81" s="37"/>
      <c r="XV81" s="81"/>
      <c r="XW81" s="37"/>
      <c r="XX81" s="37"/>
      <c r="XY81" s="81"/>
      <c r="YB81" s="37"/>
      <c r="YC81" s="37"/>
      <c r="YD81" s="37"/>
      <c r="YE81" s="37"/>
      <c r="YF81" s="81"/>
      <c r="YG81" s="15"/>
      <c r="YH81" s="15"/>
      <c r="YI81" s="15"/>
      <c r="YJ81" s="15"/>
      <c r="YK81" s="15"/>
      <c r="YL81" s="146"/>
      <c r="ZZ81" s="15"/>
      <c r="ABD81" s="15"/>
      <c r="ABN81" s="15"/>
      <c r="ABS81" s="15"/>
    </row>
    <row r="82" spans="2:747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47"/>
      <c r="BP82" s="15"/>
      <c r="BQ82" s="15"/>
      <c r="BR82" s="15"/>
      <c r="BS82" s="15"/>
      <c r="BT82" s="47"/>
      <c r="BU82" s="15"/>
      <c r="BV82" s="15"/>
      <c r="BW82" s="15"/>
      <c r="BX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47"/>
      <c r="EG82" s="15"/>
      <c r="EH82" s="15"/>
      <c r="EI82" s="15"/>
      <c r="EJ82" s="15"/>
      <c r="EK82" s="47"/>
      <c r="EL82" s="15"/>
      <c r="EM82" s="15"/>
      <c r="EN82" s="15"/>
      <c r="EO82" s="15"/>
      <c r="EP82" s="47"/>
      <c r="EQ82" s="15"/>
      <c r="ER82" s="15"/>
      <c r="ES82" s="15"/>
      <c r="EY82" s="15"/>
      <c r="EZ82" s="15"/>
      <c r="FA82" s="15"/>
      <c r="FB82" s="15"/>
      <c r="FC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46"/>
      <c r="GH82" s="146"/>
      <c r="GI82" s="146"/>
      <c r="GJ82" s="146"/>
      <c r="GK82" s="146"/>
      <c r="GL82" s="15"/>
      <c r="GM82" s="15"/>
      <c r="GN82" s="15"/>
      <c r="GO82" s="15"/>
      <c r="GP82" s="15"/>
      <c r="GQ82" s="15"/>
      <c r="GR82" s="15"/>
      <c r="GS82" s="15"/>
      <c r="GT82" s="15"/>
      <c r="GU82" s="386"/>
      <c r="GV82" s="386"/>
      <c r="GW82" s="386"/>
      <c r="GX82" s="386"/>
      <c r="GY82" s="386"/>
      <c r="GZ82" s="386"/>
      <c r="HA82" s="386"/>
      <c r="HB82" s="386"/>
      <c r="HC82" s="386"/>
      <c r="HD82" s="386"/>
      <c r="HE82" s="386"/>
      <c r="HF82" s="386"/>
      <c r="HG82" s="386"/>
      <c r="HH82" s="386"/>
      <c r="HI82" s="386"/>
      <c r="HJ82" s="386"/>
      <c r="HK82" s="386"/>
      <c r="HL82" s="386"/>
      <c r="HM82" s="386"/>
      <c r="HN82" s="386"/>
      <c r="HO82" s="386"/>
      <c r="HP82" s="386"/>
      <c r="HQ82" s="386"/>
      <c r="HR82" s="386"/>
      <c r="HS82" s="386"/>
      <c r="HT82" s="386"/>
      <c r="HU82" s="15"/>
      <c r="HZ82" s="386"/>
      <c r="IA82" s="386"/>
      <c r="IB82" s="386"/>
      <c r="IC82" s="386"/>
      <c r="ID82" s="386"/>
      <c r="IE82" s="386"/>
      <c r="IF82" s="386"/>
      <c r="IG82" s="386"/>
      <c r="IH82" s="386"/>
      <c r="II82" s="386"/>
      <c r="IJ82" s="645"/>
      <c r="IK82" s="386"/>
      <c r="IL82" s="386"/>
      <c r="IM82" s="386"/>
      <c r="IN82" s="386"/>
      <c r="IO82" s="645"/>
      <c r="IP82" s="386"/>
      <c r="IQ82" s="386"/>
      <c r="IR82" s="386"/>
      <c r="IS82" s="386"/>
      <c r="IY82" s="15"/>
      <c r="IZ82" s="15"/>
      <c r="JA82" s="15"/>
      <c r="JB82" s="15"/>
      <c r="JC82" s="15"/>
      <c r="JD82" s="15"/>
      <c r="JE82" s="15"/>
      <c r="JF82" s="15"/>
      <c r="JG82" s="15"/>
      <c r="JH82" s="15"/>
      <c r="JI82" s="15"/>
      <c r="JJ82" s="15"/>
      <c r="JK82" s="15"/>
      <c r="JL82" s="15"/>
      <c r="JM82" s="15"/>
      <c r="JN82" s="15"/>
      <c r="JO82" s="15"/>
      <c r="JP82" s="15"/>
      <c r="JQ82" s="15"/>
      <c r="JR82" s="15"/>
      <c r="JS82" s="15"/>
      <c r="JT82" s="15"/>
      <c r="JU82" s="15"/>
      <c r="JV82" s="15"/>
      <c r="JW82" s="15"/>
      <c r="JX82" s="15"/>
      <c r="JY82" s="15"/>
      <c r="JZ82" s="15"/>
      <c r="KA82" s="15"/>
      <c r="KB82" s="15"/>
      <c r="KC82" s="15"/>
      <c r="KD82" s="15"/>
      <c r="KE82" s="15"/>
      <c r="KF82" s="15"/>
      <c r="KG82" s="15"/>
      <c r="KH82" s="15"/>
      <c r="KI82" s="15"/>
      <c r="KJ82" s="15"/>
      <c r="KK82" s="15"/>
      <c r="KL82" s="15"/>
      <c r="KM82" s="15"/>
      <c r="KN82" s="15"/>
      <c r="KO82" s="15"/>
      <c r="KP82" s="15"/>
      <c r="KQ82" s="15"/>
      <c r="KR82" s="15"/>
      <c r="KS82" s="15"/>
      <c r="KT82" s="15"/>
      <c r="KU82" s="15"/>
      <c r="KV82" s="15"/>
      <c r="KW82" s="15"/>
      <c r="KX82" s="15"/>
      <c r="KY82" s="15"/>
      <c r="KZ82" s="15"/>
      <c r="LA82" s="15"/>
      <c r="LB82" s="28"/>
      <c r="LC82" s="28"/>
      <c r="LD82" s="28"/>
      <c r="LE82" s="28"/>
      <c r="LF82" s="28"/>
      <c r="LG82" s="28"/>
      <c r="LH82" s="28"/>
      <c r="LI82" s="15"/>
      <c r="LJ82" s="15"/>
      <c r="LK82" s="15"/>
      <c r="LL82" s="659"/>
      <c r="LM82" s="28"/>
      <c r="LN82" s="28"/>
      <c r="LO82" s="28"/>
      <c r="LP82" s="28"/>
      <c r="LQ82" s="659"/>
      <c r="LR82" s="28"/>
      <c r="LS82" s="28"/>
      <c r="LT82" s="28"/>
      <c r="LU82" s="28"/>
      <c r="MA82" s="15"/>
      <c r="MF82" s="15"/>
      <c r="RZ82" s="15"/>
      <c r="UR82" s="37"/>
      <c r="US82" s="37"/>
      <c r="UT82" s="37"/>
      <c r="UU82" s="37"/>
      <c r="UV82" s="37"/>
      <c r="UW82" s="37"/>
      <c r="UX82" s="37"/>
      <c r="UY82" s="37"/>
      <c r="UZ82" s="37"/>
      <c r="VA82" s="37"/>
      <c r="VB82" s="37"/>
      <c r="VC82" s="37"/>
      <c r="VD82" s="37"/>
      <c r="VE82" s="37"/>
      <c r="VF82" s="37"/>
      <c r="VG82" s="37"/>
      <c r="VH82" s="37"/>
      <c r="VI82" s="37"/>
      <c r="VJ82" s="37"/>
      <c r="VK82" s="37"/>
      <c r="VL82" s="37"/>
      <c r="VM82" s="15"/>
      <c r="VN82" s="37"/>
      <c r="VO82" s="37"/>
      <c r="VP82" s="37"/>
      <c r="VQ82" s="37"/>
      <c r="VR82" s="15"/>
      <c r="VS82" s="37"/>
      <c r="VT82" s="37"/>
      <c r="VU82" s="15"/>
      <c r="VV82" s="37"/>
      <c r="VW82" s="37"/>
      <c r="VX82" s="37"/>
      <c r="VY82" s="37"/>
      <c r="VZ82" s="37"/>
      <c r="WD82" s="37"/>
      <c r="WE82" s="37"/>
      <c r="WF82" s="37"/>
      <c r="WH82" s="37"/>
      <c r="WI82" s="37"/>
      <c r="WJ82" s="15"/>
      <c r="WK82" s="15"/>
      <c r="WL82" s="37"/>
      <c r="WM82" s="37"/>
      <c r="WN82" s="37"/>
      <c r="WO82" s="37"/>
      <c r="WP82" s="15"/>
      <c r="WQ82" s="15"/>
      <c r="WR82" s="37"/>
      <c r="WS82" s="37"/>
      <c r="WT82" s="15"/>
      <c r="WU82" s="37"/>
      <c r="WV82" s="37"/>
      <c r="WW82" s="15"/>
      <c r="WX82" s="602"/>
      <c r="WY82" s="602"/>
      <c r="XC82" s="602"/>
      <c r="XD82" s="602"/>
      <c r="XE82" s="602"/>
      <c r="XF82" s="37"/>
      <c r="XG82" s="37"/>
      <c r="XH82" s="37"/>
      <c r="XI82" s="37"/>
      <c r="XJ82" s="37"/>
      <c r="XK82" s="37"/>
      <c r="XL82" s="37"/>
      <c r="XQ82" s="37"/>
      <c r="XR82" s="37"/>
      <c r="XT82" s="37"/>
      <c r="XU82" s="37"/>
      <c r="XW82" s="37"/>
      <c r="XX82" s="37"/>
      <c r="YB82" s="37"/>
      <c r="YC82" s="37"/>
      <c r="YD82" s="37"/>
      <c r="YE82" s="37"/>
      <c r="YG82" s="15"/>
      <c r="YH82" s="15"/>
      <c r="YI82" s="15"/>
      <c r="YJ82" s="15"/>
      <c r="YK82" s="15"/>
      <c r="YL82" s="146"/>
      <c r="ZZ82" s="15"/>
      <c r="ABD82" s="15"/>
      <c r="ABN82" s="15"/>
      <c r="ABS82" s="15"/>
    </row>
    <row r="83" spans="2:747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47"/>
      <c r="BP83" s="15"/>
      <c r="BQ83" s="15"/>
      <c r="BR83" s="15"/>
      <c r="BS83" s="15"/>
      <c r="BT83" s="47"/>
      <c r="BU83" s="15"/>
      <c r="BV83" s="15"/>
      <c r="BW83" s="15"/>
      <c r="BX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47"/>
      <c r="EG83" s="15"/>
      <c r="EH83" s="15"/>
      <c r="EI83" s="15"/>
      <c r="EJ83" s="15"/>
      <c r="EK83" s="47"/>
      <c r="EL83" s="15"/>
      <c r="EM83" s="15"/>
      <c r="EN83" s="15"/>
      <c r="EO83" s="15"/>
      <c r="EP83" s="47"/>
      <c r="EQ83" s="15"/>
      <c r="ER83" s="15"/>
      <c r="ES83" s="15"/>
      <c r="EY83" s="15"/>
      <c r="EZ83" s="15"/>
      <c r="FA83" s="15"/>
      <c r="FB83" s="15"/>
      <c r="FC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46"/>
      <c r="GH83" s="146"/>
      <c r="GI83" s="146"/>
      <c r="GJ83" s="146"/>
      <c r="GK83" s="146"/>
      <c r="GL83" s="15"/>
      <c r="GM83" s="15"/>
      <c r="GN83" s="15"/>
      <c r="GO83" s="15"/>
      <c r="GP83" s="15"/>
      <c r="GQ83" s="15"/>
      <c r="GR83" s="15"/>
      <c r="GS83" s="15"/>
      <c r="GT83" s="15"/>
      <c r="GU83" s="386"/>
      <c r="GV83" s="386"/>
      <c r="GW83" s="386"/>
      <c r="GX83" s="386"/>
      <c r="GY83" s="386"/>
      <c r="GZ83" s="386"/>
      <c r="HA83" s="386"/>
      <c r="HB83" s="386"/>
      <c r="HC83" s="386"/>
      <c r="HD83" s="386"/>
      <c r="HE83" s="386"/>
      <c r="HF83" s="386"/>
      <c r="HG83" s="386"/>
      <c r="HH83" s="386"/>
      <c r="HI83" s="386"/>
      <c r="HJ83" s="386"/>
      <c r="HK83" s="386"/>
      <c r="HL83" s="386"/>
      <c r="HM83" s="386"/>
      <c r="HN83" s="386"/>
      <c r="HO83" s="386"/>
      <c r="HP83" s="386"/>
      <c r="HQ83" s="386"/>
      <c r="HR83" s="386"/>
      <c r="HS83" s="386"/>
      <c r="HT83" s="386"/>
      <c r="HU83" s="15"/>
      <c r="HZ83" s="386"/>
      <c r="IA83" s="386"/>
      <c r="IB83" s="386"/>
      <c r="IC83" s="386"/>
      <c r="ID83" s="386"/>
      <c r="IE83" s="386"/>
      <c r="IF83" s="386"/>
      <c r="IG83" s="386"/>
      <c r="IH83" s="386"/>
      <c r="II83" s="386"/>
      <c r="IJ83" s="645"/>
      <c r="IK83" s="386"/>
      <c r="IL83" s="386"/>
      <c r="IM83" s="386"/>
      <c r="IN83" s="386"/>
      <c r="IO83" s="645"/>
      <c r="IP83" s="386"/>
      <c r="IQ83" s="386"/>
      <c r="IR83" s="386"/>
      <c r="IS83" s="386"/>
      <c r="IY83" s="15"/>
      <c r="IZ83" s="15"/>
      <c r="JA83" s="15"/>
      <c r="JB83" s="15"/>
      <c r="JC83" s="15"/>
      <c r="JD83" s="15"/>
      <c r="JE83" s="15"/>
      <c r="JF83" s="15"/>
      <c r="JG83" s="15"/>
      <c r="JH83" s="15"/>
      <c r="JI83" s="15"/>
      <c r="JJ83" s="15"/>
      <c r="JK83" s="15"/>
      <c r="JL83" s="15"/>
      <c r="JM83" s="15"/>
      <c r="JN83" s="15"/>
      <c r="JO83" s="15"/>
      <c r="JP83" s="15"/>
      <c r="JQ83" s="15"/>
      <c r="JR83" s="15"/>
      <c r="JS83" s="15"/>
      <c r="JT83" s="15"/>
      <c r="JU83" s="15"/>
      <c r="JV83" s="15"/>
      <c r="JW83" s="15"/>
      <c r="JX83" s="15"/>
      <c r="JY83" s="15"/>
      <c r="JZ83" s="15"/>
      <c r="KA83" s="15"/>
      <c r="KB83" s="15"/>
      <c r="KC83" s="15"/>
      <c r="KD83" s="15"/>
      <c r="KE83" s="15"/>
      <c r="KF83" s="15"/>
      <c r="KG83" s="15"/>
      <c r="KH83" s="15"/>
      <c r="KI83" s="15"/>
      <c r="KJ83" s="15"/>
      <c r="KK83" s="15"/>
      <c r="KL83" s="15"/>
      <c r="KM83" s="15"/>
      <c r="KN83" s="15"/>
      <c r="KO83" s="15"/>
      <c r="KP83" s="15"/>
      <c r="KQ83" s="15"/>
      <c r="KR83" s="15"/>
      <c r="KS83" s="15"/>
      <c r="KT83" s="15"/>
      <c r="KU83" s="15"/>
      <c r="KV83" s="15"/>
      <c r="KW83" s="15"/>
      <c r="KX83" s="15"/>
      <c r="KY83" s="15"/>
      <c r="KZ83" s="15"/>
      <c r="LA83" s="15"/>
      <c r="LB83" s="28"/>
      <c r="LC83" s="28"/>
      <c r="LD83" s="28"/>
      <c r="LE83" s="28"/>
      <c r="LF83" s="28"/>
      <c r="LG83" s="28"/>
      <c r="LH83" s="28"/>
      <c r="LI83" s="15"/>
      <c r="LJ83" s="15"/>
      <c r="LK83" s="15"/>
      <c r="LL83" s="659"/>
      <c r="LM83" s="28"/>
      <c r="LN83" s="28"/>
      <c r="LO83" s="28"/>
      <c r="LP83" s="28"/>
      <c r="LQ83" s="659"/>
      <c r="LR83" s="28"/>
      <c r="LS83" s="28"/>
      <c r="LT83" s="28"/>
      <c r="LU83" s="28"/>
      <c r="MA83" s="15"/>
      <c r="MF83" s="15"/>
      <c r="RZ83" s="15"/>
      <c r="UR83" s="37"/>
      <c r="US83" s="37"/>
      <c r="UT83" s="37"/>
      <c r="UU83" s="37"/>
      <c r="UV83" s="37"/>
      <c r="UW83" s="37"/>
      <c r="UX83" s="37"/>
      <c r="UY83" s="37"/>
      <c r="UZ83" s="37"/>
      <c r="VA83" s="37"/>
      <c r="VB83" s="37"/>
      <c r="VC83" s="37"/>
      <c r="VD83" s="37"/>
      <c r="VE83" s="37"/>
      <c r="VF83" s="37"/>
      <c r="VG83" s="37"/>
      <c r="VH83" s="37"/>
      <c r="VI83" s="37"/>
      <c r="VJ83" s="37"/>
      <c r="VK83" s="37"/>
      <c r="VL83" s="37"/>
      <c r="VM83" s="15"/>
      <c r="VN83" s="37"/>
      <c r="VO83" s="37"/>
      <c r="VP83" s="37"/>
      <c r="VQ83" s="37"/>
      <c r="VR83" s="15"/>
      <c r="VS83" s="37"/>
      <c r="VT83" s="37"/>
      <c r="VU83" s="15"/>
      <c r="VV83" s="37"/>
      <c r="VW83" s="37"/>
      <c r="VX83" s="37"/>
      <c r="VY83" s="37"/>
      <c r="VZ83" s="37"/>
      <c r="WD83" s="37"/>
      <c r="WE83" s="37"/>
      <c r="WF83" s="37"/>
      <c r="WH83" s="37"/>
      <c r="WI83" s="37"/>
      <c r="WJ83" s="15"/>
      <c r="WK83" s="15"/>
      <c r="WL83" s="37"/>
      <c r="WM83" s="37"/>
      <c r="WN83" s="37"/>
      <c r="WO83" s="37"/>
      <c r="WP83" s="15"/>
      <c r="WQ83" s="15"/>
      <c r="WR83" s="37"/>
      <c r="WS83" s="37"/>
      <c r="WT83" s="15"/>
      <c r="WU83" s="37"/>
      <c r="WV83" s="37"/>
      <c r="WW83" s="15"/>
      <c r="WX83" s="602"/>
      <c r="WY83" s="602"/>
      <c r="XC83" s="602"/>
      <c r="XD83" s="602"/>
      <c r="XE83" s="602"/>
      <c r="XF83" s="37"/>
      <c r="XG83" s="37"/>
      <c r="XH83" s="37"/>
      <c r="XI83" s="37"/>
      <c r="XJ83" s="37"/>
      <c r="XK83" s="37"/>
      <c r="XL83" s="37"/>
      <c r="XQ83" s="37"/>
      <c r="XR83" s="37"/>
      <c r="XT83" s="37"/>
      <c r="XU83" s="37"/>
      <c r="XW83" s="37"/>
      <c r="XX83" s="37"/>
      <c r="YB83" s="37"/>
      <c r="YC83" s="37"/>
      <c r="YD83" s="37"/>
      <c r="YE83" s="37"/>
      <c r="YG83" s="15"/>
      <c r="YH83" s="15"/>
      <c r="YI83" s="15"/>
      <c r="YJ83" s="15"/>
      <c r="YK83" s="15"/>
      <c r="YL83" s="146"/>
      <c r="ZZ83" s="15"/>
      <c r="ABD83" s="15"/>
      <c r="ABN83" s="15"/>
      <c r="ABS83" s="15"/>
    </row>
    <row r="84" spans="2:747"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47"/>
      <c r="BP84" s="15"/>
      <c r="BQ84" s="15"/>
      <c r="BR84" s="15"/>
      <c r="BS84" s="15"/>
      <c r="BT84" s="47"/>
      <c r="BU84" s="15"/>
      <c r="BV84" s="15"/>
      <c r="BW84" s="15"/>
      <c r="BX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47"/>
      <c r="EG84" s="15"/>
      <c r="EH84" s="15"/>
      <c r="EI84" s="15"/>
      <c r="EJ84" s="15"/>
      <c r="EK84" s="47"/>
      <c r="EL84" s="15"/>
      <c r="EM84" s="15"/>
      <c r="EN84" s="15"/>
      <c r="EO84" s="15"/>
      <c r="EP84" s="47"/>
      <c r="EQ84" s="15"/>
      <c r="ER84" s="15"/>
      <c r="ES84" s="15"/>
      <c r="EY84" s="15"/>
      <c r="EZ84" s="15"/>
      <c r="FA84" s="15"/>
      <c r="FB84" s="15"/>
      <c r="FC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46"/>
      <c r="GH84" s="146"/>
      <c r="GI84" s="146"/>
      <c r="GJ84" s="146"/>
      <c r="GK84" s="146"/>
      <c r="GL84" s="15"/>
      <c r="GM84" s="15"/>
      <c r="GN84" s="15"/>
      <c r="GO84" s="15"/>
      <c r="GP84" s="15"/>
      <c r="GQ84" s="15"/>
      <c r="GR84" s="15"/>
      <c r="GS84" s="15"/>
      <c r="GT84" s="15"/>
      <c r="GU84" s="386"/>
      <c r="GV84" s="386"/>
      <c r="GW84" s="386"/>
      <c r="GX84" s="386"/>
      <c r="GY84" s="386"/>
      <c r="GZ84" s="386"/>
      <c r="HA84" s="386"/>
      <c r="HB84" s="386"/>
      <c r="HC84" s="386"/>
      <c r="HD84" s="386"/>
      <c r="HE84" s="386"/>
      <c r="HF84" s="386"/>
      <c r="HG84" s="386"/>
      <c r="HH84" s="386"/>
      <c r="HI84" s="386"/>
      <c r="HJ84" s="386"/>
      <c r="HK84" s="386"/>
      <c r="HL84" s="386"/>
      <c r="HM84" s="386"/>
      <c r="HN84" s="386"/>
      <c r="HO84" s="386"/>
      <c r="HP84" s="386"/>
      <c r="HQ84" s="386"/>
      <c r="HR84" s="386"/>
      <c r="HS84" s="386"/>
      <c r="HT84" s="386"/>
      <c r="HU84" s="15"/>
      <c r="HZ84" s="386"/>
      <c r="IA84" s="386"/>
      <c r="IB84" s="386"/>
      <c r="IC84" s="386"/>
      <c r="ID84" s="386"/>
      <c r="IE84" s="386"/>
      <c r="IF84" s="386"/>
      <c r="IG84" s="386"/>
      <c r="IH84" s="386"/>
      <c r="II84" s="386"/>
      <c r="IJ84" s="645"/>
      <c r="IK84" s="386"/>
      <c r="IL84" s="386"/>
      <c r="IM84" s="386"/>
      <c r="IN84" s="386"/>
      <c r="IO84" s="645"/>
      <c r="IP84" s="386"/>
      <c r="IQ84" s="386"/>
      <c r="IR84" s="386"/>
      <c r="IS84" s="386"/>
      <c r="IY84" s="15"/>
      <c r="IZ84" s="15"/>
      <c r="JA84" s="15"/>
      <c r="JB84" s="15"/>
      <c r="JC84" s="15"/>
      <c r="JD84" s="15"/>
      <c r="JE84" s="15"/>
      <c r="JF84" s="15"/>
      <c r="JG84" s="15"/>
      <c r="JH84" s="15"/>
      <c r="JI84" s="15"/>
      <c r="JJ84" s="15"/>
      <c r="JK84" s="15"/>
      <c r="JL84" s="15"/>
      <c r="JM84" s="15"/>
      <c r="JN84" s="15"/>
      <c r="JO84" s="15"/>
      <c r="JP84" s="15"/>
      <c r="JQ84" s="15"/>
      <c r="JR84" s="15"/>
      <c r="JS84" s="15"/>
      <c r="JT84" s="15"/>
      <c r="JU84" s="15"/>
      <c r="JV84" s="15"/>
      <c r="JW84" s="15"/>
      <c r="JX84" s="15"/>
      <c r="JY84" s="15"/>
      <c r="JZ84" s="15"/>
      <c r="KA84" s="15"/>
      <c r="KB84" s="15"/>
      <c r="KC84" s="15"/>
      <c r="KD84" s="15"/>
      <c r="KE84" s="15"/>
      <c r="KF84" s="15"/>
      <c r="KG84" s="15"/>
      <c r="KH84" s="15"/>
      <c r="KI84" s="15"/>
      <c r="KJ84" s="15"/>
      <c r="KK84" s="15"/>
      <c r="KL84" s="15"/>
      <c r="KM84" s="15"/>
      <c r="KN84" s="15"/>
      <c r="KO84" s="15"/>
      <c r="KP84" s="15"/>
      <c r="KQ84" s="15"/>
      <c r="KR84" s="15"/>
      <c r="KS84" s="15"/>
      <c r="KT84" s="15"/>
      <c r="KU84" s="15"/>
      <c r="KV84" s="15"/>
      <c r="KW84" s="15"/>
      <c r="KX84" s="15"/>
      <c r="KY84" s="15"/>
      <c r="KZ84" s="15"/>
      <c r="LA84" s="15"/>
      <c r="LB84" s="28"/>
      <c r="LC84" s="28"/>
      <c r="LD84" s="28"/>
      <c r="LE84" s="28"/>
      <c r="LF84" s="28"/>
      <c r="LG84" s="28"/>
      <c r="LH84" s="28"/>
      <c r="LI84" s="15"/>
      <c r="LJ84" s="15"/>
      <c r="LK84" s="15"/>
      <c r="LL84" s="659"/>
      <c r="LM84" s="28"/>
      <c r="LN84" s="28"/>
      <c r="LO84" s="28"/>
      <c r="LP84" s="28"/>
      <c r="LQ84" s="659"/>
      <c r="LR84" s="28"/>
      <c r="LS84" s="28"/>
      <c r="LT84" s="28"/>
      <c r="LU84" s="28"/>
      <c r="MA84" s="15"/>
      <c r="MF84" s="15"/>
      <c r="RZ84" s="15"/>
      <c r="UR84" s="37"/>
      <c r="US84" s="37"/>
      <c r="UT84" s="37"/>
      <c r="UU84" s="37"/>
      <c r="UV84" s="37"/>
      <c r="UW84" s="37"/>
      <c r="UX84" s="37"/>
      <c r="UY84" s="37"/>
      <c r="UZ84" s="37"/>
      <c r="VA84" s="37"/>
      <c r="VB84" s="37"/>
      <c r="VC84" s="37"/>
      <c r="VD84" s="37"/>
      <c r="VE84" s="37"/>
      <c r="VF84" s="37"/>
      <c r="VG84" s="37"/>
      <c r="VH84" s="37"/>
      <c r="VI84" s="37"/>
      <c r="VJ84" s="37"/>
      <c r="VK84" s="37"/>
      <c r="VL84" s="37"/>
      <c r="VM84" s="15"/>
      <c r="VN84" s="37"/>
      <c r="VO84" s="37"/>
      <c r="VP84" s="37"/>
      <c r="VQ84" s="37"/>
      <c r="VR84" s="15"/>
      <c r="VS84" s="37"/>
      <c r="VT84" s="37"/>
      <c r="VU84" s="15"/>
      <c r="VV84" s="37"/>
      <c r="VW84" s="37"/>
      <c r="VX84" s="37"/>
      <c r="VY84" s="37"/>
      <c r="VZ84" s="37"/>
      <c r="WD84" s="37"/>
      <c r="WE84" s="37"/>
      <c r="WF84" s="37"/>
      <c r="WH84" s="37"/>
      <c r="WI84" s="37"/>
      <c r="WJ84" s="15"/>
      <c r="WK84" s="15"/>
      <c r="WL84" s="37"/>
      <c r="WM84" s="37"/>
      <c r="WN84" s="37"/>
      <c r="WO84" s="37"/>
      <c r="WP84" s="15"/>
      <c r="WQ84" s="15"/>
      <c r="WR84" s="37"/>
      <c r="WS84" s="37"/>
      <c r="WT84" s="15"/>
      <c r="WU84" s="37"/>
      <c r="WV84" s="37"/>
      <c r="WW84" s="15"/>
      <c r="WX84" s="602"/>
      <c r="WY84" s="602"/>
      <c r="XC84" s="602"/>
      <c r="XD84" s="602"/>
      <c r="XE84" s="602"/>
      <c r="XF84" s="37"/>
      <c r="XG84" s="37"/>
      <c r="XH84" s="37"/>
      <c r="XI84" s="37"/>
      <c r="XJ84" s="37"/>
      <c r="XK84" s="37"/>
      <c r="XL84" s="37"/>
      <c r="XQ84" s="37"/>
      <c r="XR84" s="37"/>
      <c r="XT84" s="37"/>
      <c r="XU84" s="37"/>
      <c r="XW84" s="37"/>
      <c r="XX84" s="37"/>
      <c r="YB84" s="37"/>
      <c r="YC84" s="37"/>
      <c r="YD84" s="37"/>
      <c r="YE84" s="37"/>
      <c r="YG84" s="15"/>
      <c r="YH84" s="15"/>
      <c r="YI84" s="15"/>
      <c r="YJ84" s="15"/>
      <c r="YK84" s="15"/>
      <c r="YL84" s="146"/>
      <c r="ZZ84" s="15"/>
      <c r="ABD84" s="15"/>
      <c r="ABN84" s="15"/>
      <c r="ABS84" s="15"/>
    </row>
    <row r="85" spans="2:747"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47"/>
      <c r="BP85" s="15"/>
      <c r="BQ85" s="15"/>
      <c r="BR85" s="15"/>
      <c r="BS85" s="15"/>
      <c r="BT85" s="47"/>
      <c r="BU85" s="15"/>
      <c r="BV85" s="15"/>
      <c r="BW85" s="15"/>
      <c r="BX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47"/>
      <c r="EG85" s="15"/>
      <c r="EH85" s="15"/>
      <c r="EI85" s="15"/>
      <c r="EJ85" s="15"/>
      <c r="EK85" s="47"/>
      <c r="EL85" s="15"/>
      <c r="EM85" s="15"/>
      <c r="EN85" s="15"/>
      <c r="EO85" s="15"/>
      <c r="EP85" s="47"/>
      <c r="EQ85" s="15"/>
      <c r="ER85" s="15"/>
      <c r="ES85" s="15"/>
      <c r="EY85" s="15"/>
      <c r="EZ85" s="15"/>
      <c r="FA85" s="15"/>
      <c r="FB85" s="15"/>
      <c r="FC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46"/>
      <c r="GH85" s="146"/>
      <c r="GI85" s="146"/>
      <c r="GJ85" s="146"/>
      <c r="GK85" s="146"/>
      <c r="GL85" s="15"/>
      <c r="GM85" s="15"/>
      <c r="GN85" s="15"/>
      <c r="GO85" s="15"/>
      <c r="GP85" s="15"/>
      <c r="GQ85" s="15"/>
      <c r="GR85" s="15"/>
      <c r="GS85" s="15"/>
      <c r="GT85" s="15"/>
      <c r="GU85" s="386"/>
      <c r="GV85" s="386"/>
      <c r="GW85" s="386"/>
      <c r="GX85" s="386"/>
      <c r="GY85" s="386"/>
      <c r="GZ85" s="386"/>
      <c r="HA85" s="386"/>
      <c r="HB85" s="386"/>
      <c r="HC85" s="386"/>
      <c r="HD85" s="386"/>
      <c r="HE85" s="386"/>
      <c r="HF85" s="386"/>
      <c r="HG85" s="386"/>
      <c r="HH85" s="386"/>
      <c r="HI85" s="386"/>
      <c r="HJ85" s="386"/>
      <c r="HK85" s="386"/>
      <c r="HL85" s="386"/>
      <c r="HM85" s="386"/>
      <c r="HN85" s="386"/>
      <c r="HO85" s="386"/>
      <c r="HP85" s="386"/>
      <c r="HQ85" s="386"/>
      <c r="HR85" s="386"/>
      <c r="HS85" s="386"/>
      <c r="HT85" s="386"/>
      <c r="HU85" s="15"/>
      <c r="HZ85" s="386"/>
      <c r="IA85" s="386"/>
      <c r="IB85" s="386"/>
      <c r="IC85" s="386"/>
      <c r="ID85" s="386"/>
      <c r="IE85" s="386"/>
      <c r="IF85" s="386"/>
      <c r="IG85" s="386"/>
      <c r="IH85" s="386"/>
      <c r="II85" s="386"/>
      <c r="IJ85" s="645"/>
      <c r="IK85" s="386"/>
      <c r="IL85" s="386"/>
      <c r="IM85" s="386"/>
      <c r="IN85" s="386"/>
      <c r="IO85" s="645"/>
      <c r="IP85" s="386"/>
      <c r="IQ85" s="386"/>
      <c r="IR85" s="386"/>
      <c r="IS85" s="386"/>
      <c r="IY85" s="15"/>
      <c r="IZ85" s="15"/>
      <c r="JA85" s="15"/>
      <c r="JB85" s="15"/>
      <c r="JC85" s="15"/>
      <c r="JD85" s="15"/>
      <c r="JE85" s="15"/>
      <c r="JF85" s="15"/>
      <c r="JG85" s="15"/>
      <c r="JH85" s="15"/>
      <c r="JI85" s="15"/>
      <c r="JJ85" s="15"/>
      <c r="JK85" s="15"/>
      <c r="JL85" s="15"/>
      <c r="JM85" s="15"/>
      <c r="JN85" s="15"/>
      <c r="JO85" s="15"/>
      <c r="JP85" s="15"/>
      <c r="JQ85" s="15"/>
      <c r="JR85" s="15"/>
      <c r="JS85" s="15"/>
      <c r="JT85" s="15"/>
      <c r="JU85" s="15"/>
      <c r="JV85" s="15"/>
      <c r="JW85" s="15"/>
      <c r="JX85" s="15"/>
      <c r="JY85" s="15"/>
      <c r="JZ85" s="15"/>
      <c r="KA85" s="15"/>
      <c r="KB85" s="15"/>
      <c r="KC85" s="15"/>
      <c r="KD85" s="15"/>
      <c r="KE85" s="15"/>
      <c r="KF85" s="15"/>
      <c r="KG85" s="15"/>
      <c r="KH85" s="15"/>
      <c r="KI85" s="15"/>
      <c r="KJ85" s="15"/>
      <c r="KK85" s="15"/>
      <c r="KL85" s="15"/>
      <c r="KM85" s="15"/>
      <c r="KN85" s="15"/>
      <c r="KO85" s="15"/>
      <c r="KP85" s="15"/>
      <c r="KQ85" s="15"/>
      <c r="KR85" s="15"/>
      <c r="KS85" s="15"/>
      <c r="KT85" s="15"/>
      <c r="KU85" s="15"/>
      <c r="KV85" s="15"/>
      <c r="KW85" s="15"/>
      <c r="KX85" s="15"/>
      <c r="KY85" s="15"/>
      <c r="KZ85" s="15"/>
      <c r="LA85" s="15"/>
      <c r="LB85" s="28"/>
      <c r="LC85" s="28"/>
      <c r="LD85" s="28"/>
      <c r="LE85" s="28"/>
      <c r="LF85" s="28"/>
      <c r="LG85" s="28"/>
      <c r="LH85" s="28"/>
      <c r="LI85" s="15"/>
      <c r="LJ85" s="15"/>
      <c r="LK85" s="15"/>
      <c r="LL85" s="659"/>
      <c r="LM85" s="28"/>
      <c r="LN85" s="28"/>
      <c r="LO85" s="28"/>
      <c r="LP85" s="28"/>
      <c r="LQ85" s="659"/>
      <c r="LR85" s="28"/>
      <c r="LS85" s="28"/>
      <c r="LT85" s="28"/>
      <c r="LU85" s="28"/>
      <c r="UR85" s="37"/>
      <c r="US85" s="37"/>
      <c r="UT85" s="37"/>
      <c r="UU85" s="37"/>
      <c r="UV85" s="37"/>
      <c r="UW85" s="37"/>
      <c r="UX85" s="37"/>
      <c r="UY85" s="37"/>
      <c r="UZ85" s="37"/>
      <c r="VA85" s="37"/>
      <c r="VB85" s="37"/>
      <c r="VC85" s="37"/>
      <c r="VD85" s="37"/>
      <c r="VE85" s="37"/>
      <c r="VF85" s="37"/>
      <c r="VG85" s="37"/>
      <c r="VH85" s="37"/>
      <c r="VI85" s="37"/>
      <c r="VJ85" s="37"/>
      <c r="VK85" s="37"/>
      <c r="VL85" s="37"/>
      <c r="VN85" s="37"/>
      <c r="VO85" s="37"/>
      <c r="VP85" s="37"/>
      <c r="VQ85" s="37"/>
      <c r="VS85" s="37"/>
      <c r="VT85" s="37"/>
      <c r="VV85" s="37"/>
      <c r="VW85" s="37"/>
      <c r="VX85" s="37"/>
      <c r="VY85" s="37"/>
      <c r="VZ85" s="37"/>
      <c r="WD85" s="37"/>
      <c r="WE85" s="37"/>
      <c r="WF85" s="37"/>
      <c r="WH85" s="37"/>
      <c r="WI85" s="37"/>
      <c r="WJ85" s="15"/>
      <c r="WK85" s="15"/>
      <c r="WL85" s="37"/>
      <c r="WM85" s="37"/>
      <c r="WN85" s="37"/>
      <c r="WO85" s="37"/>
      <c r="WP85" s="15"/>
      <c r="WQ85" s="15"/>
      <c r="WR85" s="37"/>
      <c r="WS85" s="37"/>
      <c r="WT85" s="15"/>
      <c r="WU85" s="37"/>
      <c r="WV85" s="37"/>
      <c r="WW85" s="15"/>
      <c r="WX85" s="602"/>
      <c r="WY85" s="602"/>
      <c r="XC85" s="602"/>
      <c r="XD85" s="602"/>
      <c r="XE85" s="602"/>
      <c r="XF85" s="37"/>
      <c r="XG85" s="37"/>
      <c r="XH85" s="37"/>
      <c r="XI85" s="37"/>
      <c r="XJ85" s="37"/>
      <c r="XK85" s="37"/>
      <c r="XL85" s="37"/>
      <c r="XQ85" s="37"/>
      <c r="XR85" s="37"/>
      <c r="XT85" s="37"/>
      <c r="XU85" s="37"/>
      <c r="XW85" s="37"/>
      <c r="XX85" s="37"/>
      <c r="YB85" s="37"/>
      <c r="YC85" s="37"/>
      <c r="YD85" s="37"/>
      <c r="YE85" s="37"/>
      <c r="YG85" s="15"/>
      <c r="YH85" s="15"/>
      <c r="YI85" s="15"/>
      <c r="YJ85" s="15"/>
      <c r="YK85" s="15"/>
      <c r="YL85" s="146"/>
      <c r="ZZ85" s="15"/>
    </row>
    <row r="86" spans="2:747"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580"/>
      <c r="BP86" s="16"/>
      <c r="BQ86" s="16"/>
      <c r="BR86" s="16"/>
      <c r="BS86" s="16"/>
      <c r="BT86" s="580"/>
      <c r="BU86" s="16"/>
      <c r="BV86" s="16"/>
      <c r="BW86" s="16"/>
      <c r="BX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580"/>
      <c r="EG86" s="16"/>
      <c r="EH86" s="16"/>
      <c r="EI86" s="16"/>
      <c r="EJ86" s="16"/>
      <c r="EK86" s="580"/>
      <c r="EL86" s="16"/>
      <c r="EM86" s="16"/>
      <c r="EN86" s="16"/>
      <c r="EO86" s="16"/>
      <c r="EP86" s="580"/>
      <c r="EQ86" s="16"/>
      <c r="ER86" s="16"/>
      <c r="ES86" s="16"/>
      <c r="EY86" s="16"/>
      <c r="EZ86" s="16"/>
      <c r="FA86" s="16"/>
      <c r="FB86" s="16"/>
      <c r="FC86" s="16"/>
      <c r="FH86" s="16"/>
      <c r="FI86" s="16"/>
      <c r="FJ86" s="16"/>
      <c r="FK86" s="16"/>
      <c r="FL86" s="16"/>
      <c r="FM86" s="16"/>
      <c r="FN86" s="16"/>
      <c r="FO86" s="16"/>
      <c r="FP86" s="16"/>
      <c r="FQ86" s="16"/>
      <c r="FR86" s="16"/>
      <c r="FS86" s="16"/>
      <c r="FT86" s="16"/>
      <c r="FU86" s="16"/>
      <c r="FV86" s="16"/>
      <c r="FW86" s="16"/>
      <c r="FX86" s="16"/>
      <c r="FY86" s="16"/>
      <c r="FZ86" s="16"/>
      <c r="GA86" s="16"/>
      <c r="GB86" s="16"/>
      <c r="GC86" s="16"/>
      <c r="GD86" s="16"/>
      <c r="GE86" s="16"/>
      <c r="GF86" s="16"/>
      <c r="GG86" s="147"/>
      <c r="GH86" s="147"/>
      <c r="GI86" s="147"/>
      <c r="GJ86" s="147"/>
      <c r="GK86" s="147"/>
      <c r="GL86" s="16"/>
      <c r="GM86" s="16"/>
      <c r="GN86" s="16"/>
      <c r="GO86" s="16"/>
      <c r="GP86" s="16"/>
      <c r="GQ86" s="16"/>
      <c r="GR86" s="16"/>
      <c r="GS86" s="16"/>
      <c r="GT86" s="16"/>
      <c r="GU86" s="387"/>
      <c r="GV86" s="387"/>
      <c r="GW86" s="387"/>
      <c r="GX86" s="387"/>
      <c r="GY86" s="387"/>
      <c r="GZ86" s="387"/>
      <c r="HA86" s="387"/>
      <c r="HB86" s="387"/>
      <c r="HC86" s="387"/>
      <c r="HD86" s="387"/>
      <c r="HE86" s="387"/>
      <c r="HF86" s="387"/>
      <c r="HG86" s="387"/>
      <c r="HH86" s="387"/>
      <c r="HI86" s="387"/>
      <c r="HJ86" s="387"/>
      <c r="HK86" s="387"/>
      <c r="HL86" s="387"/>
      <c r="HM86" s="387"/>
      <c r="HN86" s="387"/>
      <c r="HO86" s="387"/>
      <c r="HP86" s="387"/>
      <c r="HQ86" s="387"/>
      <c r="HR86" s="387"/>
      <c r="HS86" s="387"/>
      <c r="HT86" s="387"/>
      <c r="HU86" s="16"/>
      <c r="HZ86" s="387"/>
      <c r="IA86" s="387"/>
      <c r="IB86" s="387"/>
      <c r="IC86" s="387"/>
      <c r="ID86" s="387"/>
      <c r="IE86" s="387"/>
      <c r="IF86" s="387"/>
      <c r="IG86" s="387"/>
      <c r="IH86" s="387"/>
      <c r="II86" s="387"/>
      <c r="IJ86" s="646"/>
      <c r="IK86" s="387"/>
      <c r="IL86" s="387"/>
      <c r="IM86" s="387"/>
      <c r="IN86" s="387"/>
      <c r="IO86" s="646"/>
      <c r="IP86" s="387"/>
      <c r="IQ86" s="387"/>
      <c r="IR86" s="387"/>
      <c r="IS86" s="387"/>
      <c r="IY86" s="16"/>
      <c r="IZ86" s="16"/>
      <c r="JA86" s="16"/>
      <c r="JB86" s="16"/>
      <c r="JC86" s="16"/>
      <c r="JD86" s="16"/>
      <c r="JE86" s="16"/>
      <c r="JF86" s="16"/>
      <c r="JG86" s="16"/>
      <c r="JH86" s="16"/>
      <c r="JI86" s="16"/>
      <c r="JJ86" s="16"/>
      <c r="JK86" s="16"/>
      <c r="JL86" s="16"/>
      <c r="JM86" s="16"/>
      <c r="JN86" s="16"/>
      <c r="JO86" s="16"/>
      <c r="JP86" s="16"/>
      <c r="JQ86" s="16"/>
      <c r="JR86" s="16"/>
      <c r="JS86" s="16"/>
      <c r="JT86" s="16"/>
      <c r="JU86" s="16"/>
      <c r="JV86" s="16"/>
      <c r="JW86" s="16"/>
      <c r="JX86" s="16"/>
      <c r="JY86" s="16"/>
      <c r="JZ86" s="16"/>
      <c r="KA86" s="16"/>
      <c r="KB86" s="16"/>
      <c r="KC86" s="16"/>
      <c r="KD86" s="16"/>
      <c r="KE86" s="16"/>
      <c r="KF86" s="16"/>
      <c r="KG86" s="16"/>
      <c r="KH86" s="16"/>
      <c r="KI86" s="16"/>
      <c r="KJ86" s="16"/>
      <c r="KK86" s="16"/>
      <c r="KL86" s="16"/>
      <c r="KM86" s="16"/>
      <c r="KN86" s="16"/>
      <c r="KO86" s="16"/>
      <c r="KP86" s="16"/>
      <c r="KQ86" s="16"/>
      <c r="KR86" s="16"/>
      <c r="KS86" s="16"/>
      <c r="KT86" s="16"/>
      <c r="KU86" s="16"/>
      <c r="KV86" s="16"/>
      <c r="KW86" s="16"/>
      <c r="KX86" s="16"/>
      <c r="KY86" s="16"/>
      <c r="KZ86" s="16"/>
      <c r="LA86" s="16"/>
      <c r="LB86" s="18"/>
      <c r="LC86" s="18"/>
      <c r="LD86" s="18"/>
      <c r="LE86" s="18"/>
      <c r="LF86" s="18"/>
      <c r="LG86" s="18"/>
      <c r="LH86" s="18"/>
      <c r="LI86" s="16"/>
      <c r="LJ86" s="16"/>
      <c r="LK86" s="16"/>
      <c r="LL86" s="660"/>
      <c r="LM86" s="18"/>
      <c r="LN86" s="18"/>
      <c r="LO86" s="18"/>
      <c r="LP86" s="18"/>
      <c r="LQ86" s="660"/>
      <c r="LR86" s="18"/>
      <c r="LS86" s="18"/>
      <c r="LT86" s="18"/>
      <c r="LU86" s="18"/>
      <c r="UR86" s="37"/>
      <c r="US86" s="37"/>
      <c r="UT86" s="37"/>
      <c r="UU86" s="37"/>
      <c r="UV86" s="37"/>
      <c r="UW86" s="37"/>
      <c r="UX86" s="37"/>
      <c r="UY86" s="37"/>
      <c r="UZ86" s="37"/>
      <c r="VA86" s="37"/>
      <c r="VB86" s="37"/>
      <c r="VC86" s="37"/>
      <c r="VD86" s="37"/>
      <c r="VE86" s="37"/>
      <c r="VF86" s="37"/>
      <c r="VG86" s="37"/>
      <c r="VH86" s="37"/>
      <c r="VI86" s="37"/>
      <c r="VJ86" s="37"/>
      <c r="VK86" s="37"/>
      <c r="VL86" s="37"/>
      <c r="VN86" s="37"/>
      <c r="VO86" s="37"/>
      <c r="VP86" s="37"/>
      <c r="VQ86" s="37"/>
      <c r="VS86" s="37"/>
      <c r="VT86" s="37"/>
      <c r="VV86" s="37"/>
      <c r="VW86" s="37"/>
      <c r="VX86" s="37"/>
      <c r="VY86" s="37"/>
      <c r="VZ86" s="37"/>
      <c r="WD86" s="37"/>
      <c r="WE86" s="37"/>
      <c r="WF86" s="37"/>
      <c r="WH86" s="37"/>
      <c r="WI86" s="37"/>
      <c r="WJ86" s="15"/>
      <c r="WK86" s="15"/>
      <c r="WL86" s="37"/>
      <c r="WM86" s="37"/>
      <c r="WN86" s="37"/>
      <c r="WO86" s="37"/>
      <c r="WP86" s="15"/>
      <c r="WQ86" s="15"/>
      <c r="WR86" s="37"/>
      <c r="WS86" s="37"/>
      <c r="WT86" s="15"/>
      <c r="WU86" s="37"/>
      <c r="WV86" s="37"/>
      <c r="WW86" s="15"/>
      <c r="WX86" s="602"/>
      <c r="WY86" s="602"/>
      <c r="XC86" s="602"/>
      <c r="XD86" s="602"/>
      <c r="XE86" s="602"/>
      <c r="XF86" s="37"/>
      <c r="XG86" s="37"/>
      <c r="XH86" s="37"/>
      <c r="XI86" s="37"/>
      <c r="XJ86" s="37"/>
      <c r="XK86" s="37"/>
      <c r="XL86" s="37"/>
      <c r="XQ86" s="37"/>
      <c r="XR86" s="37"/>
      <c r="XT86" s="37"/>
      <c r="XU86" s="37"/>
      <c r="XW86" s="37"/>
      <c r="XX86" s="37"/>
      <c r="YB86" s="37"/>
      <c r="YC86" s="37"/>
      <c r="YD86" s="37"/>
      <c r="YE86" s="37"/>
      <c r="YG86" s="16"/>
      <c r="YH86" s="16"/>
      <c r="YI86" s="16"/>
      <c r="YJ86" s="16"/>
      <c r="YK86" s="16"/>
      <c r="YL86" s="147"/>
      <c r="ZZ86" s="16"/>
    </row>
    <row r="87" spans="2:747">
      <c r="UR87" s="37"/>
      <c r="US87" s="37"/>
      <c r="UT87" s="37"/>
      <c r="UU87" s="37"/>
      <c r="UV87" s="37"/>
      <c r="UW87" s="37"/>
      <c r="UX87" s="37"/>
      <c r="UY87" s="37"/>
      <c r="UZ87" s="37"/>
      <c r="VA87" s="37"/>
      <c r="VB87" s="37"/>
      <c r="VC87" s="37"/>
      <c r="VD87" s="37"/>
      <c r="VE87" s="37"/>
      <c r="VF87" s="37"/>
      <c r="VG87" s="37"/>
      <c r="VH87" s="37"/>
      <c r="VI87" s="37"/>
      <c r="VJ87" s="37"/>
      <c r="VK87" s="37"/>
      <c r="VL87" s="37"/>
      <c r="VN87" s="37"/>
      <c r="VO87" s="37"/>
      <c r="VP87" s="37"/>
      <c r="VQ87" s="37"/>
      <c r="VS87" s="37"/>
      <c r="VT87" s="37"/>
      <c r="VV87" s="37"/>
      <c r="VW87" s="37"/>
      <c r="VX87" s="37"/>
      <c r="VY87" s="37"/>
      <c r="VZ87" s="37"/>
      <c r="WD87" s="37"/>
      <c r="WE87" s="37"/>
      <c r="WF87" s="37"/>
      <c r="WH87" s="37"/>
      <c r="WI87" s="37"/>
      <c r="WJ87" s="15"/>
      <c r="WK87" s="15"/>
      <c r="WL87" s="37"/>
      <c r="WM87" s="37"/>
      <c r="WN87" s="37"/>
      <c r="WO87" s="37"/>
      <c r="WP87" s="15"/>
      <c r="WQ87" s="15"/>
      <c r="WR87" s="37"/>
      <c r="WS87" s="37"/>
      <c r="WT87" s="15"/>
      <c r="WU87" s="37"/>
      <c r="WV87" s="37"/>
      <c r="WW87" s="15"/>
      <c r="WX87" s="602"/>
      <c r="WY87" s="602"/>
      <c r="XC87" s="602"/>
      <c r="XD87" s="602"/>
      <c r="XE87" s="602"/>
      <c r="XF87" s="37"/>
      <c r="XG87" s="37"/>
      <c r="XH87" s="37"/>
      <c r="XI87" s="37"/>
      <c r="XJ87" s="37"/>
      <c r="XK87" s="37"/>
      <c r="XL87" s="37"/>
      <c r="XQ87" s="37"/>
      <c r="XR87" s="37"/>
      <c r="XT87" s="37"/>
      <c r="XU87" s="37"/>
      <c r="XW87" s="37"/>
      <c r="XX87" s="37"/>
      <c r="YB87" s="37"/>
      <c r="YC87" s="37"/>
      <c r="YD87" s="37"/>
      <c r="YE87" s="37"/>
    </row>
    <row r="88" spans="2:747">
      <c r="UR88" s="37"/>
      <c r="US88" s="37"/>
      <c r="UT88" s="37"/>
      <c r="UU88" s="37"/>
      <c r="UV88" s="37"/>
      <c r="UW88" s="37"/>
      <c r="UX88" s="37"/>
      <c r="UY88" s="37"/>
      <c r="UZ88" s="37"/>
      <c r="VA88" s="37"/>
      <c r="VB88" s="37"/>
      <c r="VC88" s="37"/>
      <c r="VD88" s="37"/>
      <c r="VE88" s="37"/>
      <c r="VF88" s="37"/>
      <c r="VG88" s="37"/>
      <c r="VH88" s="37"/>
      <c r="VI88" s="37"/>
      <c r="VJ88" s="37"/>
      <c r="VK88" s="37"/>
      <c r="VL88" s="37"/>
      <c r="VN88" s="37"/>
      <c r="VO88" s="37"/>
      <c r="VP88" s="37"/>
      <c r="VQ88" s="37"/>
      <c r="VS88" s="37"/>
      <c r="VT88" s="37"/>
      <c r="VV88" s="37"/>
      <c r="VW88" s="37"/>
      <c r="VX88" s="37"/>
      <c r="VY88" s="37"/>
      <c r="VZ88" s="37"/>
      <c r="WD88" s="37"/>
      <c r="WE88" s="37"/>
      <c r="WF88" s="37"/>
      <c r="WH88" s="37"/>
      <c r="WI88" s="37"/>
      <c r="WJ88" s="15"/>
      <c r="WK88" s="15"/>
      <c r="WL88" s="37"/>
      <c r="WM88" s="37"/>
      <c r="WN88" s="37"/>
      <c r="WO88" s="37"/>
      <c r="WP88" s="15"/>
      <c r="WQ88" s="15"/>
      <c r="WR88" s="37"/>
      <c r="WS88" s="37"/>
      <c r="WT88" s="15"/>
      <c r="WU88" s="37"/>
      <c r="WV88" s="37"/>
      <c r="WW88" s="15"/>
      <c r="WX88" s="602"/>
      <c r="WY88" s="602"/>
      <c r="XC88" s="602"/>
      <c r="XD88" s="602"/>
      <c r="XE88" s="602"/>
      <c r="XF88" s="37"/>
      <c r="XG88" s="37"/>
      <c r="XH88" s="37"/>
      <c r="XI88" s="37"/>
      <c r="XJ88" s="37"/>
      <c r="XK88" s="37"/>
      <c r="XL88" s="37"/>
      <c r="XQ88" s="37"/>
      <c r="XR88" s="37"/>
      <c r="XT88" s="37"/>
      <c r="XU88" s="37"/>
      <c r="XW88" s="37"/>
      <c r="XX88" s="37"/>
      <c r="YB88" s="37"/>
      <c r="YC88" s="37"/>
      <c r="YD88" s="37"/>
      <c r="YE88" s="37"/>
    </row>
    <row r="89" spans="2:747">
      <c r="UR89" s="37"/>
      <c r="US89" s="37"/>
      <c r="UT89" s="37"/>
      <c r="UU89" s="37"/>
      <c r="UV89" s="37"/>
      <c r="UW89" s="37"/>
      <c r="UX89" s="37"/>
      <c r="UY89" s="37"/>
      <c r="UZ89" s="37"/>
      <c r="VA89" s="37"/>
      <c r="VB89" s="37"/>
      <c r="VC89" s="37"/>
      <c r="VD89" s="37"/>
      <c r="VE89" s="37"/>
      <c r="VF89" s="37"/>
      <c r="VG89" s="37"/>
      <c r="VH89" s="37"/>
      <c r="VI89" s="37"/>
      <c r="VJ89" s="37"/>
      <c r="VK89" s="37"/>
      <c r="VL89" s="37"/>
      <c r="VN89" s="37"/>
      <c r="VO89" s="37"/>
      <c r="VP89" s="37"/>
      <c r="VQ89" s="37"/>
      <c r="VS89" s="37"/>
      <c r="VT89" s="37"/>
      <c r="VV89" s="37"/>
      <c r="VW89" s="37"/>
      <c r="VX89" s="37"/>
      <c r="VY89" s="37"/>
      <c r="VZ89" s="37"/>
      <c r="WD89" s="37"/>
      <c r="WE89" s="37"/>
      <c r="WF89" s="37"/>
      <c r="WH89" s="37"/>
      <c r="WI89" s="37"/>
      <c r="WJ89" s="15"/>
      <c r="WK89" s="15"/>
      <c r="WL89" s="37"/>
      <c r="WM89" s="37"/>
      <c r="WN89" s="37"/>
      <c r="WO89" s="37"/>
      <c r="WP89" s="15"/>
      <c r="WQ89" s="15"/>
      <c r="WR89" s="37"/>
      <c r="WS89" s="37"/>
      <c r="WT89" s="15"/>
      <c r="WU89" s="37"/>
      <c r="WV89" s="37"/>
      <c r="WW89" s="15"/>
      <c r="WX89" s="602"/>
      <c r="WY89" s="602"/>
      <c r="XC89" s="602"/>
      <c r="XD89" s="602"/>
      <c r="XE89" s="602"/>
      <c r="XF89" s="37"/>
      <c r="XG89" s="37"/>
      <c r="XH89" s="37"/>
      <c r="XI89" s="37"/>
      <c r="XJ89" s="37"/>
      <c r="XK89" s="37"/>
      <c r="XL89" s="37"/>
      <c r="XQ89" s="37"/>
      <c r="XR89" s="37"/>
      <c r="XT89" s="37"/>
      <c r="XU89" s="37"/>
      <c r="XW89" s="37"/>
      <c r="XX89" s="37"/>
      <c r="YB89" s="37"/>
      <c r="YC89" s="37"/>
      <c r="YD89" s="37"/>
      <c r="YE89" s="37"/>
    </row>
    <row r="90" spans="2:747">
      <c r="UR90" s="37"/>
      <c r="US90" s="37"/>
      <c r="UT90" s="37"/>
      <c r="UU90" s="37"/>
      <c r="UV90" s="37"/>
      <c r="UW90" s="37"/>
      <c r="UX90" s="37"/>
      <c r="UY90" s="37"/>
      <c r="UZ90" s="37"/>
      <c r="VA90" s="37"/>
      <c r="VB90" s="37"/>
      <c r="VC90" s="37"/>
      <c r="VD90" s="37"/>
      <c r="VE90" s="37"/>
      <c r="VF90" s="37"/>
      <c r="VG90" s="37"/>
      <c r="VH90" s="37"/>
      <c r="VI90" s="37"/>
      <c r="VJ90" s="37"/>
      <c r="VK90" s="37"/>
      <c r="VL90" s="37"/>
      <c r="VN90" s="37"/>
      <c r="VO90" s="37"/>
      <c r="VP90" s="37"/>
      <c r="VQ90" s="37"/>
      <c r="VS90" s="37"/>
      <c r="VT90" s="37"/>
      <c r="VV90" s="37"/>
      <c r="VW90" s="37"/>
      <c r="VX90" s="37"/>
      <c r="VY90" s="37"/>
      <c r="VZ90" s="37"/>
      <c r="WD90" s="37"/>
      <c r="WE90" s="37"/>
      <c r="WF90" s="37"/>
      <c r="WH90" s="37"/>
      <c r="WI90" s="37"/>
      <c r="WJ90" s="15"/>
      <c r="WK90" s="15"/>
      <c r="WL90" s="37"/>
      <c r="WM90" s="37"/>
      <c r="WN90" s="37"/>
      <c r="WO90" s="37"/>
      <c r="WP90" s="15"/>
      <c r="WQ90" s="15"/>
      <c r="WR90" s="37"/>
      <c r="WS90" s="37"/>
      <c r="WT90" s="15"/>
      <c r="WU90" s="37"/>
      <c r="WV90" s="37"/>
      <c r="WW90" s="15"/>
      <c r="WX90" s="602"/>
      <c r="WY90" s="602"/>
      <c r="XC90" s="602"/>
      <c r="XD90" s="602"/>
      <c r="XE90" s="602"/>
      <c r="XF90" s="37"/>
      <c r="XG90" s="37"/>
      <c r="XH90" s="37"/>
      <c r="XI90" s="37"/>
      <c r="XJ90" s="37"/>
      <c r="XK90" s="37"/>
      <c r="XL90" s="37"/>
      <c r="XQ90" s="37"/>
      <c r="XR90" s="37"/>
      <c r="XT90" s="37"/>
      <c r="XU90" s="37"/>
      <c r="XW90" s="37"/>
      <c r="XX90" s="37"/>
      <c r="YB90" s="37"/>
      <c r="YC90" s="37"/>
      <c r="YD90" s="37"/>
      <c r="YE90" s="37"/>
    </row>
  </sheetData>
  <phoneticPr fontId="8" type="noConversion"/>
  <conditionalFormatting sqref="A1:XFD4">
    <cfRule type="containsText" dxfId="2" priority="1" operator="containsText" text="2015">
      <formula>NOT(ISERROR(SEARCH("2015",A1)))</formula>
    </cfRule>
  </conditionalFormatting>
  <conditionalFormatting sqref="A2:XFD2">
    <cfRule type="containsText" dxfId="1" priority="7" operator="containsText" text="2015">
      <formula>NOT(ISERROR(SEARCH("2015",A2)))</formula>
    </cfRule>
  </conditionalFormatting>
  <pageMargins left="0.75" right="0.75" top="1" bottom="1" header="0.5" footer="0.5"/>
  <pageSetup orientation="portrait" r:id="rId1"/>
  <headerFooter alignWithMargins="0"/>
  <ignoredErrors>
    <ignoredError sqref="ABN53" formulaRange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B050"/>
  </sheetPr>
  <dimension ref="A2:DY67"/>
  <sheetViews>
    <sheetView zoomScale="89" zoomScaleNormal="89" workbookViewId="0">
      <pane xSplit="1" ySplit="5" topLeftCell="DI6" activePane="bottomRight" state="frozen"/>
      <selection pane="bottomRight" activeCell="DY5" sqref="DY5"/>
      <selection pane="bottomLeft" activeCell="A6" sqref="A6"/>
      <selection pane="topRight" activeCell="B1" sqref="B1"/>
    </sheetView>
  </sheetViews>
  <sheetFormatPr defaultRowHeight="15.6"/>
  <cols>
    <col min="1" max="1" width="15.88671875" style="1" customWidth="1"/>
    <col min="2" max="2" width="8.21875" style="338" customWidth="1"/>
    <col min="3" max="3" width="8.21875" style="443" customWidth="1"/>
    <col min="4" max="13" width="8.21875" style="338" customWidth="1"/>
    <col min="15" max="15" width="8.88671875" style="441"/>
  </cols>
  <sheetData>
    <row r="2" spans="1:129">
      <c r="A2" s="2"/>
      <c r="B2" s="339"/>
      <c r="C2" s="483"/>
      <c r="D2" s="339"/>
      <c r="E2" s="339"/>
      <c r="F2" s="339"/>
      <c r="G2" s="339"/>
      <c r="H2" s="339"/>
      <c r="I2" s="339"/>
      <c r="J2" s="339"/>
      <c r="K2" s="339"/>
      <c r="L2" s="339"/>
      <c r="M2" s="339"/>
      <c r="O2" s="478"/>
    </row>
    <row r="3" spans="1:129">
      <c r="B3" s="340" t="s">
        <v>2</v>
      </c>
      <c r="C3" s="484"/>
      <c r="D3" s="341"/>
      <c r="E3" s="341"/>
      <c r="F3" s="341"/>
      <c r="G3" s="341"/>
      <c r="H3" s="342" t="s">
        <v>3</v>
      </c>
      <c r="I3" s="341"/>
      <c r="J3" s="341"/>
      <c r="K3" s="341"/>
      <c r="L3" s="341"/>
      <c r="M3" s="432"/>
      <c r="N3" s="479" t="s">
        <v>2</v>
      </c>
      <c r="O3" s="480"/>
      <c r="P3" s="481"/>
      <c r="Q3" s="481"/>
      <c r="R3" s="481"/>
      <c r="S3" s="481"/>
      <c r="T3" s="342" t="s">
        <v>3</v>
      </c>
      <c r="U3" s="481"/>
      <c r="V3" s="481"/>
      <c r="W3" s="481"/>
      <c r="X3" s="481"/>
      <c r="Y3" s="482"/>
      <c r="Z3" s="479" t="s">
        <v>2</v>
      </c>
      <c r="AA3" s="480"/>
      <c r="AB3" s="481"/>
      <c r="AC3" s="481"/>
      <c r="AD3" s="481"/>
      <c r="AE3" s="481"/>
      <c r="AF3" s="342" t="s">
        <v>3</v>
      </c>
      <c r="AG3" s="481"/>
      <c r="AH3" s="481"/>
      <c r="AI3" s="481"/>
      <c r="AJ3" s="481"/>
      <c r="AK3" s="482"/>
      <c r="AL3" s="481" t="s">
        <v>2</v>
      </c>
      <c r="AM3" s="482"/>
      <c r="AN3" s="481"/>
      <c r="AO3" s="482"/>
      <c r="AP3" s="482"/>
      <c r="AQ3" s="482"/>
      <c r="AR3" s="482" t="s">
        <v>3</v>
      </c>
      <c r="AS3" s="482"/>
      <c r="AT3" s="482"/>
      <c r="AU3" s="482"/>
      <c r="AV3" s="482"/>
      <c r="AW3" s="482"/>
      <c r="AX3" s="481" t="s">
        <v>2</v>
      </c>
      <c r="AY3" s="482"/>
      <c r="AZ3" s="481"/>
      <c r="BA3" s="482"/>
      <c r="BB3" s="482"/>
      <c r="BC3" s="482"/>
      <c r="BD3" s="482" t="s">
        <v>3</v>
      </c>
      <c r="BE3" s="482"/>
      <c r="BF3" s="482"/>
      <c r="BG3" s="482"/>
      <c r="BH3" s="482"/>
      <c r="BI3" s="482"/>
      <c r="BJ3" s="481" t="s">
        <v>2</v>
      </c>
      <c r="BK3" s="482"/>
      <c r="BL3" s="481"/>
      <c r="BM3" s="482"/>
      <c r="BN3" s="482"/>
      <c r="BO3" s="482"/>
      <c r="BP3" s="482" t="s">
        <v>3</v>
      </c>
      <c r="BQ3" s="482"/>
      <c r="BR3" s="482"/>
      <c r="BS3" s="482"/>
      <c r="BT3" s="482"/>
      <c r="BU3" s="482"/>
      <c r="BV3" s="481" t="s">
        <v>2</v>
      </c>
      <c r="BW3" s="482"/>
      <c r="BX3" s="481"/>
      <c r="BY3" s="482"/>
      <c r="BZ3" s="482"/>
      <c r="CA3" s="482"/>
      <c r="CB3" s="482" t="s">
        <v>3</v>
      </c>
      <c r="CC3" s="482"/>
      <c r="CD3" s="482"/>
      <c r="CE3" s="482"/>
      <c r="CF3" s="482"/>
      <c r="CG3" s="482"/>
      <c r="CH3" s="481" t="s">
        <v>2</v>
      </c>
      <c r="CI3" s="482"/>
      <c r="CJ3" s="481"/>
      <c r="CK3" s="482"/>
      <c r="CL3" s="482"/>
      <c r="CM3" s="482"/>
      <c r="CN3" s="482" t="s">
        <v>3</v>
      </c>
      <c r="CO3" s="482"/>
      <c r="CP3" s="482"/>
      <c r="CQ3" s="482"/>
      <c r="CR3" s="482"/>
      <c r="CS3" s="482"/>
      <c r="CT3" s="481" t="s">
        <v>2</v>
      </c>
      <c r="CU3" s="482"/>
      <c r="CV3" s="481"/>
      <c r="CW3" s="482"/>
      <c r="CX3" s="482"/>
      <c r="CY3" s="482"/>
      <c r="CZ3" s="482"/>
      <c r="DA3" s="482"/>
      <c r="DB3" s="482"/>
      <c r="DC3" s="482"/>
      <c r="DD3" s="482"/>
      <c r="DE3" s="482"/>
      <c r="DF3" s="482"/>
      <c r="DG3" s="482"/>
      <c r="DH3" s="482"/>
      <c r="DI3" s="482"/>
      <c r="DJ3" s="482" t="s">
        <v>3</v>
      </c>
      <c r="DK3" s="482"/>
      <c r="DL3" s="482"/>
      <c r="DM3" s="482"/>
      <c r="DN3" s="482"/>
      <c r="DO3" s="482"/>
    </row>
    <row r="4" spans="1:129" ht="26.1">
      <c r="B4" s="343" t="s">
        <v>73</v>
      </c>
      <c r="C4" s="442"/>
      <c r="D4" s="345" t="s">
        <v>74</v>
      </c>
      <c r="E4" s="344"/>
      <c r="F4" s="345" t="s">
        <v>75</v>
      </c>
      <c r="G4" s="344"/>
      <c r="H4" s="346" t="s">
        <v>73</v>
      </c>
      <c r="I4" s="344"/>
      <c r="J4" s="345" t="s">
        <v>74</v>
      </c>
      <c r="K4" s="344"/>
      <c r="L4" s="345" t="s">
        <v>75</v>
      </c>
      <c r="M4" s="433"/>
      <c r="N4" s="343" t="s">
        <v>73</v>
      </c>
      <c r="O4" s="442"/>
      <c r="P4" s="345" t="s">
        <v>74</v>
      </c>
      <c r="Q4" s="344"/>
      <c r="R4" s="345" t="s">
        <v>75</v>
      </c>
      <c r="S4" s="344"/>
      <c r="T4" s="346" t="s">
        <v>73</v>
      </c>
      <c r="U4" s="344"/>
      <c r="V4" s="345" t="s">
        <v>74</v>
      </c>
      <c r="W4" s="344"/>
      <c r="X4" s="345" t="s">
        <v>75</v>
      </c>
      <c r="Y4" s="433"/>
      <c r="Z4" s="343" t="s">
        <v>73</v>
      </c>
      <c r="AA4" s="442"/>
      <c r="AB4" s="345" t="s">
        <v>74</v>
      </c>
      <c r="AC4" s="344"/>
      <c r="AD4" s="345" t="s">
        <v>75</v>
      </c>
      <c r="AE4" s="344"/>
      <c r="AF4" s="346" t="s">
        <v>73</v>
      </c>
      <c r="AG4" s="344"/>
      <c r="AH4" s="345" t="s">
        <v>74</v>
      </c>
      <c r="AI4" s="344"/>
      <c r="AJ4" s="345" t="s">
        <v>75</v>
      </c>
      <c r="AK4" s="512"/>
      <c r="AL4" s="345" t="s">
        <v>73</v>
      </c>
      <c r="AM4" s="512"/>
      <c r="AN4" s="345" t="s">
        <v>74</v>
      </c>
      <c r="AO4" s="512"/>
      <c r="AP4" s="512" t="s">
        <v>75</v>
      </c>
      <c r="AQ4" s="512"/>
      <c r="AR4" s="512" t="s">
        <v>73</v>
      </c>
      <c r="AS4" s="512"/>
      <c r="AT4" s="512" t="s">
        <v>74</v>
      </c>
      <c r="AU4" s="512"/>
      <c r="AV4" s="512" t="s">
        <v>75</v>
      </c>
      <c r="AW4" s="512"/>
      <c r="AX4" s="345" t="s">
        <v>73</v>
      </c>
      <c r="AY4" s="512"/>
      <c r="AZ4" s="345" t="s">
        <v>74</v>
      </c>
      <c r="BA4" s="512"/>
      <c r="BB4" s="512" t="s">
        <v>75</v>
      </c>
      <c r="BC4" s="512"/>
      <c r="BD4" s="512" t="s">
        <v>73</v>
      </c>
      <c r="BE4" s="512"/>
      <c r="BF4" s="512" t="s">
        <v>74</v>
      </c>
      <c r="BG4" s="512"/>
      <c r="BH4" s="512" t="s">
        <v>75</v>
      </c>
      <c r="BI4" s="512"/>
      <c r="BJ4" s="345" t="s">
        <v>73</v>
      </c>
      <c r="BK4" s="512"/>
      <c r="BL4" s="345" t="s">
        <v>74</v>
      </c>
      <c r="BM4" s="512"/>
      <c r="BN4" s="512" t="s">
        <v>75</v>
      </c>
      <c r="BO4" s="512"/>
      <c r="BP4" s="512" t="s">
        <v>73</v>
      </c>
      <c r="BQ4" s="512"/>
      <c r="BR4" s="512" t="s">
        <v>74</v>
      </c>
      <c r="BS4" s="512"/>
      <c r="BT4" s="512" t="s">
        <v>75</v>
      </c>
      <c r="BU4" s="512"/>
      <c r="BV4" s="345" t="s">
        <v>73</v>
      </c>
      <c r="BW4" s="512"/>
      <c r="BX4" s="345" t="s">
        <v>74</v>
      </c>
      <c r="BY4" s="512"/>
      <c r="BZ4" s="512" t="s">
        <v>75</v>
      </c>
      <c r="CA4" s="512"/>
      <c r="CB4" s="512" t="s">
        <v>73</v>
      </c>
      <c r="CC4" s="512"/>
      <c r="CD4" s="512" t="s">
        <v>74</v>
      </c>
      <c r="CE4" s="512"/>
      <c r="CF4" s="512" t="s">
        <v>75</v>
      </c>
      <c r="CG4" s="512"/>
      <c r="CH4" s="345" t="s">
        <v>73</v>
      </c>
      <c r="CI4" s="512"/>
      <c r="CJ4" s="345" t="s">
        <v>74</v>
      </c>
      <c r="CK4" s="512"/>
      <c r="CL4" s="512" t="s">
        <v>75</v>
      </c>
      <c r="CM4" s="512"/>
      <c r="CN4" s="512" t="s">
        <v>73</v>
      </c>
      <c r="CO4" s="512"/>
      <c r="CP4" s="512" t="s">
        <v>74</v>
      </c>
      <c r="CQ4" s="512"/>
      <c r="CR4" s="512" t="s">
        <v>75</v>
      </c>
      <c r="CS4" s="512"/>
      <c r="CT4" s="345" t="s">
        <v>73</v>
      </c>
      <c r="CU4" s="512"/>
      <c r="CV4" s="345" t="s">
        <v>74</v>
      </c>
      <c r="CW4" s="512"/>
      <c r="CX4" s="756" t="s">
        <v>75</v>
      </c>
      <c r="CY4" s="757"/>
      <c r="CZ4" s="563" t="s">
        <v>76</v>
      </c>
      <c r="DA4" s="757"/>
      <c r="DB4" s="563" t="s">
        <v>77</v>
      </c>
      <c r="DC4" s="758"/>
      <c r="DD4" s="563" t="s">
        <v>78</v>
      </c>
      <c r="DE4" s="513"/>
      <c r="DF4" s="563" t="s">
        <v>79</v>
      </c>
      <c r="DG4" s="513"/>
      <c r="DH4" s="563" t="s">
        <v>80</v>
      </c>
      <c r="DI4" s="513"/>
      <c r="DJ4" s="512" t="s">
        <v>73</v>
      </c>
      <c r="DK4" s="512"/>
      <c r="DL4" s="512" t="s">
        <v>74</v>
      </c>
      <c r="DM4" s="512"/>
      <c r="DN4" s="512" t="s">
        <v>75</v>
      </c>
      <c r="DO4" s="512"/>
      <c r="DP4" s="563" t="s">
        <v>76</v>
      </c>
      <c r="DQ4" s="757"/>
      <c r="DR4" s="563" t="s">
        <v>77</v>
      </c>
      <c r="DS4" s="758"/>
      <c r="DT4" s="563" t="s">
        <v>78</v>
      </c>
      <c r="DU4" s="513"/>
      <c r="DV4" s="563" t="s">
        <v>79</v>
      </c>
      <c r="DW4" s="513"/>
      <c r="DX4" s="563" t="s">
        <v>80</v>
      </c>
    </row>
    <row r="5" spans="1:129">
      <c r="B5" s="338">
        <v>2000</v>
      </c>
      <c r="C5" s="448">
        <v>2011</v>
      </c>
      <c r="D5" s="347">
        <v>2000</v>
      </c>
      <c r="E5" s="338">
        <v>2011</v>
      </c>
      <c r="F5" s="347">
        <v>2000</v>
      </c>
      <c r="G5" s="338">
        <v>2011</v>
      </c>
      <c r="H5" s="348">
        <v>2000</v>
      </c>
      <c r="I5" s="338">
        <v>2011</v>
      </c>
      <c r="J5" s="347">
        <v>2000</v>
      </c>
      <c r="K5" s="338">
        <v>2011</v>
      </c>
      <c r="L5" s="347">
        <v>2000</v>
      </c>
      <c r="M5" s="434">
        <v>2011</v>
      </c>
      <c r="N5" s="429">
        <v>2000</v>
      </c>
      <c r="O5" s="451">
        <v>2012</v>
      </c>
      <c r="P5" s="428">
        <v>2000</v>
      </c>
      <c r="Q5" s="429">
        <v>2012</v>
      </c>
      <c r="R5" s="428">
        <v>2000</v>
      </c>
      <c r="S5" s="429">
        <v>2012</v>
      </c>
      <c r="T5" s="430">
        <v>2000</v>
      </c>
      <c r="U5" s="429">
        <v>2012</v>
      </c>
      <c r="V5" s="428">
        <v>2000</v>
      </c>
      <c r="W5" s="429">
        <v>2012</v>
      </c>
      <c r="X5" s="428">
        <v>2000</v>
      </c>
      <c r="Y5" s="493">
        <v>2012</v>
      </c>
      <c r="Z5" s="338">
        <v>2000</v>
      </c>
      <c r="AA5" s="448">
        <v>2013</v>
      </c>
      <c r="AB5" s="347">
        <v>2000</v>
      </c>
      <c r="AC5" s="338">
        <v>2013</v>
      </c>
      <c r="AD5" s="347">
        <v>2000</v>
      </c>
      <c r="AE5" s="338">
        <v>2013</v>
      </c>
      <c r="AF5" s="348">
        <v>2000</v>
      </c>
      <c r="AG5" s="338">
        <v>2013</v>
      </c>
      <c r="AH5" s="347">
        <v>2000</v>
      </c>
      <c r="AI5" s="338">
        <v>2013</v>
      </c>
      <c r="AJ5" s="347">
        <v>2000</v>
      </c>
      <c r="AK5" s="513">
        <v>2013</v>
      </c>
      <c r="AL5" s="347">
        <v>2000</v>
      </c>
      <c r="AM5" s="513">
        <v>2015</v>
      </c>
      <c r="AN5" s="347">
        <v>2000</v>
      </c>
      <c r="AO5" s="513">
        <v>2015</v>
      </c>
      <c r="AP5" s="513">
        <v>2000</v>
      </c>
      <c r="AQ5" s="513">
        <v>2015</v>
      </c>
      <c r="AR5" s="513">
        <v>2000</v>
      </c>
      <c r="AS5" s="513">
        <v>2015</v>
      </c>
      <c r="AT5" s="513">
        <v>2000</v>
      </c>
      <c r="AU5" s="513">
        <v>2015</v>
      </c>
      <c r="AV5" s="513">
        <v>2000</v>
      </c>
      <c r="AW5" s="513">
        <v>2015</v>
      </c>
      <c r="AX5" s="347">
        <v>2011</v>
      </c>
      <c r="AY5" s="513">
        <v>2016</v>
      </c>
      <c r="AZ5" s="347">
        <v>2011</v>
      </c>
      <c r="BA5" s="513">
        <v>2016</v>
      </c>
      <c r="BB5" s="513">
        <v>2011</v>
      </c>
      <c r="BC5" s="513">
        <v>2016</v>
      </c>
      <c r="BD5" s="513">
        <v>2011</v>
      </c>
      <c r="BE5" s="513">
        <v>2016</v>
      </c>
      <c r="BF5" s="513">
        <v>2011</v>
      </c>
      <c r="BG5" s="513">
        <v>2016</v>
      </c>
      <c r="BH5" s="513">
        <v>2011</v>
      </c>
      <c r="BI5" s="513">
        <v>2016</v>
      </c>
      <c r="BJ5" s="347">
        <v>2012</v>
      </c>
      <c r="BK5" s="513">
        <v>2017</v>
      </c>
      <c r="BL5" s="347">
        <v>2012</v>
      </c>
      <c r="BM5" s="513">
        <v>2017</v>
      </c>
      <c r="BN5" s="513">
        <v>2012</v>
      </c>
      <c r="BO5" s="513">
        <v>2017</v>
      </c>
      <c r="BP5" s="513">
        <v>2012</v>
      </c>
      <c r="BQ5" s="513">
        <v>2017</v>
      </c>
      <c r="BR5" s="513">
        <v>2012</v>
      </c>
      <c r="BS5" s="513">
        <v>2017</v>
      </c>
      <c r="BT5" s="513">
        <v>2012</v>
      </c>
      <c r="BU5" s="513">
        <v>2017</v>
      </c>
      <c r="BV5" s="428">
        <v>2013</v>
      </c>
      <c r="BW5" s="667">
        <v>2018</v>
      </c>
      <c r="BX5" s="428">
        <v>2013</v>
      </c>
      <c r="BY5" s="667">
        <v>2018</v>
      </c>
      <c r="BZ5" s="667">
        <v>2013</v>
      </c>
      <c r="CA5" s="667">
        <v>2018</v>
      </c>
      <c r="CB5" s="667">
        <v>2013</v>
      </c>
      <c r="CC5" s="667">
        <v>2018</v>
      </c>
      <c r="CD5" s="667">
        <v>2013</v>
      </c>
      <c r="CE5" s="667">
        <v>2018</v>
      </c>
      <c r="CF5" s="667">
        <v>2013</v>
      </c>
      <c r="CG5" s="667">
        <v>2018</v>
      </c>
      <c r="CH5" s="347">
        <v>2014</v>
      </c>
      <c r="CI5" s="491">
        <v>2019</v>
      </c>
      <c r="CJ5" s="347">
        <v>2014</v>
      </c>
      <c r="CK5" s="491">
        <v>2019</v>
      </c>
      <c r="CL5" s="347">
        <v>2014</v>
      </c>
      <c r="CM5" s="491">
        <v>2019</v>
      </c>
      <c r="CN5" s="347">
        <v>2014</v>
      </c>
      <c r="CO5" s="491">
        <v>2019</v>
      </c>
      <c r="CP5" s="347">
        <v>2014</v>
      </c>
      <c r="CQ5" s="491">
        <v>2019</v>
      </c>
      <c r="CR5" s="347">
        <v>2014</v>
      </c>
      <c r="CS5" s="491">
        <v>2019</v>
      </c>
      <c r="CT5" s="347">
        <v>2016</v>
      </c>
      <c r="CU5" s="491">
        <v>2021</v>
      </c>
      <c r="CV5" s="347">
        <v>2016</v>
      </c>
      <c r="CW5" s="491">
        <v>2021</v>
      </c>
      <c r="CX5" s="347">
        <v>2016</v>
      </c>
      <c r="CY5" s="491">
        <v>2021</v>
      </c>
      <c r="CZ5" s="347">
        <v>2016</v>
      </c>
      <c r="DA5" s="491">
        <v>2021</v>
      </c>
      <c r="DB5" s="347">
        <v>2016</v>
      </c>
      <c r="DC5" s="491">
        <v>2021</v>
      </c>
      <c r="DD5" s="347">
        <v>2016</v>
      </c>
      <c r="DE5" s="491">
        <v>2021</v>
      </c>
      <c r="DF5" s="347">
        <v>2016</v>
      </c>
      <c r="DG5" s="491">
        <v>2021</v>
      </c>
      <c r="DH5" s="347">
        <v>2016</v>
      </c>
      <c r="DI5" s="491">
        <v>2021</v>
      </c>
      <c r="DJ5" s="347">
        <v>2016</v>
      </c>
      <c r="DK5" s="491">
        <v>2021</v>
      </c>
      <c r="DL5" s="347">
        <v>2016</v>
      </c>
      <c r="DM5" s="491">
        <v>2021</v>
      </c>
      <c r="DN5" s="347">
        <v>2016</v>
      </c>
      <c r="DO5" s="491">
        <v>2021</v>
      </c>
      <c r="DP5" s="347">
        <v>2016</v>
      </c>
      <c r="DQ5" s="491">
        <v>2021</v>
      </c>
      <c r="DR5" s="347">
        <v>2016</v>
      </c>
      <c r="DS5" s="491">
        <v>2021</v>
      </c>
      <c r="DT5" s="347">
        <v>2016</v>
      </c>
      <c r="DU5" s="491">
        <v>2021</v>
      </c>
      <c r="DV5" s="347">
        <v>2016</v>
      </c>
      <c r="DW5" s="491">
        <v>2021</v>
      </c>
      <c r="DX5" s="347">
        <v>2016</v>
      </c>
      <c r="DY5" s="491">
        <v>2021</v>
      </c>
    </row>
    <row r="6" spans="1:129">
      <c r="A6" s="331" t="s">
        <v>5</v>
      </c>
      <c r="B6" s="349">
        <f>('Attainment 25+ by race &amp; gender'!FS5/'Pop 25+ by race &amp; gender'!AT4)*100</f>
        <v>83.57750373851232</v>
      </c>
      <c r="C6" s="449">
        <f>('Attainment 25+ by race &amp; gender'!GR5/'Pop 25+ by race &amp; gender'!CV4)*100</f>
        <v>87.767554238362351</v>
      </c>
      <c r="D6" s="350">
        <f>('Attainment 25+ by race &amp; gender'!FT5/'Pop 25+ by race &amp; gender'!AZ4)*100</f>
        <v>71.929457483207727</v>
      </c>
      <c r="E6" s="349">
        <f>('Attainment 25+ by race &amp; gender'!GS5/'Pop 25+ by race &amp; gender'!CW4)*100</f>
        <v>81.977005415390693</v>
      </c>
      <c r="F6" s="350">
        <f>('Attainment 25+ by race &amp; gender'!FU5/'Pop 25+ by race &amp; gender'!BC4)*100</f>
        <v>51.669497569754583</v>
      </c>
      <c r="G6" s="349">
        <f>('Attainment 25+ by race &amp; gender'!GT5/'Pop 25+ by race &amp; gender'!CY4)*100</f>
        <v>62.203455602315735</v>
      </c>
      <c r="H6" s="350">
        <f>('Attainment 25+ by race &amp; gender'!XM5/'Pop 25+ by race &amp; gender'!AT4)*100</f>
        <v>26.062404339207745</v>
      </c>
      <c r="I6" s="349">
        <f>('Attainment 25+ by race &amp; gender'!YW5/'Pop 25+ by race &amp; gender'!CV4)*100</f>
        <v>29.578651240610988</v>
      </c>
      <c r="J6" s="350">
        <f>('Attainment 25+ by race &amp; gender'!XS5/'Pop 25+ by race &amp; gender'!AZ4)*100</f>
        <v>14.257505566369785</v>
      </c>
      <c r="K6" s="349">
        <f>('Attainment 25+ by race &amp; gender'!YX5/'Pop 25+ by race &amp; gender'!CW4)*100</f>
        <v>18.037982424270304</v>
      </c>
      <c r="L6" s="350">
        <f>('Attainment 25+ by race &amp; gender'!XV5/'Pop 25+ by race &amp; gender'!BC4)*100</f>
        <v>10.443347720739423</v>
      </c>
      <c r="M6" s="435">
        <f>('Attainment 25+ by race &amp; gender'!YY5/'Pop 25+ by race &amp; gender'!CY4)*100</f>
        <v>13.046310583597251</v>
      </c>
      <c r="N6" s="349">
        <f>('Attainment 25+ by race &amp; gender'!FS5/'Pop 25+ by race &amp; gender'!AT4)*100</f>
        <v>83.57750373851232</v>
      </c>
      <c r="O6" s="449">
        <f>('Attainment 25+ by race &amp; gender'!GW5/'Pop 25+ by race &amp; gender'!DA4)*100</f>
        <v>91.106487062738992</v>
      </c>
      <c r="P6" s="350">
        <f>('Attainment 25+ by race &amp; gender'!FT5/'Pop 25+ by race &amp; gender'!AZ4)*100</f>
        <v>71.929457483207727</v>
      </c>
      <c r="Q6" s="349">
        <f>('Attainment 25+ by race &amp; gender'!GX5/'Pop 25+ by race &amp; gender'!DB4)*100</f>
        <v>82.517115984848061</v>
      </c>
      <c r="R6" s="350">
        <f>('Attainment 25+ by race &amp; gender'!FU5/'Pop 25+ by race &amp; gender'!BC4)*100</f>
        <v>51.669497569754583</v>
      </c>
      <c r="S6" s="349">
        <f>('Attainment 25+ by race &amp; gender'!GY5/'Pop 25+ by race &amp; gender'!DD4)*100</f>
        <v>63.111017316024231</v>
      </c>
      <c r="T6" s="350">
        <f>('Attainment 25+ by race &amp; gender'!XM5/'Pop 25+ by race &amp; gender'!AT4)*100</f>
        <v>26.062404339207745</v>
      </c>
      <c r="U6" s="349">
        <f>('Attainment 25+ by race &amp; gender'!ZB5/'Pop 25+ by race &amp; gender'!DA4)*100</f>
        <v>31.965759394861394</v>
      </c>
      <c r="V6" s="350">
        <f>('Attainment 25+ by race &amp; gender'!XS5/'Pop 25+ by race &amp; gender'!AZ4)*100</f>
        <v>14.257505566369785</v>
      </c>
      <c r="W6" s="349">
        <f>('Attainment 25+ by race &amp; gender'!ZC5/'Pop 25+ by race &amp; gender'!DB4)*100</f>
        <v>18.361975072245734</v>
      </c>
      <c r="X6" s="350">
        <f>('Attainment 25+ by race &amp; gender'!XV5/'Pop 25+ by race &amp; gender'!BC4)*100</f>
        <v>10.443347720739423</v>
      </c>
      <c r="Y6" s="435">
        <f>('Attainment 25+ by race &amp; gender'!ZD5/'Pop 25+ by race &amp; gender'!DD4)*100</f>
        <v>13.368569699615554</v>
      </c>
      <c r="Z6" s="497">
        <f>('Attainment 25+ by race &amp; gender'!FS5/'Pop 25+ by race &amp; gender'!AT4)*100</f>
        <v>83.57750373851232</v>
      </c>
      <c r="AA6" s="449">
        <f>('Attainment 25+ by race &amp; gender'!HB5/'Pop 25+ by race &amp; gender'!DF4)*100</f>
        <v>91.414942229378866</v>
      </c>
      <c r="AB6" s="350">
        <f>('Attainment 25+ by race &amp; gender'!FT5/'Pop 25+ by race &amp; gender'!AZ4)*100</f>
        <v>71.929457483207727</v>
      </c>
      <c r="AC6" s="349">
        <f>('Attainment 25+ by race &amp; gender'!HC5/'Pop 25+ by race &amp; gender'!DG4)*100</f>
        <v>83.099172972670502</v>
      </c>
      <c r="AD6" s="350">
        <f>('Attainment 25+ by race &amp; gender'!FU5/'Pop 25+ by race &amp; gender'!BC4)*100</f>
        <v>51.669497569754583</v>
      </c>
      <c r="AE6" s="349">
        <f>('Attainment 25+ by race &amp; gender'!HD5/'Pop 25+ by race &amp; gender'!DI4)*100</f>
        <v>63.951114133610368</v>
      </c>
      <c r="AF6" s="350">
        <f>('Attainment 25+ by race &amp; gender'!XM5/'Pop 25+ by race &amp; gender'!AT4)*100</f>
        <v>26.062404339207745</v>
      </c>
      <c r="AG6" s="349">
        <f>('Attainment 25+ by race &amp; gender'!ZG5/'Pop 25+ by race &amp; gender'!DF4)*100</f>
        <v>32.505406289937127</v>
      </c>
      <c r="AH6" s="350">
        <f>('Attainment 25+ by race &amp; gender'!XS5/'Pop 25+ by race &amp; gender'!AZ4)*100</f>
        <v>14.257505566369785</v>
      </c>
      <c r="AI6" s="349">
        <f>('Attainment 25+ by race &amp; gender'!ZH5/'Pop 25+ by race &amp; gender'!DG4)*100</f>
        <v>18.846162426351494</v>
      </c>
      <c r="AJ6" s="350">
        <f>('Attainment 25+ by race &amp; gender'!XV5/'Pop 25+ by race &amp; gender'!BC4)*100</f>
        <v>10.443347720739423</v>
      </c>
      <c r="AK6" s="452">
        <f>('Attainment 25+ by race &amp; gender'!ZI5/'Pop 25+ by race &amp; gender'!DI4)*100</f>
        <v>13.699008840326703</v>
      </c>
      <c r="AL6" s="350">
        <f>('Attainment 25+ by race &amp; gender'!FS5/'Pop 25+ by race &amp; gender'!AT4)*100</f>
        <v>83.57750373851232</v>
      </c>
      <c r="AM6" s="452">
        <f>('Attainment 25+ by race &amp; gender'!HL5/'Pop 25+ by race &amp; gender'!DP4)*100</f>
        <v>92.26160449259288</v>
      </c>
      <c r="AN6" s="350">
        <v>71.929457483207727</v>
      </c>
      <c r="AO6" s="452">
        <f>('Attainment 25+ by race &amp; gender'!HM5/'Pop 25+ by race &amp; gender'!DQ4)*100</f>
        <v>84.734011113048808</v>
      </c>
      <c r="AP6" s="452">
        <f>('Attainment 25+ by race &amp; gender'!FU5/'Pop 25+ by race &amp; gender'!BC4)*100</f>
        <v>51.669497569754583</v>
      </c>
      <c r="AQ6" s="452">
        <f>('Attainment 25+ by race &amp; gender'!HN5/'Pop 25+ by race &amp; gender'!DS4)*100</f>
        <v>65.996586064723246</v>
      </c>
      <c r="AR6" s="452">
        <f>('Attainment 25+ by race &amp; gender'!XM5/'Pop 25+ by race &amp; gender'!AT4)*100</f>
        <v>26.062404339207745</v>
      </c>
      <c r="AS6" s="452">
        <f>('Attainment 25+ by race &amp; gender'!ZQ5/'Pop 25+ by race &amp; gender'!DP4)*100</f>
        <v>34.211366197655735</v>
      </c>
      <c r="AT6" s="452">
        <f>('Attainment 25+ by race &amp; gender'!XS5/'Pop 25+ by race &amp; gender'!AZ4)*100</f>
        <v>14.257505566369785</v>
      </c>
      <c r="AU6" s="452">
        <f>('Attainment 25+ by race &amp; gender'!ZR5/'Pop 25+ by race &amp; gender'!DQ4)*100</f>
        <v>20.228876882620579</v>
      </c>
      <c r="AV6" s="452">
        <f>('Attainment 25+ by race &amp; gender'!XV5/'Pop 25+ by race &amp; gender'!BC4)*100</f>
        <v>10.443347720739423</v>
      </c>
      <c r="AW6" s="452">
        <f>('Attainment 25+ by race &amp; gender'!ZS5/'Pop 25+ by race &amp; gender'!DS4)*100</f>
        <v>14.776903964264978</v>
      </c>
      <c r="AX6" s="350">
        <f>('Attainment 25+ by race &amp; gender'!GR5/'Pop 25+ by race &amp; gender'!CV4)*100</f>
        <v>87.767554238362351</v>
      </c>
      <c r="AY6" s="452">
        <f>('Attainment 25+ by race &amp; gender'!HQ5/'Pop 25+ by race &amp; gender'!DU4)*100</f>
        <v>92.458665185284943</v>
      </c>
      <c r="AZ6" s="350">
        <f>('Attainment 25+ by race &amp; gender'!GS5/'Pop 25+ by race &amp; gender'!CW4)*100</f>
        <v>81.977005415390693</v>
      </c>
      <c r="BA6" s="452">
        <f>('Attainment 25+ by race &amp; gender'!HR5/'Pop 25+ by race &amp; gender'!DV4)*100</f>
        <v>85.243691837585075</v>
      </c>
      <c r="BB6" s="452">
        <f>('Attainment 25+ by race &amp; gender'!GT5/'Pop 25+ by race &amp; gender'!CY4)*100</f>
        <v>62.203455602315735</v>
      </c>
      <c r="BC6" s="452">
        <f>('Attainment 25+ by race &amp; gender'!HS5/'Pop 25+ by race &amp; gender'!DX4)*100</f>
        <v>67.113306174470893</v>
      </c>
      <c r="BD6" s="452">
        <f>('Attainment 25+ by race &amp; gender'!YW5/'Pop 25+ by race &amp; gender'!CV4)*100</f>
        <v>29.578651240610988</v>
      </c>
      <c r="BE6" s="452">
        <f>('Attainment 25+ by race &amp; gender'!ZV5/'Pop 25+ by race &amp; gender'!DU4)*100</f>
        <v>34.967272407283389</v>
      </c>
      <c r="BF6" s="452">
        <f>('Attainment 25+ by race &amp; gender'!YX5/'Pop 25+ by race &amp; gender'!CW4)*100</f>
        <v>18.037982424270304</v>
      </c>
      <c r="BG6" s="452">
        <f>('Attainment 25+ by race &amp; gender'!ZW5/'Pop 25+ by race &amp; gender'!DV4)*100</f>
        <v>20.870989397657301</v>
      </c>
      <c r="BH6" s="452">
        <f>('Attainment 25+ by race &amp; gender'!YY5/'Pop 25+ by race &amp; gender'!CY4)*100</f>
        <v>13.046310583597251</v>
      </c>
      <c r="BI6" s="452">
        <f>('Attainment 25+ by race &amp; gender'!ZX5/'Pop 25+ by race &amp; gender'!DX4)*100</f>
        <v>15.346376944366313</v>
      </c>
      <c r="BJ6" s="350">
        <f>('Attainment 25+ by race &amp; gender'!GW5/'Pop 25+ by race &amp; gender'!DA4)*100</f>
        <v>91.106487062738992</v>
      </c>
      <c r="BK6" s="452">
        <f>('Attainment 25+ by race &amp; gender'!IA5/'Pop 25+ by race &amp; gender'!EE4)*100</f>
        <v>92.884569224771667</v>
      </c>
      <c r="BL6" s="350">
        <f>('Attainment 25+ by race &amp; gender'!GX5/'Pop 25+ by race &amp; gender'!DB4)*100</f>
        <v>82.517115984848061</v>
      </c>
      <c r="BM6" s="452">
        <f>('Attainment 25+ by race &amp; gender'!IB5/'Pop 25+ by race &amp; gender'!EF4)*100</f>
        <v>85.861564503867811</v>
      </c>
      <c r="BN6" s="452">
        <f>('Attainment 25+ by race &amp; gender'!GY5/'Pop 25+ by race &amp; gender'!DD4)*100</f>
        <v>63.111017316024231</v>
      </c>
      <c r="BO6" s="452">
        <f>('Attainment 25+ by race &amp; gender'!IC5/'Pop 25+ by race &amp; gender'!EH4)*100</f>
        <v>68.698107366355472</v>
      </c>
      <c r="BP6" s="452">
        <f>('Attainment 25+ by race &amp; gender'!ZB5/'Pop 25+ by race &amp; gender'!DA4)*100</f>
        <v>31.965759394861394</v>
      </c>
      <c r="BQ6" s="452">
        <f>('Attainment 25+ by race &amp; gender'!AAF5/'Pop 25+ by race &amp; gender'!EE4)*100</f>
        <v>35.779946118289153</v>
      </c>
      <c r="BR6" s="452">
        <f>('Attainment 25+ by race &amp; gender'!ZC5/'Pop 25+ by race &amp; gender'!DB4)*100</f>
        <v>18.361975072245734</v>
      </c>
      <c r="BS6" s="452">
        <f>('Attainment 25+ by race &amp; gender'!AAG5/'Pop 25+ by race &amp; gender'!EF4)*100</f>
        <v>21.365271441971405</v>
      </c>
      <c r="BT6" s="452">
        <f>('Attainment 25+ by race &amp; gender'!ZD5/'Pop 25+ by race &amp; gender'!DD4)*100</f>
        <v>13.368569699615554</v>
      </c>
      <c r="BU6" s="452">
        <f>('Attainment 25+ by race &amp; gender'!AAH5/'Pop 25+ by race &amp; gender'!EH4)*100</f>
        <v>16.01417253362553</v>
      </c>
      <c r="BV6" s="350">
        <f>('Attainment 25+ by race &amp; gender'!HN5/'Pop 25+ by race &amp; gender'!DR4)*100</f>
        <v>77.669470756527971</v>
      </c>
      <c r="BW6" s="452">
        <f>('Attainment 25+ by race &amp; gender'!JB5/'Pop 25+ by race &amp; gender'!EQ4)*100</f>
        <v>2.6792538153919345</v>
      </c>
      <c r="BX6" s="350">
        <f>('Attainment 25+ by race &amp; gender'!HO5/'Pop 25+ by race &amp; gender'!DS4)*100</f>
        <v>64.719056745182243</v>
      </c>
      <c r="BY6" s="452">
        <f>('Attainment 25+ by race &amp; gender'!JC5/'Pop 25+ by race &amp; gender'!ER4)*100</f>
        <v>1.3180605599398232</v>
      </c>
      <c r="BZ6" s="452">
        <f>('Attainment 25+ by race &amp; gender'!HP5/'Pop 25+ by race &amp; gender'!DU4)*100</f>
        <v>133.39420472139599</v>
      </c>
      <c r="CA6" s="452">
        <f>('Attainment 25+ by race &amp; gender'!JD5/'Pop 25+ by race &amp; gender'!ET4)*100</f>
        <v>27.873801252693507</v>
      </c>
      <c r="CB6" s="452">
        <f>('Attainment 25+ by race &amp; gender'!ZS5/'Pop 25+ by race &amp; gender'!DR4)*100</f>
        <v>17.390510309107974</v>
      </c>
      <c r="CC6" s="452">
        <f>('Attainment 25+ by race &amp; gender'!ABB5/'Pop 25+ by race &amp; gender'!EQ4)*100</f>
        <v>21.209172329140895</v>
      </c>
      <c r="CD6" s="452">
        <f>('Attainment 25+ by race &amp; gender'!ZT5/'Pop 25+ by race &amp; gender'!DS4)*100</f>
        <v>27.267006467938621</v>
      </c>
      <c r="CE6" s="452">
        <f>('Attainment 25+ by race &amp; gender'!ABC5/'Pop 25+ by race &amp; gender'!ER4)*100</f>
        <v>6.4788062929387227</v>
      </c>
      <c r="CF6" s="452">
        <f>('Attainment 25+ by race &amp; gender'!ZU5/'Pop 25+ by race &amp; gender'!DU4)*100</f>
        <v>47.708791337223396</v>
      </c>
      <c r="CG6" s="452">
        <f>('Attainment 25+ by race &amp; gender'!ABD5/'Pop 25+ by race &amp; gender'!ET4)*100</f>
        <v>11.372199983308841</v>
      </c>
      <c r="CH6" s="350">
        <f>('Attainment 25+ by race &amp; gender'!HQ5/'Pop 25+ by race &amp; gender'!DK4)*100</f>
        <v>93.240144189075153</v>
      </c>
      <c r="CI6" s="452">
        <f>('Attainment 25+ by race &amp; gender'!IK5/'Pop 25+ by race &amp; gender'!EO4)*100</f>
        <v>93.310315006612754</v>
      </c>
      <c r="CJ6" s="350">
        <f>('Attainment 25+ by race &amp; gender'!HH5/'Pop 25+ by race &amp; gender'!DL4)*100</f>
        <v>84.361479859088718</v>
      </c>
      <c r="CK6" s="452">
        <f>('Attainment 25+ by race &amp; gender'!IL5/'Pop 25+ by race &amp; gender'!EP4)*100</f>
        <v>87.058832226438625</v>
      </c>
      <c r="CL6" s="452">
        <f>('Attainment 25+ by race &amp; gender'!HI5/'Pop 25+ by race &amp; gender'!DN4)*100</f>
        <v>65.342607701222846</v>
      </c>
      <c r="CM6" s="452">
        <f>('Attainment 25+ by race &amp; gender'!IM5/'Pop 25+ by race &amp; gender'!ER4)*100</f>
        <v>70.455783424552237</v>
      </c>
      <c r="CN6" s="452">
        <f>('Attainment 25+ by race &amp; gender'!ZL5/'Pop 25+ by race &amp; gender'!DK4)*100</f>
        <v>33.633447607227311</v>
      </c>
      <c r="CO6" s="452">
        <f>('Attainment 25+ by race &amp; gender'!AAP5/'Pop 25+ by race &amp; gender'!EO4)*100</f>
        <v>36.866009674634661</v>
      </c>
      <c r="CP6" s="452">
        <f>('Attainment 25+ by race &amp; gender'!ZM5/'Pop 25+ by race &amp; gender'!DL4)*100</f>
        <v>19.698084659101834</v>
      </c>
      <c r="CQ6" s="452">
        <f>('Attainment 25+ by race &amp; gender'!AAQ5/'Pop 25+ by race &amp; gender'!EP4)*100</f>
        <v>22.545303781593855</v>
      </c>
      <c r="CR6" s="452">
        <f>('Attainment 25+ by race &amp; gender'!ZN5/'Pop 25+ by race &amp; gender'!DN4)*100</f>
        <v>14.370875550263262</v>
      </c>
      <c r="CS6" s="452">
        <f>('Attainment 25+ by race &amp; gender'!AAR5/'Pop 25+ by race &amp; gender'!ER4)*100</f>
        <v>17.637369936836958</v>
      </c>
      <c r="CT6" s="350">
        <f>IFERROR(('Attainment 25+ by race &amp; gender'!HQ5/'Pop 25+ by race &amp; gender'!DU4)*100,"-")</f>
        <v>92.458665185284943</v>
      </c>
      <c r="CU6" s="452">
        <f>IFERROR(('Attainment 25+ by race &amp; gender'!IP5/'Pop 25+ by race &amp; gender'!ET4)*100,"-")</f>
        <v>94.037214946465724</v>
      </c>
      <c r="CV6" s="350">
        <f>IFERROR(('Attainment 25+ by race &amp; gender'!HR5/'Pop 25+ by race &amp; gender'!DV4)*100,"-")</f>
        <v>85.243691837585075</v>
      </c>
      <c r="CW6" s="452">
        <f>IFERROR(('Attainment 25+ by race &amp; gender'!IQ5/'Pop 25+ by race &amp; gender'!EU4)*100, "-")</f>
        <v>87.969000275111142</v>
      </c>
      <c r="CX6" s="452">
        <f>IFERROR(('Attainment 25+ by race &amp; gender'!HS5/'Pop 25+ by race &amp; gender'!DX4)*100, "-")</f>
        <v>67.113306174470893</v>
      </c>
      <c r="CY6" s="452">
        <f>IFERROR(('Attainment 25+ by race &amp; gender'!IR5/'Pop 25+ by race &amp; gender'!EW4)*100, "-")</f>
        <v>72.392589877470215</v>
      </c>
      <c r="CZ6" s="452">
        <f>IFERROR(('Attainment 25+ by race &amp; gender'!HU5/'Pop 25+ by race &amp; gender'!DY4)*100, "-")</f>
        <v>86.593700169259208</v>
      </c>
      <c r="DA6" s="452">
        <f>IFERROR(('Attainment 25+ by race &amp; gender'!IT5/'Pop 25+ by race &amp; gender'!EX4)*100, "-")</f>
        <v>87.777615929514894</v>
      </c>
      <c r="DB6" s="452">
        <f>IFERROR(('Attainment 25+ by race &amp; gender'!HV5/'Pop 25+ by race &amp; gender'!DZ4)*100, "-")</f>
        <v>70.761315955687536</v>
      </c>
      <c r="DC6" s="452">
        <f>IFERROR(('Attainment 25+ by race &amp; gender'!IU5/'Pop 25+ by race &amp; gender'!EY4)*100, "-")</f>
        <v>86.659513021438656</v>
      </c>
      <c r="DD6" s="452">
        <f>IFERROR(('Attainment 25+ by race &amp; gender'!HW5/'Pop 25+ by race &amp; gender'!EA4)*100, "-")</f>
        <v>80.847109483424731</v>
      </c>
      <c r="DE6" s="452">
        <f>IFERROR(('Attainment 25+ by race &amp; gender'!IV5/'Pop 25+ by race &amp; gender'!EZ4)*100, "-")</f>
        <v>77.137214654952444</v>
      </c>
      <c r="DF6" s="452">
        <f>IFERROR(('Attainment 25+ by race &amp; gender'!HX5/'Pop 25+ by race &amp; gender'!EB4)*100, "-")</f>
        <v>90.875842119522417</v>
      </c>
      <c r="DG6" s="452">
        <f>IFERROR(('Attainment 25+ by race &amp; gender'!IW5/'Pop 25+ by race &amp; gender'!FA4)*100, "-")</f>
        <v>80.583263454237525</v>
      </c>
      <c r="DH6" s="452">
        <f>IFERROR(('Attainment 25+ by race &amp; gender'!HY5/'Pop 25+ by race &amp; gender'!EC4)*100, "-")</f>
        <v>75.408859956061249</v>
      </c>
      <c r="DI6" s="452">
        <f>IFERROR(('Attainment 25+ by race &amp; gender'!IX5/'Pop 25+ by race &amp; gender'!FB4)*100, "-")</f>
        <v>66.97266315199353</v>
      </c>
      <c r="DJ6" s="452">
        <f>IFERROR(('Attainment 25+ by race &amp; gender'!ZV5/'Pop 25+ by race &amp; gender'!DU4)*100, "-")</f>
        <v>34.967272407283389</v>
      </c>
      <c r="DK6" s="452">
        <f>IFERROR(('Attainment 25+ by race &amp; gender'!AAU5/'Pop 25+ by race &amp; gender'!ET4)*100, "-")</f>
        <v>38.873581850161507</v>
      </c>
      <c r="DL6" s="452">
        <f>IFERROR(('Attainment 25+ by race &amp; gender'!ZW5/'Pop 25+ by race &amp; gender'!DV4)*100, "-")</f>
        <v>20.870989397657301</v>
      </c>
      <c r="DM6" s="452">
        <f>IFERROR(('Attainment 25+ by race &amp; gender'!AAV5/'Pop 25+ by race &amp; gender'!EU4)*100, "-")</f>
        <v>24.859897632553128</v>
      </c>
      <c r="DN6" s="452">
        <f>IFERROR(('Attainment 25+ by race &amp; gender'!ZX5/'Pop 25+ by race &amp; gender'!DX4)*100, "-")</f>
        <v>15.346376944366313</v>
      </c>
      <c r="DO6" s="452">
        <f>IFERROR(('Attainment 25+ by race &amp; gender'!AAW5/'Pop 25+ by race &amp; gender'!EW4)*100, "-")</f>
        <v>19.71391181500077</v>
      </c>
      <c r="DP6" s="452">
        <f>IFERROR(('Attainment 25+ by race &amp; gender'!ZZ5/'Pop 25+ by race &amp; gender'!DY4)*100, "-")</f>
        <v>53.166831555524766</v>
      </c>
      <c r="DQ6" s="452">
        <f>IFERROR(('Attainment 25+ by race &amp; gender'!AAY5/'Pop 25+ by race &amp; gender'!EX4)*100, "-")</f>
        <v>56.253561136500608</v>
      </c>
      <c r="DR6" s="452">
        <f>IFERROR(('Attainment 25+ by race &amp; gender'!AAA5/'Pop 25+ by race &amp; gender'!DZ4)*100, "-")</f>
        <v>9.5515026352135823</v>
      </c>
      <c r="DS6" s="452">
        <f>IFERROR(('Attainment 25+ by race &amp; gender'!AAZ5/'Pop 25+ by race &amp; gender'!EY4)*100, "-")</f>
        <v>16.868804906084524</v>
      </c>
      <c r="DT6" s="452">
        <f>IFERROR(('Attainment 25+ by race &amp; gender'!AAB5/'Pop 25+ by race &amp; gender'!EA4)*100, "-")</f>
        <v>14.60789728142198</v>
      </c>
      <c r="DU6" s="452">
        <f>IFERROR(('Attainment 25+ by race &amp; gender'!ABA5/'Pop 25+ by race &amp; gender'!EZ4)*100, "-")</f>
        <v>15.995021402955963</v>
      </c>
      <c r="DV6" s="452">
        <f>IFERROR(('Attainment 25+ by race &amp; gender'!AAC5/'Pop 25+ by race &amp; gender'!EB4)*100, "-")</f>
        <v>30.969253537908177</v>
      </c>
      <c r="DW6" s="452">
        <f>IFERROR(('Attainment 25+ by race &amp; gender'!ABB5/'Pop 25+ by race &amp; gender'!FA4)*100, "-")</f>
        <v>27.049971204810564</v>
      </c>
      <c r="DX6" s="452">
        <f>IFERROR(('Attainment 25+ by race &amp; gender'!AAD5/'Pop 25+ by race &amp; gender'!EC4)*100, "-")</f>
        <v>13.491727076886532</v>
      </c>
      <c r="DY6" s="452">
        <f>IFERROR(('Attainment 25+ by race &amp; gender'!ABC5/'Pop 25+ by race &amp; gender'!FB4)*100, "-")</f>
        <v>15.558176356135467</v>
      </c>
    </row>
    <row r="7" spans="1:129">
      <c r="A7" s="38" t="s">
        <v>6</v>
      </c>
      <c r="B7" s="351">
        <f>('Attainment 25+ by race &amp; gender'!FS6/'Pop 25+ by race &amp; gender'!AT5)*100</f>
        <v>80.569532699045396</v>
      </c>
      <c r="C7" s="447">
        <f>('Attainment 25+ by race &amp; gender'!GR6/'Pop 25+ by race &amp; gender'!CV5)*100</f>
        <v>85.541802157980413</v>
      </c>
      <c r="D7" s="352">
        <f>('Attainment 25+ by race &amp; gender'!FT6/'Pop 25+ by race &amp; gender'!AZ5)*100</f>
        <v>70.310366092414213</v>
      </c>
      <c r="E7" s="351">
        <f>('Attainment 25+ by race &amp; gender'!GS6/'Pop 25+ by race &amp; gender'!CW5)*100</f>
        <v>80.977607788446832</v>
      </c>
      <c r="F7" s="352">
        <f>('Attainment 25+ by race &amp; gender'!FU6/'Pop 25+ by race &amp; gender'!BC5)*100</f>
        <v>54.039511193341774</v>
      </c>
      <c r="G7" s="351">
        <f>('Attainment 25+ by race &amp; gender'!GT6/'Pop 25+ by race &amp; gender'!CY5)*100</f>
        <v>63.295976975880052</v>
      </c>
      <c r="H7" s="352">
        <f>('Attainment 25+ by race &amp; gender'!XM6/'Pop 25+ by race &amp; gender'!AT5)*100</f>
        <v>24.425925658618105</v>
      </c>
      <c r="I7" s="351">
        <f>('Attainment 25+ by race &amp; gender'!YW6/'Pop 25+ by race &amp; gender'!CV5)*100</f>
        <v>27.610705644329158</v>
      </c>
      <c r="J7" s="352">
        <f>('Attainment 25+ by race &amp; gender'!XS6/'Pop 25+ by race &amp; gender'!AZ5)*100</f>
        <v>13.659288013867435</v>
      </c>
      <c r="K7" s="351">
        <f>('Attainment 25+ by race &amp; gender'!YX6/'Pop 25+ by race &amp; gender'!CW5)*100</f>
        <v>17.58214932349556</v>
      </c>
      <c r="L7" s="352">
        <f>('Attainment 25+ by race &amp; gender'!XV6/'Pop 25+ by race &amp; gender'!BC5)*100</f>
        <v>12.339787736816387</v>
      </c>
      <c r="M7" s="436">
        <f>('Attainment 25+ by race &amp; gender'!YY6/'Pop 25+ by race &amp; gender'!CY5)*100</f>
        <v>14.615925884996573</v>
      </c>
      <c r="N7" s="351">
        <f>('Attainment 25+ by race &amp; gender'!FS6/'Pop 25+ by race &amp; gender'!AT5)*100</f>
        <v>80.569532699045396</v>
      </c>
      <c r="O7" s="447">
        <f>('Attainment 25+ by race &amp; gender'!GW6/'Pop 25+ by race &amp; gender'!DA5)*100</f>
        <v>89.036028877305512</v>
      </c>
      <c r="P7" s="352">
        <f>('Attainment 25+ by race &amp; gender'!FT6/'Pop 25+ by race &amp; gender'!AZ5)*100</f>
        <v>70.310366092414213</v>
      </c>
      <c r="Q7" s="351">
        <f>('Attainment 25+ by race &amp; gender'!GX6/'Pop 25+ by race &amp; gender'!DB5)*100</f>
        <v>81.633115846293663</v>
      </c>
      <c r="R7" s="352">
        <f>('Attainment 25+ by race &amp; gender'!FU6/'Pop 25+ by race &amp; gender'!BC5)*100</f>
        <v>54.039511193341774</v>
      </c>
      <c r="S7" s="351">
        <f>('Attainment 25+ by race &amp; gender'!GY6/'Pop 25+ by race &amp; gender'!DD5)*100</f>
        <v>64.274970652889806</v>
      </c>
      <c r="T7" s="352">
        <f>('Attainment 25+ by race &amp; gender'!XM6/'Pop 25+ by race &amp; gender'!AT5)*100</f>
        <v>24.425925658618105</v>
      </c>
      <c r="U7" s="351">
        <f>('Attainment 25+ by race &amp; gender'!ZB6/'Pop 25+ by race &amp; gender'!DA5)*100</f>
        <v>29.867974915484506</v>
      </c>
      <c r="V7" s="352">
        <f>('Attainment 25+ by race &amp; gender'!XS6/'Pop 25+ by race &amp; gender'!AZ5)*100</f>
        <v>13.659288013867435</v>
      </c>
      <c r="W7" s="351">
        <f>('Attainment 25+ by race &amp; gender'!ZC6/'Pop 25+ by race &amp; gender'!DB5)*100</f>
        <v>17.97164004526612</v>
      </c>
      <c r="X7" s="352">
        <f>('Attainment 25+ by race &amp; gender'!XV6/'Pop 25+ by race &amp; gender'!BC5)*100</f>
        <v>12.339787736816387</v>
      </c>
      <c r="Y7" s="437">
        <f>('Attainment 25+ by race &amp; gender'!ZD6/'Pop 25+ by race &amp; gender'!DD5)*100</f>
        <v>14.979325366426096</v>
      </c>
      <c r="Z7" s="351">
        <f>('Attainment 25+ by race &amp; gender'!FS6/'Pop 25+ by race &amp; gender'!AT5)*100</f>
        <v>80.569532699045396</v>
      </c>
      <c r="AA7" s="496">
        <f>('Attainment 25+ by race &amp; gender'!HB6/'Pop 25+ by race &amp; gender'!DF5)*100</f>
        <v>89.432906795313315</v>
      </c>
      <c r="AB7" s="352">
        <f>('Attainment 25+ by race &amp; gender'!FT6/'Pop 25+ by race &amp; gender'!AZ5)*100</f>
        <v>70.310366092414213</v>
      </c>
      <c r="AC7" s="351">
        <f>('Attainment 25+ by race &amp; gender'!HC6/'Pop 25+ by race &amp; gender'!DG5)*100</f>
        <v>82.346952851777885</v>
      </c>
      <c r="AD7" s="352">
        <f>('Attainment 25+ by race &amp; gender'!FU6/'Pop 25+ by race &amp; gender'!BC5)*100</f>
        <v>54.039511193341774</v>
      </c>
      <c r="AE7" s="351">
        <f>('Attainment 25+ by race &amp; gender'!HD6/'Pop 25+ by race &amp; gender'!DI5)*100</f>
        <v>65.150385358892763</v>
      </c>
      <c r="AF7" s="352">
        <f>('Attainment 25+ by race &amp; gender'!XM6/'Pop 25+ by race &amp; gender'!AT5)*100</f>
        <v>24.425925658618105</v>
      </c>
      <c r="AG7" s="351">
        <f>('Attainment 25+ by race &amp; gender'!ZG6/'Pop 25+ by race &amp; gender'!DF5)*100</f>
        <v>30.409869263448808</v>
      </c>
      <c r="AH7" s="352">
        <f>('Attainment 25+ by race &amp; gender'!XS6/'Pop 25+ by race &amp; gender'!AZ5)*100</f>
        <v>13.659288013867435</v>
      </c>
      <c r="AI7" s="351">
        <f>('Attainment 25+ by race &amp; gender'!ZH6/'Pop 25+ by race &amp; gender'!DG5)*100</f>
        <v>18.526861306189204</v>
      </c>
      <c r="AJ7" s="352">
        <f>('Attainment 25+ by race &amp; gender'!XV6/'Pop 25+ by race &amp; gender'!BC5)*100</f>
        <v>12.339787736816387</v>
      </c>
      <c r="AK7" s="453">
        <f>('Attainment 25+ by race &amp; gender'!ZI6/'Pop 25+ by race &amp; gender'!DI5)*100</f>
        <v>15.326762470760622</v>
      </c>
      <c r="AL7" s="352">
        <f>('Attainment 25+ by race &amp; gender'!FS6/'Pop 25+ by race &amp; gender'!AT5)*100</f>
        <v>80.569532699045396</v>
      </c>
      <c r="AM7" s="453">
        <f>('Attainment 25+ by race &amp; gender'!HL6/'Pop 25+ by race &amp; gender'!DP5)*100</f>
        <v>90.559855256293247</v>
      </c>
      <c r="AN7" s="516">
        <v>70.310366092414213</v>
      </c>
      <c r="AO7" s="453">
        <f>('Attainment 25+ by race &amp; gender'!HM6/'Pop 25+ by race &amp; gender'!DQ5)*100</f>
        <v>84.014292770727124</v>
      </c>
      <c r="AP7" s="453">
        <f>('Attainment 25+ by race &amp; gender'!FU6/'Pop 25+ by race &amp; gender'!BC5)*100</f>
        <v>54.039511193341774</v>
      </c>
      <c r="AQ7" s="453">
        <f>('Attainment 25+ by race &amp; gender'!HN6/'Pop 25+ by race &amp; gender'!DS5)*100</f>
        <v>67.184486098626579</v>
      </c>
      <c r="AR7" s="453">
        <f>('Attainment 25+ by race &amp; gender'!XM6/'Pop 25+ by race &amp; gender'!AT5)*100</f>
        <v>24.425925658618105</v>
      </c>
      <c r="AS7" s="453">
        <f>('Attainment 25+ by race &amp; gender'!ZQ6/'Pop 25+ by race &amp; gender'!DP5)*100</f>
        <v>32.102236845779771</v>
      </c>
      <c r="AT7" s="453">
        <f>('Attainment 25+ by race &amp; gender'!XS6/'Pop 25+ by race &amp; gender'!AZ5)*100</f>
        <v>13.659288013867435</v>
      </c>
      <c r="AU7" s="453">
        <f>('Attainment 25+ by race &amp; gender'!ZR6/'Pop 25+ by race &amp; gender'!DQ5)*100</f>
        <v>19.887960818022517</v>
      </c>
      <c r="AV7" s="453">
        <f>('Attainment 25+ by race &amp; gender'!XV6/'Pop 25+ by race &amp; gender'!BC5)*100</f>
        <v>12.339787736816387</v>
      </c>
      <c r="AW7" s="453">
        <f>('Attainment 25+ by race &amp; gender'!ZS6/'Pop 25+ by race &amp; gender'!DS5)*100</f>
        <v>16.603473404455947</v>
      </c>
      <c r="AX7" s="352">
        <f>('Attainment 25+ by race &amp; gender'!GR6/'Pop 25+ by race &amp; gender'!CV5)*100</f>
        <v>85.541802157980413</v>
      </c>
      <c r="AY7" s="453">
        <f>('Attainment 25+ by race &amp; gender'!HQ6/'Pop 25+ by race &amp; gender'!DU5)*100</f>
        <v>90.745033937509291</v>
      </c>
      <c r="AZ7" s="516">
        <f>('Attainment 25+ by race &amp; gender'!GS6/'Pop 25+ by race &amp; gender'!CW5)*100</f>
        <v>80.977607788446832</v>
      </c>
      <c r="BA7" s="453">
        <f>('Attainment 25+ by race &amp; gender'!HR6/'Pop 25+ by race &amp; gender'!DV5)*100</f>
        <v>84.623830413925134</v>
      </c>
      <c r="BB7" s="453">
        <f>('Attainment 25+ by race &amp; gender'!GT6/'Pop 25+ by race &amp; gender'!CY5)*100</f>
        <v>63.295976975880052</v>
      </c>
      <c r="BC7" s="453">
        <f>('Attainment 25+ by race &amp; gender'!HS6/'Pop 25+ by race &amp; gender'!DX5)*100</f>
        <v>68.274579955004441</v>
      </c>
      <c r="BD7" s="453">
        <f>('Attainment 25+ by race &amp; gender'!YW6/'Pop 25+ by race &amp; gender'!CV5)*100</f>
        <v>27.610705644329158</v>
      </c>
      <c r="BE7" s="453">
        <f>('Attainment 25+ by race &amp; gender'!ZV6/'Pop 25+ by race &amp; gender'!DU5)*100</f>
        <v>32.62921215546757</v>
      </c>
      <c r="BF7" s="453">
        <f>('Attainment 25+ by race &amp; gender'!YX6/'Pop 25+ by race &amp; gender'!CW5)*100</f>
        <v>17.58214932349556</v>
      </c>
      <c r="BG7" s="453">
        <f>('Attainment 25+ by race &amp; gender'!ZW6/'Pop 25+ by race &amp; gender'!DV5)*100</f>
        <v>20.579708471287994</v>
      </c>
      <c r="BH7" s="453">
        <f>('Attainment 25+ by race &amp; gender'!YY6/'Pop 25+ by race &amp; gender'!CY5)*100</f>
        <v>14.615925884996573</v>
      </c>
      <c r="BI7" s="453">
        <f>('Attainment 25+ by race &amp; gender'!ZX6/'Pop 25+ by race &amp; gender'!DX5)*100</f>
        <v>17.248426493653934</v>
      </c>
      <c r="BJ7" s="352">
        <f>('Attainment 25+ by race &amp; gender'!GW6/'Pop 25+ by race &amp; gender'!DA5)*100</f>
        <v>89.036028877305512</v>
      </c>
      <c r="BK7" s="453">
        <f>('Attainment 25+ by race &amp; gender'!IA6/'Pop 25+ by race &amp; gender'!EE5)*100</f>
        <v>91.357274710515313</v>
      </c>
      <c r="BL7" s="516">
        <f>('Attainment 25+ by race &amp; gender'!GX6/'Pop 25+ by race &amp; gender'!DB5)*100</f>
        <v>81.633115846293663</v>
      </c>
      <c r="BM7" s="453">
        <f>('Attainment 25+ by race &amp; gender'!IB6/'Pop 25+ by race &amp; gender'!EF5)*100</f>
        <v>85.503413383363934</v>
      </c>
      <c r="BN7" s="453">
        <f>('Attainment 25+ by race &amp; gender'!GY6/'Pop 25+ by race &amp; gender'!DD5)*100</f>
        <v>64.274970652889806</v>
      </c>
      <c r="BO7" s="453">
        <f>('Attainment 25+ by race &amp; gender'!IC6/'Pop 25+ by race &amp; gender'!EH5)*100</f>
        <v>69.711569355092834</v>
      </c>
      <c r="BP7" s="453">
        <f>('Attainment 25+ by race &amp; gender'!ZB6/'Pop 25+ by race &amp; gender'!DA5)*100</f>
        <v>29.867974915484506</v>
      </c>
      <c r="BQ7" s="453">
        <f>('Attainment 25+ by race &amp; gender'!AAF6/'Pop 25+ by race &amp; gender'!EE5)*100</f>
        <v>33.522169222228264</v>
      </c>
      <c r="BR7" s="453">
        <f>('Attainment 25+ by race &amp; gender'!ZC6/'Pop 25+ by race &amp; gender'!DB5)*100</f>
        <v>17.97164004526612</v>
      </c>
      <c r="BS7" s="453">
        <f>('Attainment 25+ by race &amp; gender'!AAG6/'Pop 25+ by race &amp; gender'!EF5)*100</f>
        <v>21.013039705746674</v>
      </c>
      <c r="BT7" s="453">
        <f>('Attainment 25+ by race &amp; gender'!ZD6/'Pop 25+ by race &amp; gender'!DD5)*100</f>
        <v>14.979325366426096</v>
      </c>
      <c r="BU7" s="453">
        <f>('Attainment 25+ by race &amp; gender'!AAH6/'Pop 25+ by race &amp; gender'!EH5)*100</f>
        <v>17.88338858250145</v>
      </c>
      <c r="BV7" s="352">
        <f>('Attainment 25+ by race &amp; gender'!HN6/'Pop 25+ by race &amp; gender'!DR5)*100</f>
        <v>121.8193705288175</v>
      </c>
      <c r="BW7" s="453">
        <f>('Attainment 25+ by race &amp; gender'!JB6/'Pop 25+ by race &amp; gender'!EQ5)*100</f>
        <v>3.1632036945781357</v>
      </c>
      <c r="BX7" s="516">
        <f>('Attainment 25+ by race &amp; gender'!HO6/'Pop 25+ by race &amp; gender'!DS5)*100</f>
        <v>41.990568688503537</v>
      </c>
      <c r="BY7" s="453">
        <f>('Attainment 25+ by race &amp; gender'!JC6/'Pop 25+ by race &amp; gender'!ER5)*100</f>
        <v>0.52970882042999368</v>
      </c>
      <c r="BZ7" s="453">
        <f>('Attainment 25+ by race &amp; gender'!HP6/'Pop 25+ by race &amp; gender'!DU5)*100</f>
        <v>138.78509329491712</v>
      </c>
      <c r="CA7" s="453">
        <f>('Attainment 25+ by race &amp; gender'!JD6/'Pop 25+ by race &amp; gender'!ET5)*100</f>
        <v>25.094895305045856</v>
      </c>
      <c r="CB7" s="453">
        <f>('Attainment 25+ by race &amp; gender'!ZS6/'Pop 25+ by race &amp; gender'!DR5)*100</f>
        <v>30.105531740669729</v>
      </c>
      <c r="CC7" s="453">
        <f>('Attainment 25+ by race &amp; gender'!ABB6/'Pop 25+ by race &amp; gender'!EQ5)*100</f>
        <v>34.798224426025179</v>
      </c>
      <c r="CD7" s="453">
        <f>('Attainment 25+ by race &amp; gender'!ZT6/'Pop 25+ by race &amp; gender'!DS5)*100</f>
        <v>18.201617486449958</v>
      </c>
      <c r="CE7" s="453">
        <f>('Attainment 25+ by race &amp; gender'!ABC6/'Pop 25+ by race &amp; gender'!ER5)*100</f>
        <v>5.2002062710575565</v>
      </c>
      <c r="CF7" s="453">
        <f>('Attainment 25+ by race &amp; gender'!ZU6/'Pop 25+ by race &amp; gender'!DU5)*100</f>
        <v>46.570268319509864</v>
      </c>
      <c r="CG7" s="453">
        <f>('Attainment 25+ by race &amp; gender'!ABD6/'Pop 25+ by race &amp; gender'!ET5)*100</f>
        <v>10.146952369232176</v>
      </c>
      <c r="CH7" s="352">
        <f>('Attainment 25+ by race &amp; gender'!HG6/'Pop 25+ by race &amp; gender'!DU5)*100</f>
        <v>88.882207843488658</v>
      </c>
      <c r="CI7" s="452">
        <f>('Attainment 25+ by race &amp; gender'!IK6/'Pop 25+ by race &amp; gender'!EO5)*100</f>
        <v>91.79564315995772</v>
      </c>
      <c r="CJ7" s="516">
        <f>('Attainment 25+ by race &amp; gender'!HH6/'Pop 25+ by race &amp; gender'!DL5)*100</f>
        <v>83.619750435138712</v>
      </c>
      <c r="CK7" s="453">
        <f>('Attainment 25+ by race &amp; gender'!IL6/'Pop 25+ by race &amp; gender'!EP5)*100</f>
        <v>86.764290629351862</v>
      </c>
      <c r="CL7" s="453">
        <f>('Attainment 25+ by race &amp; gender'!HI6/'Pop 25+ by race &amp; gender'!DN5)*100</f>
        <v>66.542554176589647</v>
      </c>
      <c r="CM7" s="453">
        <f>('Attainment 25+ by race &amp; gender'!IM6/'Pop 25+ by race &amp; gender'!ER5)*100</f>
        <v>70.995170767826664</v>
      </c>
      <c r="CN7" s="453">
        <f>('Attainment 25+ by race &amp; gender'!ZL6/'Pop 25+ by race &amp; gender'!DK5)*100</f>
        <v>31.408183396496199</v>
      </c>
      <c r="CO7" s="453">
        <f>('Attainment 25+ by race &amp; gender'!AAP6/'Pop 25+ by race &amp; gender'!EO5)*100</f>
        <v>34.534332159085182</v>
      </c>
      <c r="CP7" s="453">
        <f>('Attainment 25+ by race &amp; gender'!ZM6/'Pop 25+ by race &amp; gender'!DL5)*100</f>
        <v>19.240215117657939</v>
      </c>
      <c r="CQ7" s="453">
        <f>('Attainment 25+ by race &amp; gender'!AAQ6/'Pop 25+ by race &amp; gender'!EP5)*100</f>
        <v>22.359145511507929</v>
      </c>
      <c r="CR7" s="453">
        <f>('Attainment 25+ by race &amp; gender'!ZN6/'Pop 25+ by race &amp; gender'!DN5)*100</f>
        <v>16.063876577163541</v>
      </c>
      <c r="CS7" s="453">
        <f>('Attainment 25+ by race &amp; gender'!AAR6/'Pop 25+ by race &amp; gender'!ER5)*100</f>
        <v>19.470656035203916</v>
      </c>
      <c r="CT7" s="350">
        <f>IFERROR(('Attainment 25+ by race &amp; gender'!HQ6/'Pop 25+ by race &amp; gender'!DU5)*100,"-")</f>
        <v>90.745033937509291</v>
      </c>
      <c r="CU7" s="452">
        <f>IFERROR(('Attainment 25+ by race &amp; gender'!IP6/'Pop 25+ by race &amp; gender'!ET5)*100,"-")</f>
        <v>92.825056754905219</v>
      </c>
      <c r="CV7" s="350">
        <f>IFERROR(('Attainment 25+ by race &amp; gender'!HR6/'Pop 25+ by race &amp; gender'!DV5)*100,"-")</f>
        <v>84.623830413925134</v>
      </c>
      <c r="CW7" s="452">
        <f>IFERROR(('Attainment 25+ by race &amp; gender'!IQ6/'Pop 25+ by race &amp; gender'!EU5)*100, "-")</f>
        <v>87.801541356036964</v>
      </c>
      <c r="CX7" s="452">
        <f>IFERROR(('Attainment 25+ by race &amp; gender'!HS6/'Pop 25+ by race &amp; gender'!DX5)*100, "-")</f>
        <v>68.274579955004441</v>
      </c>
      <c r="CY7" s="452">
        <f>IFERROR(('Attainment 25+ by race &amp; gender'!IR6/'Pop 25+ by race &amp; gender'!EW5)*100, "-")</f>
        <v>73.258368980584194</v>
      </c>
      <c r="CZ7" s="452">
        <f>IFERROR(('Attainment 25+ by race &amp; gender'!HU6/'Pop 25+ by race &amp; gender'!DY5)*100, "-")</f>
        <v>87.467447869702028</v>
      </c>
      <c r="DA7" s="452">
        <f>IFERROR(('Attainment 25+ by race &amp; gender'!IT6/'Pop 25+ by race &amp; gender'!EX5)*100, "-")</f>
        <v>88.203708073068668</v>
      </c>
      <c r="DB7" s="452">
        <f>IFERROR(('Attainment 25+ by race &amp; gender'!HV6/'Pop 25+ by race &amp; gender'!DZ5)*100, "-")</f>
        <v>84.66660667686493</v>
      </c>
      <c r="DC7" s="452">
        <f>IFERROR(('Attainment 25+ by race &amp; gender'!IU6/'Pop 25+ by race &amp; gender'!EY5)*100, "-")</f>
        <v>83.988903904971906</v>
      </c>
      <c r="DD7" s="452">
        <f>IFERROR(('Attainment 25+ by race &amp; gender'!HW6/'Pop 25+ by race &amp; gender'!EA5)*100, "-")</f>
        <v>79.708597699888543</v>
      </c>
      <c r="DE7" s="452">
        <f>IFERROR(('Attainment 25+ by race &amp; gender'!IV6/'Pop 25+ by race &amp; gender'!EZ5)*100, "-")</f>
        <v>75.707447223267536</v>
      </c>
      <c r="DF7" s="452">
        <f>IFERROR(('Attainment 25+ by race &amp; gender'!HX6/'Pop 25+ by race &amp; gender'!EB5)*100, "-")</f>
        <v>76.985515640470084</v>
      </c>
      <c r="DG7" s="452">
        <f>IFERROR(('Attainment 25+ by race &amp; gender'!IW6/'Pop 25+ by race &amp; gender'!FA5)*100, "-")</f>
        <v>79.881382325296897</v>
      </c>
      <c r="DH7" s="452">
        <f>IFERROR(('Attainment 25+ by race &amp; gender'!HY6/'Pop 25+ by race &amp; gender'!EC5)*100, "-")</f>
        <v>61.020031948328636</v>
      </c>
      <c r="DI7" s="452">
        <f>IFERROR(('Attainment 25+ by race &amp; gender'!IX6/'Pop 25+ by race &amp; gender'!FB5)*100, "-")</f>
        <v>66.474975890384741</v>
      </c>
      <c r="DJ7" s="452">
        <f>IFERROR(('Attainment 25+ by race &amp; gender'!ZV6/'Pop 25+ by race &amp; gender'!DU5)*100, "-")</f>
        <v>32.62921215546757</v>
      </c>
      <c r="DK7" s="452">
        <f>IFERROR(('Attainment 25+ by race &amp; gender'!AAU6/'Pop 25+ by race &amp; gender'!ET5)*100, "-")</f>
        <v>36.852621888924233</v>
      </c>
      <c r="DL7" s="452">
        <f>IFERROR(('Attainment 25+ by race &amp; gender'!ZW6/'Pop 25+ by race &amp; gender'!DV5)*100, "-")</f>
        <v>20.579708471287994</v>
      </c>
      <c r="DM7" s="452">
        <f>IFERROR(('Attainment 25+ by race &amp; gender'!AAV6/'Pop 25+ by race &amp; gender'!EU5)*100, "-")</f>
        <v>24.691608510476311</v>
      </c>
      <c r="DN7" s="452">
        <f>IFERROR(('Attainment 25+ by race &amp; gender'!ZX6/'Pop 25+ by race &amp; gender'!DX5)*100, "-")</f>
        <v>17.248426493653934</v>
      </c>
      <c r="DO7" s="452">
        <f>IFERROR(('Attainment 25+ by race &amp; gender'!AAW6/'Pop 25+ by race &amp; gender'!EW5)*100, "-")</f>
        <v>21.582100014908772</v>
      </c>
      <c r="DP7" s="452">
        <f>IFERROR(('Attainment 25+ by race &amp; gender'!ZZ6/'Pop 25+ by race &amp; gender'!DY5)*100, "-")</f>
        <v>55.744179570896193</v>
      </c>
      <c r="DQ7" s="452">
        <f>IFERROR(('Attainment 25+ by race &amp; gender'!AAY6/'Pop 25+ by race &amp; gender'!EX5)*100, "-")</f>
        <v>59.278627044345377</v>
      </c>
      <c r="DR7" s="452">
        <f>IFERROR(('Attainment 25+ by race &amp; gender'!AAA6/'Pop 25+ by race &amp; gender'!DZ5)*100, "-")</f>
        <v>11.497045502264616</v>
      </c>
      <c r="DS7" s="452">
        <f>IFERROR(('Attainment 25+ by race &amp; gender'!AAZ6/'Pop 25+ by race &amp; gender'!EY5)*100, "-")</f>
        <v>26.356782132441854</v>
      </c>
      <c r="DT7" s="452">
        <f>IFERROR(('Attainment 25+ by race &amp; gender'!AAB6/'Pop 25+ by race &amp; gender'!EA5)*100, "-")</f>
        <v>16.739569478371077</v>
      </c>
      <c r="DU7" s="452">
        <f>IFERROR(('Attainment 25+ by race &amp; gender'!ABA6/'Pop 25+ by race &amp; gender'!EZ5)*100, "-")</f>
        <v>18.572121138153499</v>
      </c>
      <c r="DV7" s="452">
        <f>IFERROR(('Attainment 25+ by race &amp; gender'!AAC6/'Pop 25+ by race &amp; gender'!EB5)*100, "-")</f>
        <v>25.923334328978271</v>
      </c>
      <c r="DW7" s="452">
        <f>IFERROR(('Attainment 25+ by race &amp; gender'!ABB6/'Pop 25+ by race &amp; gender'!FA5)*100, "-")</f>
        <v>26.849974167433839</v>
      </c>
      <c r="DX7" s="452">
        <f>IFERROR(('Attainment 25+ by race &amp; gender'!AAD6/'Pop 25+ by race &amp; gender'!EC5)*100, "-")</f>
        <v>12.52204079289446</v>
      </c>
      <c r="DY7" s="452">
        <f>IFERROR(('Attainment 25+ by race &amp; gender'!ABC6/'Pop 25+ by race &amp; gender'!FB5)*100, "-")</f>
        <v>16.654568781107777</v>
      </c>
    </row>
    <row r="8" spans="1:129">
      <c r="A8" s="141"/>
      <c r="B8" s="351"/>
      <c r="C8" s="445"/>
      <c r="D8" s="352"/>
      <c r="E8" s="351"/>
      <c r="F8" s="352"/>
      <c r="G8" s="351"/>
      <c r="H8" s="352"/>
      <c r="I8" s="351"/>
      <c r="J8" s="352"/>
      <c r="K8" s="351"/>
      <c r="L8" s="352"/>
      <c r="M8" s="437"/>
      <c r="N8" s="351"/>
      <c r="O8" s="445"/>
      <c r="P8" s="352"/>
      <c r="Q8" s="351"/>
      <c r="R8" s="352"/>
      <c r="S8" s="351"/>
      <c r="T8" s="352"/>
      <c r="U8" s="351"/>
      <c r="V8" s="352"/>
      <c r="W8" s="351"/>
      <c r="X8" s="352"/>
      <c r="Y8" s="437"/>
      <c r="Z8" s="351"/>
      <c r="AA8" s="445"/>
      <c r="AB8" s="352"/>
      <c r="AC8" s="351"/>
      <c r="AD8" s="352"/>
      <c r="AE8" s="351"/>
      <c r="AF8" s="352"/>
      <c r="AG8" s="351"/>
      <c r="AH8" s="352"/>
      <c r="AI8" s="351"/>
      <c r="AJ8" s="352"/>
      <c r="AK8" s="453"/>
      <c r="AL8" s="352"/>
      <c r="AM8" s="453"/>
      <c r="AN8" s="517"/>
      <c r="AO8" s="453"/>
      <c r="AP8" s="453"/>
      <c r="AQ8" s="453"/>
      <c r="AR8" s="453"/>
      <c r="AS8" s="453"/>
      <c r="AT8" s="453"/>
      <c r="AU8" s="453"/>
      <c r="AV8" s="453"/>
      <c r="AW8" s="453"/>
      <c r="AX8" s="352"/>
      <c r="AY8" s="453"/>
      <c r="AZ8" s="517"/>
      <c r="BA8" s="453"/>
      <c r="BB8" s="453"/>
      <c r="BC8" s="453"/>
      <c r="BD8" s="453"/>
      <c r="BE8" s="453"/>
      <c r="BF8" s="453"/>
      <c r="BG8" s="453"/>
      <c r="BH8" s="453"/>
      <c r="BI8" s="453"/>
      <c r="BJ8" s="352"/>
      <c r="BK8" s="453"/>
      <c r="BL8" s="517"/>
      <c r="BM8" s="453"/>
      <c r="BN8" s="453"/>
      <c r="BO8" s="453"/>
      <c r="BP8" s="453"/>
      <c r="BQ8" s="453"/>
      <c r="BR8" s="453"/>
      <c r="BS8" s="453"/>
      <c r="BT8" s="453"/>
      <c r="BU8" s="453"/>
      <c r="BV8" s="352"/>
      <c r="BW8" s="453"/>
      <c r="BX8" s="517"/>
      <c r="BY8" s="453"/>
      <c r="BZ8" s="453"/>
      <c r="CA8" s="453"/>
      <c r="CB8" s="453"/>
      <c r="CC8" s="453"/>
      <c r="CD8" s="453"/>
      <c r="CE8" s="453"/>
      <c r="CF8" s="453"/>
      <c r="CG8" s="453"/>
      <c r="CH8" s="352"/>
      <c r="CI8" s="453"/>
      <c r="CJ8" s="517"/>
      <c r="CK8" s="453"/>
      <c r="CL8" s="453"/>
      <c r="CM8" s="453"/>
      <c r="CN8" s="453"/>
      <c r="CO8" s="453"/>
      <c r="CP8" s="453"/>
      <c r="CQ8" s="453"/>
      <c r="CR8" s="453"/>
      <c r="CS8" s="453"/>
      <c r="CT8" s="350" t="str">
        <f>IFERROR(('Attainment 25+ by race &amp; gender'!HQ7/'Pop 25+ by race &amp; gender'!DU6)*100,"-")</f>
        <v>-</v>
      </c>
      <c r="CU8" s="452" t="str">
        <f>IFERROR(('Attainment 25+ by race &amp; gender'!IP7/'Pop 25+ by race &amp; gender'!ET6)*100,"-")</f>
        <v>-</v>
      </c>
      <c r="CV8" s="350" t="str">
        <f>IFERROR(('Attainment 25+ by race &amp; gender'!HR7/'Pop 25+ by race &amp; gender'!DV6)*100,"-")</f>
        <v>-</v>
      </c>
      <c r="CW8" s="452" t="str">
        <f>IFERROR(('Attainment 25+ by race &amp; gender'!IQ7/'Pop 25+ by race &amp; gender'!EU6)*100, "-")</f>
        <v>-</v>
      </c>
      <c r="CX8" s="452" t="str">
        <f>IFERROR(('Attainment 25+ by race &amp; gender'!HS7/'Pop 25+ by race &amp; gender'!DX6)*100, "-")</f>
        <v>-</v>
      </c>
      <c r="CY8" s="452" t="str">
        <f>IFERROR(('Attainment 25+ by race &amp; gender'!IR7/'Pop 25+ by race &amp; gender'!EW6)*100, "-")</f>
        <v>-</v>
      </c>
      <c r="CZ8" s="452" t="str">
        <f>IFERROR(('Attainment 25+ by race &amp; gender'!HU7/'Pop 25+ by race &amp; gender'!DY6)*100, "-")</f>
        <v>-</v>
      </c>
      <c r="DA8" s="452" t="str">
        <f>IFERROR(('Attainment 25+ by race &amp; gender'!IT7/'Pop 25+ by race &amp; gender'!EX6)*100, "-")</f>
        <v>-</v>
      </c>
      <c r="DB8" s="452" t="str">
        <f>IFERROR(('Attainment 25+ by race &amp; gender'!HV7/'Pop 25+ by race &amp; gender'!DZ6)*100, "-")</f>
        <v>-</v>
      </c>
      <c r="DC8" s="452" t="str">
        <f>IFERROR(('Attainment 25+ by race &amp; gender'!IU7/'Pop 25+ by race &amp; gender'!EY6)*100, "-")</f>
        <v>-</v>
      </c>
      <c r="DD8" s="452" t="str">
        <f>IFERROR(('Attainment 25+ by race &amp; gender'!HW7/'Pop 25+ by race &amp; gender'!EA6)*100, "-")</f>
        <v>-</v>
      </c>
      <c r="DE8" s="452" t="str">
        <f>IFERROR(('Attainment 25+ by race &amp; gender'!IV7/'Pop 25+ by race &amp; gender'!EZ6)*100, "-")</f>
        <v>-</v>
      </c>
      <c r="DF8" s="452" t="str">
        <f>IFERROR(('Attainment 25+ by race &amp; gender'!HX7/'Pop 25+ by race &amp; gender'!EB6)*100, "-")</f>
        <v>-</v>
      </c>
      <c r="DG8" s="452" t="str">
        <f>IFERROR(('Attainment 25+ by race &amp; gender'!IW7/'Pop 25+ by race &amp; gender'!FA6)*100, "-")</f>
        <v>-</v>
      </c>
      <c r="DH8" s="452" t="str">
        <f>IFERROR(('Attainment 25+ by race &amp; gender'!HY7/'Pop 25+ by race &amp; gender'!EC6)*100, "-")</f>
        <v>-</v>
      </c>
      <c r="DI8" s="452" t="str">
        <f>IFERROR(('Attainment 25+ by race &amp; gender'!IX7/'Pop 25+ by race &amp; gender'!FB6)*100, "-")</f>
        <v>-</v>
      </c>
      <c r="DJ8" s="452" t="str">
        <f>IFERROR(('Attainment 25+ by race &amp; gender'!ZV7/'Pop 25+ by race &amp; gender'!DU6)*100, "-")</f>
        <v>-</v>
      </c>
      <c r="DK8" s="452" t="str">
        <f>IFERROR(('Attainment 25+ by race &amp; gender'!AAU7/'Pop 25+ by race &amp; gender'!ET6)*100, "-")</f>
        <v>-</v>
      </c>
      <c r="DL8" s="452" t="str">
        <f>IFERROR(('Attainment 25+ by race &amp; gender'!ZW7/'Pop 25+ by race &amp; gender'!DV6)*100, "-")</f>
        <v>-</v>
      </c>
      <c r="DM8" s="452" t="str">
        <f>IFERROR(('Attainment 25+ by race &amp; gender'!AAV7/'Pop 25+ by race &amp; gender'!EU6)*100, "-")</f>
        <v>-</v>
      </c>
      <c r="DN8" s="452" t="str">
        <f>IFERROR(('Attainment 25+ by race &amp; gender'!ZX7/'Pop 25+ by race &amp; gender'!DX6)*100, "-")</f>
        <v>-</v>
      </c>
      <c r="DO8" s="452" t="str">
        <f>IFERROR(('Attainment 25+ by race &amp; gender'!AAW7/'Pop 25+ by race &amp; gender'!EW6)*100, "-")</f>
        <v>-</v>
      </c>
      <c r="DP8" s="452" t="str">
        <f>IFERROR(('Attainment 25+ by race &amp; gender'!ZZ7/'Pop 25+ by race &amp; gender'!DY6)*100, "-")</f>
        <v>-</v>
      </c>
      <c r="DQ8" s="452" t="str">
        <f>IFERROR(('Attainment 25+ by race &amp; gender'!AAY7/'Pop 25+ by race &amp; gender'!EX6)*100, "-")</f>
        <v>-</v>
      </c>
      <c r="DR8" s="452" t="str">
        <f>IFERROR(('Attainment 25+ by race &amp; gender'!AAA7/'Pop 25+ by race &amp; gender'!DZ6)*100, "-")</f>
        <v>-</v>
      </c>
      <c r="DS8" s="452" t="str">
        <f>IFERROR(('Attainment 25+ by race &amp; gender'!AAZ7/'Pop 25+ by race &amp; gender'!EY6)*100, "-")</f>
        <v>-</v>
      </c>
      <c r="DT8" s="452" t="str">
        <f>IFERROR(('Attainment 25+ by race &amp; gender'!AAB7/'Pop 25+ by race &amp; gender'!EA6)*100, "-")</f>
        <v>-</v>
      </c>
      <c r="DU8" s="452" t="str">
        <f>IFERROR(('Attainment 25+ by race &amp; gender'!ABA7/'Pop 25+ by race &amp; gender'!EZ6)*100, "-")</f>
        <v>-</v>
      </c>
      <c r="DV8" s="452" t="str">
        <f>IFERROR(('Attainment 25+ by race &amp; gender'!AAC7/'Pop 25+ by race &amp; gender'!EB6)*100, "-")</f>
        <v>-</v>
      </c>
      <c r="DW8" s="452" t="str">
        <f>IFERROR(('Attainment 25+ by race &amp; gender'!ABB7/'Pop 25+ by race &amp; gender'!FA6)*100, "-")</f>
        <v>-</v>
      </c>
      <c r="DX8" s="452" t="str">
        <f>IFERROR(('Attainment 25+ by race &amp; gender'!AAD7/'Pop 25+ by race &amp; gender'!EC6)*100, "-")</f>
        <v>-</v>
      </c>
      <c r="DY8" s="452" t="str">
        <f>IFERROR(('Attainment 25+ by race &amp; gender'!ABC7/'Pop 25+ by race &amp; gender'!FB6)*100, "-")</f>
        <v>-</v>
      </c>
    </row>
    <row r="9" spans="1:129">
      <c r="A9" s="38" t="s">
        <v>8</v>
      </c>
      <c r="B9" s="351">
        <f>('Attainment 25+ by race &amp; gender'!FS8/'Pop 25+ by race &amp; gender'!AT7)*100</f>
        <v>77.954608435661143</v>
      </c>
      <c r="C9" s="445">
        <f>('Attainment 25+ by race &amp; gender'!GR8/'Pop 25+ by race &amp; gender'!CV7)*100</f>
        <v>83.999999999999986</v>
      </c>
      <c r="D9" s="352">
        <f>('Attainment 25+ by race &amp; gender'!FT8/'Pop 25+ by race &amp; gender'!AZ7)*100</f>
        <v>66.93303592485465</v>
      </c>
      <c r="E9" s="351">
        <f>('Attainment 25+ by race &amp; gender'!GS8/'Pop 25+ by race &amp; gender'!CW7)*100</f>
        <v>78.199999999999989</v>
      </c>
      <c r="F9" s="352">
        <f>('Attainment 25+ by race &amp; gender'!FU8/'Pop 25+ by race &amp; gender'!BC7)*100</f>
        <v>56.931425752343365</v>
      </c>
      <c r="G9" s="351">
        <f>('Attainment 25+ by race &amp; gender'!GT8/'Pop 25+ by race &amp; gender'!CY7)*100</f>
        <v>53.400000000000006</v>
      </c>
      <c r="H9" s="352">
        <f>('Attainment 25+ by race &amp; gender'!XM8/'Pop 25+ by race &amp; gender'!AT7)*100</f>
        <v>21.190036395923137</v>
      </c>
      <c r="I9" s="351">
        <f>('Attainment 25+ by race &amp; gender'!YW8/'Pop 25+ by race &amp; gender'!CV7)*100</f>
        <v>24.4</v>
      </c>
      <c r="J9" s="352">
        <f>('Attainment 25+ by race &amp; gender'!XS8/'Pop 25+ by race &amp; gender'!AZ7)*100</f>
        <v>11.502161333956147</v>
      </c>
      <c r="K9" s="351">
        <f>('Attainment 25+ by race &amp; gender'!YX8/'Pop 25+ by race &amp; gender'!CW7)*100</f>
        <v>14.500000000000002</v>
      </c>
      <c r="L9" s="352">
        <f>('Attainment 25+ by race &amp; gender'!XV8/'Pop 25+ by race &amp; gender'!BC7)*100</f>
        <v>14.580935153209451</v>
      </c>
      <c r="M9" s="437">
        <f>('Attainment 25+ by race &amp; gender'!YY8/'Pop 25+ by race &amp; gender'!CY7)*100</f>
        <v>11.799999999999999</v>
      </c>
      <c r="N9" s="351">
        <f>('Attainment 25+ by race &amp; gender'!FS8/'Pop 25+ by race &amp; gender'!AT7)*100</f>
        <v>77.954608435661143</v>
      </c>
      <c r="O9" s="445">
        <f>('Attainment 25+ by race &amp; gender'!GW8/'Pop 25+ by race &amp; gender'!DA7)*100</f>
        <v>85.504221864025027</v>
      </c>
      <c r="P9" s="352">
        <f>('Attainment 25+ by race &amp; gender'!FT8/'Pop 25+ by race &amp; gender'!AZ7)*100</f>
        <v>66.93303592485465</v>
      </c>
      <c r="Q9" s="351">
        <f>('Attainment 25+ by race &amp; gender'!GX8/'Pop 25+ by race &amp; gender'!DB7)*100</f>
        <v>78.82799522425249</v>
      </c>
      <c r="R9" s="352">
        <f>('Attainment 25+ by race &amp; gender'!FU8/'Pop 25+ by race &amp; gender'!BC7)*100</f>
        <v>56.931425752343365</v>
      </c>
      <c r="S9" s="351">
        <f>('Attainment 25+ by race &amp; gender'!GY8/'Pop 25+ by race &amp; gender'!DD7)*100</f>
        <v>55.287991163010886</v>
      </c>
      <c r="T9" s="352">
        <f>('Attainment 25+ by race &amp; gender'!XM8/'Pop 25+ by race &amp; gender'!AT7)*100</f>
        <v>21.190036395923137</v>
      </c>
      <c r="U9" s="351">
        <f>('Attainment 25+ by race &amp; gender'!ZB8/'Pop 25+ by race &amp; gender'!DA7)*100</f>
        <v>25.132500346929408</v>
      </c>
      <c r="V9" s="352">
        <f>('Attainment 25+ by race &amp; gender'!XS8/'Pop 25+ by race &amp; gender'!AZ7)*100</f>
        <v>11.502161333956147</v>
      </c>
      <c r="W9" s="351">
        <f>('Attainment 25+ by race &amp; gender'!ZC8/'Pop 25+ by race &amp; gender'!DB7)*100</f>
        <v>14.876193936877078</v>
      </c>
      <c r="X9" s="352">
        <f>('Attainment 25+ by race &amp; gender'!XV8/'Pop 25+ by race &amp; gender'!BC7)*100</f>
        <v>14.580935153209451</v>
      </c>
      <c r="Y9" s="437">
        <f>('Attainment 25+ by race &amp; gender'!ZD8/'Pop 25+ by race &amp; gender'!DD7)*100</f>
        <v>11.888906422597444</v>
      </c>
      <c r="Z9" s="351">
        <f>('Attainment 25+ by race &amp; gender'!FS8/'Pop 25+ by race &amp; gender'!AT7)*100</f>
        <v>77.954608435661143</v>
      </c>
      <c r="AA9" s="445">
        <f>('Attainment 25+ by race &amp; gender'!HB8/'Pop 25+ by race &amp; gender'!DF7)*100</f>
        <v>86.107168322342517</v>
      </c>
      <c r="AB9" s="352">
        <f>('Attainment 25+ by race &amp; gender'!FT8/'Pop 25+ by race &amp; gender'!AZ7)*100</f>
        <v>66.93303592485465</v>
      </c>
      <c r="AC9" s="351">
        <f>('Attainment 25+ by race &amp; gender'!HC8/'Pop 25+ by race &amp; gender'!DG7)*100</f>
        <v>79.728813472261109</v>
      </c>
      <c r="AD9" s="352">
        <f>('Attainment 25+ by race &amp; gender'!FU8/'Pop 25+ by race &amp; gender'!BC7)*100</f>
        <v>56.931425752343365</v>
      </c>
      <c r="AE9" s="351">
        <f>('Attainment 25+ by race &amp; gender'!HD8/'Pop 25+ by race &amp; gender'!DI7)*100</f>
        <v>59.936941560958232</v>
      </c>
      <c r="AF9" s="352">
        <f>('Attainment 25+ by race &amp; gender'!XM8/'Pop 25+ by race &amp; gender'!AT7)*100</f>
        <v>21.190036395923137</v>
      </c>
      <c r="AG9" s="351">
        <f>('Attainment 25+ by race &amp; gender'!ZG8/'Pop 25+ by race &amp; gender'!DF7)*100</f>
        <v>25.586628620909242</v>
      </c>
      <c r="AH9" s="352">
        <f>('Attainment 25+ by race &amp; gender'!XS8/'Pop 25+ by race &amp; gender'!AZ7)*100</f>
        <v>11.502161333956147</v>
      </c>
      <c r="AI9" s="351">
        <f>('Attainment 25+ by race &amp; gender'!ZH8/'Pop 25+ by race &amp; gender'!DG7)*100</f>
        <v>15.501986578077526</v>
      </c>
      <c r="AJ9" s="352">
        <f>('Attainment 25+ by race &amp; gender'!XV8/'Pop 25+ by race &amp; gender'!BC7)*100</f>
        <v>14.580935153209451</v>
      </c>
      <c r="AK9" s="453">
        <f>('Attainment 25+ by race &amp; gender'!ZI8/'Pop 25+ by race &amp; gender'!DI7)*100</f>
        <v>13.047440476813977</v>
      </c>
      <c r="AL9" s="352">
        <f>('Attainment 25+ by race &amp; gender'!FS8/'Pop 25+ by race &amp; gender'!AT7)*100</f>
        <v>77.954608435661143</v>
      </c>
      <c r="AM9" s="453">
        <f>('Attainment 25+ by race &amp; gender'!HL8/'Pop 25+ by race &amp; gender'!DP7)*100</f>
        <v>87.256536161305291</v>
      </c>
      <c r="AN9" s="517">
        <v>66.93303592485465</v>
      </c>
      <c r="AO9" s="453">
        <f>('Attainment 25+ by race &amp; gender'!HM8/'Pop 25+ by race &amp; gender'!DQ7)*100</f>
        <v>81.536758746164722</v>
      </c>
      <c r="AP9" s="453">
        <f>('Attainment 25+ by race &amp; gender'!FU8/'Pop 25+ by race &amp; gender'!BC7)*100</f>
        <v>56.931425752343365</v>
      </c>
      <c r="AQ9" s="453">
        <f>('Attainment 25+ by race &amp; gender'!HN8/'Pop 25+ by race &amp; gender'!DS7)*100</f>
        <v>57.395581457829579</v>
      </c>
      <c r="AR9" s="453">
        <f>('Attainment 25+ by race &amp; gender'!XM8/'Pop 25+ by race &amp; gender'!AT7)*100</f>
        <v>21.190036395923137</v>
      </c>
      <c r="AS9" s="453">
        <f>('Attainment 25+ by race &amp; gender'!ZQ8/'Pop 25+ by race &amp; gender'!DP7)*100</f>
        <v>26.984404101939642</v>
      </c>
      <c r="AT9" s="453">
        <f>('Attainment 25+ by race &amp; gender'!XS8/'Pop 25+ by race &amp; gender'!AZ7)*100</f>
        <v>11.502161333956147</v>
      </c>
      <c r="AU9" s="453">
        <f>('Attainment 25+ by race &amp; gender'!ZR8/'Pop 25+ by race &amp; gender'!DQ7)*100</f>
        <v>16.308257770355478</v>
      </c>
      <c r="AV9" s="453">
        <f>('Attainment 25+ by race &amp; gender'!XV8/'Pop 25+ by race &amp; gender'!BC7)*100</f>
        <v>14.580935153209451</v>
      </c>
      <c r="AW9" s="453">
        <f>('Attainment 25+ by race &amp; gender'!ZS8/'Pop 25+ by race &amp; gender'!DS7)*100</f>
        <v>12.874325748651497</v>
      </c>
      <c r="AX9" s="352">
        <f>('Attainment 25+ by race &amp; gender'!GR8/'Pop 25+ by race &amp; gender'!CV7)*100</f>
        <v>83.999999999999986</v>
      </c>
      <c r="AY9" s="453">
        <f>('Attainment 25+ by race &amp; gender'!HQ8/'Pop 25+ by race &amp; gender'!DU7)*100</f>
        <v>87.352960348017362</v>
      </c>
      <c r="AZ9" s="517">
        <f>('Attainment 25+ by race &amp; gender'!GS8/'Pop 25+ by race &amp; gender'!CW7)*100</f>
        <v>78.199999999999989</v>
      </c>
      <c r="BA9" s="453">
        <f>('Attainment 25+ by race &amp; gender'!HR8/'Pop 25+ by race &amp; gender'!DV7)*100</f>
        <v>81.952391214336402</v>
      </c>
      <c r="BB9" s="453">
        <f>('Attainment 25+ by race &amp; gender'!GT8/'Pop 25+ by race &amp; gender'!CY7)*100</f>
        <v>53.400000000000006</v>
      </c>
      <c r="BC9" s="453">
        <f>('Attainment 25+ by race &amp; gender'!HS8/'Pop 25+ by race &amp; gender'!DX7)*100</f>
        <v>58.296452298833032</v>
      </c>
      <c r="BD9" s="453">
        <f>('Attainment 25+ by race &amp; gender'!YW8/'Pop 25+ by race &amp; gender'!CV7)*100</f>
        <v>24.4</v>
      </c>
      <c r="BE9" s="453">
        <f>('Attainment 25+ by race &amp; gender'!ZV8/'Pop 25+ by race &amp; gender'!DU7)*100</f>
        <v>27.250976983310021</v>
      </c>
      <c r="BF9" s="453">
        <f>('Attainment 25+ by race &amp; gender'!YX8/'Pop 25+ by race &amp; gender'!CW7)*100</f>
        <v>14.500000000000002</v>
      </c>
      <c r="BG9" s="453">
        <f>('Attainment 25+ by race &amp; gender'!ZW8/'Pop 25+ by race &amp; gender'!DV7)*100</f>
        <v>17.641304532060019</v>
      </c>
      <c r="BH9" s="453">
        <f>('Attainment 25+ by race &amp; gender'!YY8/'Pop 25+ by race &amp; gender'!CY7)*100</f>
        <v>11.799999999999999</v>
      </c>
      <c r="BI9" s="453">
        <f>('Attainment 25+ by race &amp; gender'!ZX8/'Pop 25+ by race &amp; gender'!DX7)*100</f>
        <v>12.951601908657123</v>
      </c>
      <c r="BJ9" s="352">
        <f>('Attainment 25+ by race &amp; gender'!GW8/'Pop 25+ by race &amp; gender'!DA7)*100</f>
        <v>85.504221864025027</v>
      </c>
      <c r="BK9" s="453">
        <f>('Attainment 25+ by race &amp; gender'!IA8/'Pop 25+ by race &amp; gender'!EE7)*100</f>
        <v>88.667509539247661</v>
      </c>
      <c r="BL9" s="517">
        <f>('Attainment 25+ by race &amp; gender'!GX8/'Pop 25+ by race &amp; gender'!DB7)*100</f>
        <v>78.82799522425249</v>
      </c>
      <c r="BM9" s="453">
        <f>('Attainment 25+ by race &amp; gender'!IB8/'Pop 25+ by race &amp; gender'!EF7)*100</f>
        <v>83.138296722952774</v>
      </c>
      <c r="BN9" s="453">
        <f>('Attainment 25+ by race &amp; gender'!GY8/'Pop 25+ by race &amp; gender'!DD7)*100</f>
        <v>55.287991163010886</v>
      </c>
      <c r="BO9" s="453">
        <f>('Attainment 25+ by race &amp; gender'!IC8/'Pop 25+ by race &amp; gender'!EH7)*100</f>
        <v>64.484104152064532</v>
      </c>
      <c r="BP9" s="453">
        <f>('Attainment 25+ by race &amp; gender'!ZB8/'Pop 25+ by race &amp; gender'!DA7)*100</f>
        <v>25.132500346929408</v>
      </c>
      <c r="BQ9" s="453">
        <f>('Attainment 25+ by race &amp; gender'!AAF8/'Pop 25+ by race &amp; gender'!EE7)*100</f>
        <v>28.634253004540039</v>
      </c>
      <c r="BR9" s="453">
        <f>('Attainment 25+ by race &amp; gender'!ZC8/'Pop 25+ by race &amp; gender'!DB7)*100</f>
        <v>14.876193936877078</v>
      </c>
      <c r="BS9" s="453">
        <f>('Attainment 25+ by race &amp; gender'!AAG8/'Pop 25+ by race &amp; gender'!EF7)*100</f>
        <v>16.850298797367603</v>
      </c>
      <c r="BT9" s="453">
        <f>('Attainment 25+ by race &amp; gender'!ZD8/'Pop 25+ by race &amp; gender'!DD7)*100</f>
        <v>11.888906422597444</v>
      </c>
      <c r="BU9" s="453">
        <f>('Attainment 25+ by race &amp; gender'!AAH8/'Pop 25+ by race &amp; gender'!EH7)*100</f>
        <v>17.283007814543211</v>
      </c>
      <c r="BV9" s="352">
        <f>('Attainment 25+ by race &amp; gender'!HN8/'Pop 25+ by race &amp; gender'!DR7)*100</f>
        <v>46.070519147665536</v>
      </c>
      <c r="BW9" s="453">
        <f>('Attainment 25+ by race &amp; gender'!JB8/'Pop 25+ by race &amp; gender'!EQ7)*100</f>
        <v>1.2898065290206469</v>
      </c>
      <c r="BX9" s="517">
        <f>('Attainment 25+ by race &amp; gender'!HO8/'Pop 25+ by race &amp; gender'!DS7)*100</f>
        <v>93.46622026577387</v>
      </c>
      <c r="BY9" s="453">
        <f>('Attainment 25+ by race &amp; gender'!JC8/'Pop 25+ by race &amp; gender'!ER7)*100</f>
        <v>1.3436493824787352</v>
      </c>
      <c r="BZ9" s="453">
        <f>('Attainment 25+ by race &amp; gender'!HP8/'Pop 25+ by race &amp; gender'!DU7)*100</f>
        <v>122.88658594150219</v>
      </c>
      <c r="CA9" s="453">
        <f>('Attainment 25+ by race &amp; gender'!JD8/'Pop 25+ by race &amp; gender'!ET7)*100</f>
        <v>23.727386597553668</v>
      </c>
      <c r="CB9" s="453">
        <f>('Attainment 25+ by race &amp; gender'!ZS8/'Pop 25+ by race &amp; gender'!DR7)*100</f>
        <v>10.334016240471787</v>
      </c>
      <c r="CC9" s="453">
        <f>('Attainment 25+ by race &amp; gender'!ABB8/'Pop 25+ by race &amp; gender'!EQ7)*100</f>
        <v>24.511323301504774</v>
      </c>
      <c r="CD9" s="453">
        <f>('Attainment 25+ by race &amp; gender'!ZT8/'Pop 25+ by race &amp; gender'!DS7)*100</f>
        <v>35.89393845454358</v>
      </c>
      <c r="CE9" s="453">
        <f>('Attainment 25+ by race &amp; gender'!ABC8/'Pop 25+ by race &amp; gender'!ER7)*100</f>
        <v>7.6553414388005185</v>
      </c>
      <c r="CF9" s="453">
        <f>('Attainment 25+ by race &amp; gender'!ZU8/'Pop 25+ by race &amp; gender'!DU7)*100</f>
        <v>35.676766280393885</v>
      </c>
      <c r="CG9" s="453">
        <f>('Attainment 25+ by race &amp; gender'!ABD8/'Pop 25+ by race &amp; gender'!ET7)*100</f>
        <v>8.4806314134357113</v>
      </c>
      <c r="CH9" s="352">
        <f>('Attainment 25+ by race &amp; gender'!HG8/'Pop 25+ by race &amp; gender'!DK7)*100</f>
        <v>87.286019837922012</v>
      </c>
      <c r="CI9" s="452">
        <f>('Attainment 25+ by race &amp; gender'!IK8/'Pop 25+ by race &amp; gender'!EO7)*100</f>
        <v>89.079873257497127</v>
      </c>
      <c r="CJ9" s="517">
        <f>('Attainment 25+ by race &amp; gender'!HH8/'Pop 25+ by race &amp; gender'!DL7)*100</f>
        <v>80.576892208184887</v>
      </c>
      <c r="CK9" s="453">
        <f>('Attainment 25+ by race &amp; gender'!IL8/'Pop 25+ by race &amp; gender'!EP7)*100</f>
        <v>85.065196935071924</v>
      </c>
      <c r="CL9" s="453">
        <f>('Attainment 25+ by race &amp; gender'!HI8/'Pop 25+ by race &amp; gender'!DN7)*100</f>
        <v>58.574072583889915</v>
      </c>
      <c r="CM9" s="453">
        <f>('Attainment 25+ by race &amp; gender'!IM8/'Pop 25+ by race &amp; gender'!ER7)*100</f>
        <v>61.279254168869237</v>
      </c>
      <c r="CN9" s="453">
        <f>('Attainment 25+ by race &amp; gender'!ZL8/'Pop 25+ by race &amp; gender'!DK7)*100</f>
        <v>26.0956123521132</v>
      </c>
      <c r="CO9" s="453">
        <f>('Attainment 25+ by race &amp; gender'!AAP8/'Pop 25+ by race &amp; gender'!EO7)*100</f>
        <v>28.774696373263371</v>
      </c>
      <c r="CP9" s="453">
        <f>('Attainment 25+ by race &amp; gender'!ZM8/'Pop 25+ by race &amp; gender'!DL7)*100</f>
        <v>15.623946215459197</v>
      </c>
      <c r="CQ9" s="453">
        <f>('Attainment 25+ by race &amp; gender'!AAQ8/'Pop 25+ by race &amp; gender'!EP7)*100</f>
        <v>19.213077961624109</v>
      </c>
      <c r="CR9" s="453">
        <f>('Attainment 25+ by race &amp; gender'!ZN8/'Pop 25+ by race &amp; gender'!DN7)*100</f>
        <v>16.240846543815884</v>
      </c>
      <c r="CS9" s="453">
        <f>('Attainment 25+ by race &amp; gender'!AAR8/'Pop 25+ by race &amp; gender'!ER7)*100</f>
        <v>16.415012734874331</v>
      </c>
      <c r="CT9" s="350">
        <f>IFERROR(('Attainment 25+ by race &amp; gender'!HQ8/'Pop 25+ by race &amp; gender'!DU7)*100,"-")</f>
        <v>87.352960348017362</v>
      </c>
      <c r="CU9" s="452">
        <f>IFERROR(('Attainment 25+ by race &amp; gender'!IP8/'Pop 25+ by race &amp; gender'!ET7)*100,"-")</f>
        <v>90.023225328553949</v>
      </c>
      <c r="CV9" s="350">
        <f>IFERROR(('Attainment 25+ by race &amp; gender'!HR8/'Pop 25+ by race &amp; gender'!DV7)*100,"-")</f>
        <v>81.952391214336402</v>
      </c>
      <c r="CW9" s="452">
        <f>IFERROR(('Attainment 25+ by race &amp; gender'!IQ8/'Pop 25+ by race &amp; gender'!EU7)*100, "-")</f>
        <v>84.966699281990202</v>
      </c>
      <c r="CX9" s="452">
        <f>IFERROR(('Attainment 25+ by race &amp; gender'!HS8/'Pop 25+ by race &amp; gender'!DX7)*100, "-")</f>
        <v>58.296452298833032</v>
      </c>
      <c r="CY9" s="452">
        <f>IFERROR(('Attainment 25+ by race &amp; gender'!IR8/'Pop 25+ by race &amp; gender'!EW7)*100, "-")</f>
        <v>67.465825817361889</v>
      </c>
      <c r="CZ9" s="452">
        <f>IFERROR(('Attainment 25+ by race &amp; gender'!HU8/'Pop 25+ by race &amp; gender'!DY7)*100, "-")</f>
        <v>85.75754708053374</v>
      </c>
      <c r="DA9" s="452">
        <f>IFERROR(('Attainment 25+ by race &amp; gender'!IT8/'Pop 25+ by race &amp; gender'!EX7)*100, "-")</f>
        <v>86.418046946448541</v>
      </c>
      <c r="DB9" s="452" t="str">
        <f>IFERROR(('Attainment 25+ by race &amp; gender'!HV8/'Pop 25+ by race &amp; gender'!DZ7)*100, "-")</f>
        <v>-</v>
      </c>
      <c r="DC9" s="452" t="str">
        <f>IFERROR(('Attainment 25+ by race &amp; gender'!IU8/'Pop 25+ by race &amp; gender'!EY7)*100, "-")</f>
        <v>-</v>
      </c>
      <c r="DD9" s="452">
        <f>IFERROR(('Attainment 25+ by race &amp; gender'!HW8/'Pop 25+ by race &amp; gender'!EA7)*100, "-")</f>
        <v>80.039931545921277</v>
      </c>
      <c r="DE9" s="452">
        <f>IFERROR(('Attainment 25+ by race &amp; gender'!IV8/'Pop 25+ by race &amp; gender'!EZ7)*100, "-")</f>
        <v>78.615695740100463</v>
      </c>
      <c r="DF9" s="452">
        <f>IFERROR(('Attainment 25+ by race &amp; gender'!HX8/'Pop 25+ by race &amp; gender'!EB7)*100, "-")</f>
        <v>85.918244233144691</v>
      </c>
      <c r="DG9" s="452">
        <f>IFERROR(('Attainment 25+ by race &amp; gender'!IW8/'Pop 25+ by race &amp; gender'!FA7)*100, "-")</f>
        <v>84.395263815126299</v>
      </c>
      <c r="DH9" s="452">
        <f>IFERROR(('Attainment 25+ by race &amp; gender'!HY8/'Pop 25+ by race &amp; gender'!EC7)*100, "-")</f>
        <v>49.91097581988398</v>
      </c>
      <c r="DI9" s="452">
        <f>IFERROR(('Attainment 25+ by race &amp; gender'!IX8/'Pop 25+ by race &amp; gender'!FB7)*100, "-")</f>
        <v>61.6690510252742</v>
      </c>
      <c r="DJ9" s="452">
        <f>IFERROR(('Attainment 25+ by race &amp; gender'!ZV8/'Pop 25+ by race &amp; gender'!DU7)*100, "-")</f>
        <v>27.250976983310021</v>
      </c>
      <c r="DK9" s="452">
        <f>IFERROR(('Attainment 25+ by race &amp; gender'!AAU8/'Pop 25+ by race &amp; gender'!ET7)*100, "-")</f>
        <v>30.365766774491405</v>
      </c>
      <c r="DL9" s="452">
        <f>IFERROR(('Attainment 25+ by race &amp; gender'!ZW8/'Pop 25+ by race &amp; gender'!DV7)*100, "-")</f>
        <v>17.641304532060019</v>
      </c>
      <c r="DM9" s="452">
        <f>IFERROR(('Attainment 25+ by race &amp; gender'!AAV8/'Pop 25+ by race &amp; gender'!EU7)*100, "-")</f>
        <v>18.743293769527831</v>
      </c>
      <c r="DN9" s="452">
        <f>IFERROR(('Attainment 25+ by race &amp; gender'!ZX8/'Pop 25+ by race &amp; gender'!DX7)*100, "-")</f>
        <v>12.951601908657123</v>
      </c>
      <c r="DO9" s="452">
        <f>IFERROR(('Attainment 25+ by race &amp; gender'!AAW8/'Pop 25+ by race &amp; gender'!EW7)*100, "-")</f>
        <v>19.537415445321308</v>
      </c>
      <c r="DP9" s="452">
        <f>IFERROR(('Attainment 25+ by race &amp; gender'!ZZ8/'Pop 25+ by race &amp; gender'!DY7)*100, "-")</f>
        <v>48.516608308886155</v>
      </c>
      <c r="DQ9" s="452">
        <f>IFERROR(('Attainment 25+ by race &amp; gender'!AAY8/'Pop 25+ by race &amp; gender'!EX7)*100, "-")</f>
        <v>60.453205975002547</v>
      </c>
      <c r="DR9" s="452" t="str">
        <f>IFERROR(('Attainment 25+ by race &amp; gender'!AAA8/'Pop 25+ by race &amp; gender'!DZ7)*100, "-")</f>
        <v>-</v>
      </c>
      <c r="DS9" s="452" t="str">
        <f>IFERROR(('Attainment 25+ by race &amp; gender'!AAZ8/'Pop 25+ by race &amp; gender'!EY7)*100, "-")</f>
        <v>-</v>
      </c>
      <c r="DT9" s="452">
        <f>IFERROR(('Attainment 25+ by race &amp; gender'!AAB8/'Pop 25+ by race &amp; gender'!EA7)*100, "-")</f>
        <v>18.853394181403306</v>
      </c>
      <c r="DU9" s="452">
        <f>IFERROR(('Attainment 25+ by race &amp; gender'!ABA8/'Pop 25+ by race &amp; gender'!EZ7)*100, "-")</f>
        <v>19.538130341183376</v>
      </c>
      <c r="DV9" s="452">
        <f>IFERROR(('Attainment 25+ by race &amp; gender'!AAC8/'Pop 25+ by race &amp; gender'!EB7)*100, "-")</f>
        <v>29.513659475453164</v>
      </c>
      <c r="DW9" s="452">
        <f>IFERROR(('Attainment 25+ by race &amp; gender'!ABB8/'Pop 25+ by race &amp; gender'!FA7)*100, "-")</f>
        <v>25.81807513502941</v>
      </c>
      <c r="DX9" s="452">
        <f>IFERROR(('Attainment 25+ by race &amp; gender'!AAD8/'Pop 25+ by race &amp; gender'!EC7)*100, "-")</f>
        <v>11.420940784561484</v>
      </c>
      <c r="DY9" s="452">
        <f>IFERROR(('Attainment 25+ by race &amp; gender'!ABC8/'Pop 25+ by race &amp; gender'!FB7)*100, "-")</f>
        <v>15.193133047210299</v>
      </c>
    </row>
    <row r="10" spans="1:129">
      <c r="A10" s="38" t="s">
        <v>9</v>
      </c>
      <c r="B10" s="351">
        <f>('Attainment 25+ by race &amp; gender'!FS9/'Pop 25+ by race &amp; gender'!AT8)*100</f>
        <v>77.452166907168575</v>
      </c>
      <c r="C10" s="445">
        <f>('Attainment 25+ by race &amp; gender'!GR9/'Pop 25+ by race &amp; gender'!CV8)*100</f>
        <v>84.7</v>
      </c>
      <c r="D10" s="352">
        <f>('Attainment 25+ by race &amp; gender'!FT9/'Pop 25+ by race &amp; gender'!AZ8)*100</f>
        <v>65.774719561032811</v>
      </c>
      <c r="E10" s="351">
        <f>('Attainment 25+ by race &amp; gender'!GS9/'Pop 25+ by race &amp; gender'!CW8)*100</f>
        <v>78.799999999999983</v>
      </c>
      <c r="F10" s="352">
        <f>('Attainment 25+ by race &amp; gender'!FU9/'Pop 25+ by race &amp; gender'!BC8)*100</f>
        <v>41.240410804867686</v>
      </c>
      <c r="G10" s="351">
        <f>('Attainment 25+ by race &amp; gender'!GT9/'Pop 25+ by race &amp; gender'!CY8)*100</f>
        <v>48.9</v>
      </c>
      <c r="H10" s="352">
        <f>('Attainment 25+ by race &amp; gender'!XM9/'Pop 25+ by race &amp; gender'!AT8)*100</f>
        <v>17.771970940257386</v>
      </c>
      <c r="I10" s="351">
        <f>('Attainment 25+ by race &amp; gender'!YW9/'Pop 25+ by race &amp; gender'!CV8)*100</f>
        <v>20.7</v>
      </c>
      <c r="J10" s="352">
        <f>('Attainment 25+ by race &amp; gender'!XS9/'Pop 25+ by race &amp; gender'!AZ8)*100</f>
        <v>10.22103236940505</v>
      </c>
      <c r="K10" s="351">
        <f>('Attainment 25+ by race &amp; gender'!YX9/'Pop 25+ by race &amp; gender'!CW8)*100</f>
        <v>13.100000000000001</v>
      </c>
      <c r="L10" s="352">
        <f>('Attainment 25+ by race &amp; gender'!XV9/'Pop 25+ by race &amp; gender'!BC8)*100</f>
        <v>7.1066243534321201</v>
      </c>
      <c r="M10" s="437">
        <f>('Attainment 25+ by race &amp; gender'!YY9/'Pop 25+ by race &amp; gender'!CY8)*100</f>
        <v>8.7999999999999989</v>
      </c>
      <c r="N10" s="351">
        <f>('Attainment 25+ by race &amp; gender'!FS9/'Pop 25+ by race &amp; gender'!AT8)*100</f>
        <v>77.452166907168575</v>
      </c>
      <c r="O10" s="445">
        <f>('Attainment 25+ by race &amp; gender'!GW9/'Pop 25+ by race &amp; gender'!DA8)*100</f>
        <v>86.511217357388048</v>
      </c>
      <c r="P10" s="352">
        <f>('Attainment 25+ by race &amp; gender'!FT9/'Pop 25+ by race &amp; gender'!AZ8)*100</f>
        <v>65.774719561032811</v>
      </c>
      <c r="Q10" s="351">
        <f>('Attainment 25+ by race &amp; gender'!GX9/'Pop 25+ by race &amp; gender'!DB8)*100</f>
        <v>79.71247492622075</v>
      </c>
      <c r="R10" s="352">
        <f>('Attainment 25+ by race &amp; gender'!FU9/'Pop 25+ by race &amp; gender'!BC8)*100</f>
        <v>41.240410804867686</v>
      </c>
      <c r="S10" s="351">
        <f>('Attainment 25+ by race &amp; gender'!GY9/'Pop 25+ by race &amp; gender'!DD8)*100</f>
        <v>50.053289090569479</v>
      </c>
      <c r="T10" s="352">
        <f>('Attainment 25+ by race &amp; gender'!XM9/'Pop 25+ by race &amp; gender'!AT8)*100</f>
        <v>17.771970940257386</v>
      </c>
      <c r="U10" s="351">
        <f>('Attainment 25+ by race &amp; gender'!ZB9/'Pop 25+ by race &amp; gender'!DA8)*100</f>
        <v>21.776715753498991</v>
      </c>
      <c r="V10" s="352">
        <f>('Attainment 25+ by race &amp; gender'!XS9/'Pop 25+ by race &amp; gender'!AZ8)*100</f>
        <v>10.22103236940505</v>
      </c>
      <c r="W10" s="351">
        <f>('Attainment 25+ by race &amp; gender'!ZC9/'Pop 25+ by race &amp; gender'!DB8)*100</f>
        <v>13.594733296862383</v>
      </c>
      <c r="X10" s="352">
        <f>('Attainment 25+ by race &amp; gender'!XV9/'Pop 25+ by race &amp; gender'!BC8)*100</f>
        <v>7.1066243534321201</v>
      </c>
      <c r="Y10" s="437">
        <f>('Attainment 25+ by race &amp; gender'!ZD9/'Pop 25+ by race &amp; gender'!DD8)*100</f>
        <v>8.991023260413348</v>
      </c>
      <c r="Z10" s="351">
        <f>('Attainment 25+ by race &amp; gender'!FS9/'Pop 25+ by race &amp; gender'!AT8)*100</f>
        <v>77.452166907168575</v>
      </c>
      <c r="AA10" s="445">
        <f>('Attainment 25+ by race &amp; gender'!HB9/'Pop 25+ by race &amp; gender'!DF8)*100</f>
        <v>86.949968140724167</v>
      </c>
      <c r="AB10" s="352">
        <f>('Attainment 25+ by race &amp; gender'!FT9/'Pop 25+ by race &amp; gender'!AZ8)*100</f>
        <v>65.774719561032811</v>
      </c>
      <c r="AC10" s="351">
        <f>('Attainment 25+ by race &amp; gender'!HC9/'Pop 25+ by race &amp; gender'!DG8)*100</f>
        <v>80.159896363468121</v>
      </c>
      <c r="AD10" s="352">
        <f>('Attainment 25+ by race &amp; gender'!FU9/'Pop 25+ by race &amp; gender'!BC8)*100</f>
        <v>41.240410804867686</v>
      </c>
      <c r="AE10" s="351">
        <f>('Attainment 25+ by race &amp; gender'!HD9/'Pop 25+ by race &amp; gender'!DI8)*100</f>
        <v>52.078371029278472</v>
      </c>
      <c r="AF10" s="352">
        <f>('Attainment 25+ by race &amp; gender'!XM9/'Pop 25+ by race &amp; gender'!AT8)*100</f>
        <v>17.771970940257386</v>
      </c>
      <c r="AG10" s="351">
        <f>('Attainment 25+ by race &amp; gender'!ZG9/'Pop 25+ by race &amp; gender'!DF8)*100</f>
        <v>22.299261954118705</v>
      </c>
      <c r="AH10" s="352">
        <f>('Attainment 25+ by race &amp; gender'!XS9/'Pop 25+ by race &amp; gender'!AZ8)*100</f>
        <v>10.22103236940505</v>
      </c>
      <c r="AI10" s="351">
        <f>('Attainment 25+ by race &amp; gender'!ZH9/'Pop 25+ by race &amp; gender'!DG8)*100</f>
        <v>13.92949014527621</v>
      </c>
      <c r="AJ10" s="352">
        <f>('Attainment 25+ by race &amp; gender'!XV9/'Pop 25+ by race &amp; gender'!BC8)*100</f>
        <v>7.1066243534321201</v>
      </c>
      <c r="AK10" s="453">
        <f>('Attainment 25+ by race &amp; gender'!ZI9/'Pop 25+ by race &amp; gender'!DI8)*100</f>
        <v>8.5558904744840962</v>
      </c>
      <c r="AL10" s="352">
        <f>('Attainment 25+ by race &amp; gender'!FS9/'Pop 25+ by race &amp; gender'!AT8)*100</f>
        <v>77.452166907168575</v>
      </c>
      <c r="AM10" s="453">
        <f>('Attainment 25+ by race &amp; gender'!HL9/'Pop 25+ by race &amp; gender'!DP8)*100</f>
        <v>88.325136762999392</v>
      </c>
      <c r="AN10" s="517">
        <v>65.774719561032811</v>
      </c>
      <c r="AO10" s="453">
        <f>('Attainment 25+ by race &amp; gender'!HM9/'Pop 25+ by race &amp; gender'!DQ8)*100</f>
        <v>80.477941176470594</v>
      </c>
      <c r="AP10" s="453">
        <f>('Attainment 25+ by race &amp; gender'!FU9/'Pop 25+ by race &amp; gender'!BC8)*100</f>
        <v>41.240410804867686</v>
      </c>
      <c r="AQ10" s="453">
        <f>('Attainment 25+ by race &amp; gender'!HN9/'Pop 25+ by race &amp; gender'!DS8)*100</f>
        <v>54.934151000301604</v>
      </c>
      <c r="AR10" s="453">
        <f>('Attainment 25+ by race &amp; gender'!XM9/'Pop 25+ by race &amp; gender'!AT8)*100</f>
        <v>17.771970940257386</v>
      </c>
      <c r="AS10" s="453">
        <f>('Attainment 25+ by race &amp; gender'!ZQ9/'Pop 25+ by race &amp; gender'!DP8)*100</f>
        <v>23.547809354166599</v>
      </c>
      <c r="AT10" s="453">
        <f>('Attainment 25+ by race &amp; gender'!XS9/'Pop 25+ by race &amp; gender'!AZ8)*100</f>
        <v>10.22103236940505</v>
      </c>
      <c r="AU10" s="453">
        <f>('Attainment 25+ by race &amp; gender'!ZR9/'Pop 25+ by race &amp; gender'!DQ8)*100</f>
        <v>13.667632918552036</v>
      </c>
      <c r="AV10" s="453">
        <f>('Attainment 25+ by race &amp; gender'!XV9/'Pop 25+ by race &amp; gender'!BC8)*100</f>
        <v>7.1066243534321201</v>
      </c>
      <c r="AW10" s="453">
        <f>('Attainment 25+ by race &amp; gender'!ZS9/'Pop 25+ by race &amp; gender'!DS8)*100</f>
        <v>9.7396199859254047</v>
      </c>
      <c r="AX10" s="352">
        <f>('Attainment 25+ by race &amp; gender'!GR9/'Pop 25+ by race &amp; gender'!CV8)*100</f>
        <v>84.7</v>
      </c>
      <c r="AY10" s="453">
        <f>('Attainment 25+ by race &amp; gender'!HQ9/'Pop 25+ by race &amp; gender'!DU8)*100</f>
        <v>88.558746457725604</v>
      </c>
      <c r="AZ10" s="517">
        <f>('Attainment 25+ by race &amp; gender'!GS9/'Pop 25+ by race &amp; gender'!CW8)*100</f>
        <v>78.799999999999983</v>
      </c>
      <c r="BA10" s="453">
        <f>('Attainment 25+ by race &amp; gender'!HR9/'Pop 25+ by race &amp; gender'!DV8)*100</f>
        <v>82.502972124137202</v>
      </c>
      <c r="BB10" s="453">
        <f>('Attainment 25+ by race &amp; gender'!GT9/'Pop 25+ by race &amp; gender'!CY8)*100</f>
        <v>48.9</v>
      </c>
      <c r="BC10" s="453">
        <f>('Attainment 25+ by race &amp; gender'!HS9/'Pop 25+ by race &amp; gender'!DX8)*100</f>
        <v>56.286014138333897</v>
      </c>
      <c r="BD10" s="453">
        <f>('Attainment 25+ by race &amp; gender'!YW9/'Pop 25+ by race &amp; gender'!CV8)*100</f>
        <v>20.7</v>
      </c>
      <c r="BE10" s="453">
        <f>('Attainment 25+ by race &amp; gender'!ZV9/'Pop 25+ by race &amp; gender'!DU8)*100</f>
        <v>23.998274726961881</v>
      </c>
      <c r="BF10" s="453">
        <f>('Attainment 25+ by race &amp; gender'!YX9/'Pop 25+ by race &amp; gender'!CW8)*100</f>
        <v>13.100000000000001</v>
      </c>
      <c r="BG10" s="453">
        <f>('Attainment 25+ by race &amp; gender'!ZW9/'Pop 25+ by race &amp; gender'!DV8)*100</f>
        <v>16.002271235161558</v>
      </c>
      <c r="BH10" s="453">
        <f>('Attainment 25+ by race &amp; gender'!YY9/'Pop 25+ by race &amp; gender'!CY8)*100</f>
        <v>8.7999999999999989</v>
      </c>
      <c r="BI10" s="453">
        <f>('Attainment 25+ by race &amp; gender'!ZX9/'Pop 25+ by race &amp; gender'!DX8)*100</f>
        <v>9.6473337161640362</v>
      </c>
      <c r="BJ10" s="352">
        <f>('Attainment 25+ by race &amp; gender'!GW9/'Pop 25+ by race &amp; gender'!DA8)*100</f>
        <v>86.511217357388048</v>
      </c>
      <c r="BK10" s="453">
        <f>('Attainment 25+ by race &amp; gender'!IA9/'Pop 25+ by race &amp; gender'!EE8)*100</f>
        <v>89.627863109499032</v>
      </c>
      <c r="BL10" s="517">
        <f>('Attainment 25+ by race &amp; gender'!GX9/'Pop 25+ by race &amp; gender'!DB8)*100</f>
        <v>79.71247492622075</v>
      </c>
      <c r="BM10" s="453">
        <f>('Attainment 25+ by race &amp; gender'!IB9/'Pop 25+ by race &amp; gender'!EF8)*100</f>
        <v>83.298566403636869</v>
      </c>
      <c r="BN10" s="453">
        <f>('Attainment 25+ by race &amp; gender'!GY9/'Pop 25+ by race &amp; gender'!DD8)*100</f>
        <v>50.053289090569479</v>
      </c>
      <c r="BO10" s="453">
        <f>('Attainment 25+ by race &amp; gender'!IC9/'Pop 25+ by race &amp; gender'!EH8)*100</f>
        <v>57.497293059029985</v>
      </c>
      <c r="BP10" s="453">
        <f>('Attainment 25+ by race &amp; gender'!ZB9/'Pop 25+ by race &amp; gender'!DA8)*100</f>
        <v>21.776715753498991</v>
      </c>
      <c r="BQ10" s="453">
        <f>('Attainment 25+ by race &amp; gender'!AAF9/'Pop 25+ by race &amp; gender'!EE8)*100</f>
        <v>25.357963739842361</v>
      </c>
      <c r="BR10" s="453">
        <f>('Attainment 25+ by race &amp; gender'!ZC9/'Pop 25+ by race &amp; gender'!DB8)*100</f>
        <v>13.594733296862383</v>
      </c>
      <c r="BS10" s="453">
        <f>('Attainment 25+ by race &amp; gender'!AAG9/'Pop 25+ by race &amp; gender'!EF8)*100</f>
        <v>15.784665626056496</v>
      </c>
      <c r="BT10" s="453">
        <f>('Attainment 25+ by race &amp; gender'!ZD9/'Pop 25+ by race &amp; gender'!DD8)*100</f>
        <v>8.991023260413348</v>
      </c>
      <c r="BU10" s="453">
        <f>('Attainment 25+ by race &amp; gender'!AAH9/'Pop 25+ by race &amp; gender'!EH8)*100</f>
        <v>11.039652018071164</v>
      </c>
      <c r="BV10" s="352">
        <f>('Attainment 25+ by race &amp; gender'!HN9/'Pop 25+ by race &amp; gender'!DR8)*100</f>
        <v>55.742236911902722</v>
      </c>
      <c r="BW10" s="453">
        <f>('Attainment 25+ by race &amp; gender'!JB9/'Pop 25+ by race &amp; gender'!EQ8)*100</f>
        <v>0.79585076708507674</v>
      </c>
      <c r="BX10" s="517">
        <f>('Attainment 25+ by race &amp; gender'!HO9/'Pop 25+ by race &amp; gender'!DS8)*100</f>
        <v>72.952649039911535</v>
      </c>
      <c r="BY10" s="453">
        <f>('Attainment 25+ by race &amp; gender'!JC9/'Pop 25+ by race &amp; gender'!ER8)*100</f>
        <v>1.1229855810008482</v>
      </c>
      <c r="BZ10" s="453">
        <f>('Attainment 25+ by race &amp; gender'!HP9/'Pop 25+ by race &amp; gender'!DU8)*100</f>
        <v>111.2987168444418</v>
      </c>
      <c r="CA10" s="453">
        <f>('Attainment 25+ by race &amp; gender'!JD9/'Pop 25+ by race &amp; gender'!ET8)*100</f>
        <v>20.510004023753652</v>
      </c>
      <c r="CB10" s="453">
        <f>('Attainment 25+ by race &amp; gender'!ZS9/'Pop 25+ by race &amp; gender'!DR8)*100</f>
        <v>9.882890602684947</v>
      </c>
      <c r="CC10" s="453">
        <f>('Attainment 25+ by race &amp; gender'!ABB9/'Pop 25+ by race &amp; gender'!EQ8)*100</f>
        <v>24.766387726638772</v>
      </c>
      <c r="CD10" s="453">
        <f>('Attainment 25+ by race &amp; gender'!ZT9/'Pop 25+ by race &amp; gender'!DS8)*100</f>
        <v>25.619784859756713</v>
      </c>
      <c r="CE10" s="453">
        <f>('Attainment 25+ by race &amp; gender'!ABC9/'Pop 25+ by race &amp; gender'!ER8)*100</f>
        <v>4.6386768447837152</v>
      </c>
      <c r="CF10" s="453">
        <f>('Attainment 25+ by race &amp; gender'!ZU9/'Pop 25+ by race &amp; gender'!DU8)*100</f>
        <v>29.003908537108984</v>
      </c>
      <c r="CG10" s="453">
        <f>('Attainment 25+ by race &amp; gender'!ABD9/'Pop 25+ by race &amp; gender'!ET8)*100</f>
        <v>6.6163067342513244</v>
      </c>
      <c r="CH10" s="352">
        <f>('Attainment 25+ by race &amp; gender'!HG9/'Pop 25+ by race &amp; gender'!DK8)*100</f>
        <v>87.868161042052193</v>
      </c>
      <c r="CI10" s="452">
        <f>('Attainment 25+ by race &amp; gender'!IK9/'Pop 25+ by race &amp; gender'!EO8)*100</f>
        <v>89.867907322301747</v>
      </c>
      <c r="CJ10" s="517">
        <f>('Attainment 25+ by race &amp; gender'!HH9/'Pop 25+ by race &amp; gender'!DL8)*100</f>
        <v>83.053301701133492</v>
      </c>
      <c r="CK10" s="453">
        <f>('Attainment 25+ by race &amp; gender'!IL9/'Pop 25+ by race &amp; gender'!EP8)*100</f>
        <v>86.89530488138935</v>
      </c>
      <c r="CL10" s="453">
        <f>('Attainment 25+ by race &amp; gender'!HI9/'Pop 25+ by race &amp; gender'!DN8)*100</f>
        <v>51.7390864995958</v>
      </c>
      <c r="CM10" s="453">
        <f>('Attainment 25+ by race &amp; gender'!IM9/'Pop 25+ by race &amp; gender'!ER8)*100</f>
        <v>58.69211195928753</v>
      </c>
      <c r="CN10" s="453">
        <f>('Attainment 25+ by race &amp; gender'!ZL9/'Pop 25+ by race &amp; gender'!DK8)*100</f>
        <v>22.884737361782264</v>
      </c>
      <c r="CO10" s="453">
        <f>('Attainment 25+ by race &amp; gender'!AAP9/'Pop 25+ by race &amp; gender'!EO8)*100</f>
        <v>24.937023484145911</v>
      </c>
      <c r="CP10" s="453">
        <f>('Attainment 25+ by race &amp; gender'!ZM9/'Pop 25+ by race &amp; gender'!DL8)*100</f>
        <v>15.132179985772732</v>
      </c>
      <c r="CQ10" s="453">
        <f>('Attainment 25+ by race &amp; gender'!AAQ9/'Pop 25+ by race &amp; gender'!EP8)*100</f>
        <v>17.011929545828082</v>
      </c>
      <c r="CR10" s="453">
        <f>('Attainment 25+ by race &amp; gender'!ZN9/'Pop 25+ by race &amp; gender'!DN8)*100</f>
        <v>8.4933306386418757</v>
      </c>
      <c r="CS10" s="453">
        <f>('Attainment 25+ by race &amp; gender'!AAR9/'Pop 25+ by race &amp; gender'!ER8)*100</f>
        <v>9.843935538592028</v>
      </c>
      <c r="CT10" s="350">
        <f>IFERROR(('Attainment 25+ by race &amp; gender'!HQ9/'Pop 25+ by race &amp; gender'!DU8)*100,"-")</f>
        <v>88.558746457725604</v>
      </c>
      <c r="CU10" s="452">
        <f>IFERROR(('Attainment 25+ by race &amp; gender'!IP9/'Pop 25+ by race &amp; gender'!ET8)*100,"-")</f>
        <v>91.47949911018334</v>
      </c>
      <c r="CV10" s="350">
        <f>IFERROR(('Attainment 25+ by race &amp; gender'!HR9/'Pop 25+ by race &amp; gender'!DV8)*100,"-")</f>
        <v>82.502972124137202</v>
      </c>
      <c r="CW10" s="452">
        <f>IFERROR(('Attainment 25+ by race &amp; gender'!IQ9/'Pop 25+ by race &amp; gender'!EU8)*100, "-")</f>
        <v>87.201048496577229</v>
      </c>
      <c r="CX10" s="452">
        <f>IFERROR(('Attainment 25+ by race &amp; gender'!HS9/'Pop 25+ by race &amp; gender'!DX8)*100, "-")</f>
        <v>56.286014138333897</v>
      </c>
      <c r="CY10" s="452">
        <f>IFERROR(('Attainment 25+ by race &amp; gender'!IR9/'Pop 25+ by race &amp; gender'!EW8)*100, "-")</f>
        <v>61.164487760431498</v>
      </c>
      <c r="CZ10" s="452">
        <f>IFERROR(('Attainment 25+ by race &amp; gender'!HU9/'Pop 25+ by race &amp; gender'!DY8)*100, "-")</f>
        <v>86.814227585239237</v>
      </c>
      <c r="DA10" s="452">
        <f>IFERROR(('Attainment 25+ by race &amp; gender'!IT9/'Pop 25+ by race &amp; gender'!EX8)*100, "-")</f>
        <v>85.329695615015439</v>
      </c>
      <c r="DB10" s="452" t="str">
        <f>IFERROR(('Attainment 25+ by race &amp; gender'!HV9/'Pop 25+ by race &amp; gender'!DZ8)*100, "-")</f>
        <v>-</v>
      </c>
      <c r="DC10" s="452" t="str">
        <f>IFERROR(('Attainment 25+ by race &amp; gender'!IU9/'Pop 25+ by race &amp; gender'!EY8)*100, "-")</f>
        <v>-</v>
      </c>
      <c r="DD10" s="452">
        <f>IFERROR(('Attainment 25+ by race &amp; gender'!HW9/'Pop 25+ by race &amp; gender'!EA8)*100, "-")</f>
        <v>87.467126144917017</v>
      </c>
      <c r="DE10" s="452">
        <f>IFERROR(('Attainment 25+ by race &amp; gender'!IV9/'Pop 25+ by race &amp; gender'!EZ8)*100, "-")</f>
        <v>73.347287633001926</v>
      </c>
      <c r="DF10" s="452">
        <f>IFERROR(('Attainment 25+ by race &amp; gender'!HX9/'Pop 25+ by race &amp; gender'!EB8)*100, "-")</f>
        <v>84.627510325041783</v>
      </c>
      <c r="DG10" s="452">
        <f>IFERROR(('Attainment 25+ by race &amp; gender'!IW9/'Pop 25+ by race &amp; gender'!FA8)*100, "-")</f>
        <v>80.145711597504203</v>
      </c>
      <c r="DH10" s="452">
        <f>IFERROR(('Attainment 25+ by race &amp; gender'!HY9/'Pop 25+ by race &amp; gender'!EC8)*100, "-")</f>
        <v>45.853179827185912</v>
      </c>
      <c r="DI10" s="452">
        <f>IFERROR(('Attainment 25+ by race &amp; gender'!IX9/'Pop 25+ by race &amp; gender'!FB8)*100, "-")</f>
        <v>57.327612626417412</v>
      </c>
      <c r="DJ10" s="452">
        <f>IFERROR(('Attainment 25+ by race &amp; gender'!ZV9/'Pop 25+ by race &amp; gender'!DU8)*100, "-")</f>
        <v>23.998274726961881</v>
      </c>
      <c r="DK10" s="452">
        <f>IFERROR(('Attainment 25+ by race &amp; gender'!AAU9/'Pop 25+ by race &amp; gender'!ET8)*100, "-")</f>
        <v>27.571084064045198</v>
      </c>
      <c r="DL10" s="452">
        <f>IFERROR(('Attainment 25+ by race &amp; gender'!ZW9/'Pop 25+ by race &amp; gender'!DV8)*100, "-")</f>
        <v>16.002271235161558</v>
      </c>
      <c r="DM10" s="452">
        <f>IFERROR(('Attainment 25+ by race &amp; gender'!AAV9/'Pop 25+ by race &amp; gender'!EU8)*100, "-")</f>
        <v>19.109788856474395</v>
      </c>
      <c r="DN10" s="452">
        <f>IFERROR(('Attainment 25+ by race &amp; gender'!ZX9/'Pop 25+ by race &amp; gender'!DX8)*100, "-")</f>
        <v>9.6473337161640362</v>
      </c>
      <c r="DO10" s="452">
        <f>IFERROR(('Attainment 25+ by race &amp; gender'!AAW9/'Pop 25+ by race &amp; gender'!EW8)*100, "-")</f>
        <v>12.65772325314633</v>
      </c>
      <c r="DP10" s="452">
        <f>IFERROR(('Attainment 25+ by race &amp; gender'!ZZ9/'Pop 25+ by race &amp; gender'!DY8)*100, "-")</f>
        <v>47.323558299424725</v>
      </c>
      <c r="DQ10" s="452">
        <f>IFERROR(('Attainment 25+ by race &amp; gender'!AAY9/'Pop 25+ by race &amp; gender'!EX8)*100, "-")</f>
        <v>45.638025113404773</v>
      </c>
      <c r="DR10" s="452" t="str">
        <f>IFERROR(('Attainment 25+ by race &amp; gender'!AAA9/'Pop 25+ by race &amp; gender'!DZ8)*100, "-")</f>
        <v>-</v>
      </c>
      <c r="DS10" s="452" t="str">
        <f>IFERROR(('Attainment 25+ by race &amp; gender'!AAZ9/'Pop 25+ by race &amp; gender'!EY8)*100, "-")</f>
        <v>-</v>
      </c>
      <c r="DT10" s="452">
        <f>IFERROR(('Attainment 25+ by race &amp; gender'!AAB9/'Pop 25+ by race &amp; gender'!EA8)*100, "-")</f>
        <v>18.753967534234153</v>
      </c>
      <c r="DU10" s="452">
        <f>IFERROR(('Attainment 25+ by race &amp; gender'!ABA9/'Pop 25+ by race &amp; gender'!EZ8)*100, "-")</f>
        <v>24.960753532182103</v>
      </c>
      <c r="DV10" s="452">
        <f>IFERROR(('Attainment 25+ by race &amp; gender'!AAC9/'Pop 25+ by race &amp; gender'!EB8)*100, "-")</f>
        <v>19.149405718969703</v>
      </c>
      <c r="DW10" s="452">
        <f>IFERROR(('Attainment 25+ by race &amp; gender'!ABB9/'Pop 25+ by race &amp; gender'!FA8)*100, "-")</f>
        <v>17.586907002079826</v>
      </c>
      <c r="DX10" s="452">
        <f>IFERROR(('Attainment 25+ by race &amp; gender'!AAD9/'Pop 25+ by race &amp; gender'!EC8)*100, "-")</f>
        <v>8.9518657698843906</v>
      </c>
      <c r="DY10" s="452">
        <f>IFERROR(('Attainment 25+ by race &amp; gender'!ABC9/'Pop 25+ by race &amp; gender'!FB8)*100, "-")</f>
        <v>11.173766472571254</v>
      </c>
    </row>
    <row r="11" spans="1:129">
      <c r="A11" s="38" t="s">
        <v>10</v>
      </c>
      <c r="B11" s="351">
        <f>('Attainment 25+ by race &amp; gender'!FS10/'Pop 25+ by race &amp; gender'!AT9)*100</f>
        <v>85.030784602466255</v>
      </c>
      <c r="C11" s="445">
        <f>('Attainment 25+ by race &amp; gender'!GR10/'Pop 25+ by race &amp; gender'!CV9)*100</f>
        <v>88.4</v>
      </c>
      <c r="D11" s="352">
        <f>('Attainment 25+ by race &amp; gender'!FT10/'Pop 25+ by race &amp; gender'!AZ9)*100</f>
        <v>74.186006334581052</v>
      </c>
      <c r="E11" s="351">
        <f>('Attainment 25+ by race &amp; gender'!GS10/'Pop 25+ by race &amp; gender'!CW9)*100</f>
        <v>84.399999999999991</v>
      </c>
      <c r="F11" s="352">
        <f>('Attainment 25+ by race &amp; gender'!FU10/'Pop 25+ by race &amp; gender'!BC9)*100</f>
        <v>57.138954155510625</v>
      </c>
      <c r="G11" s="351">
        <f>('Attainment 25+ by race &amp; gender'!GT10/'Pop 25+ by race &amp; gender'!CY9)*100</f>
        <v>59.599999999999994</v>
      </c>
      <c r="H11" s="352">
        <f>('Attainment 25+ by race &amp; gender'!XM10/'Pop 25+ by race &amp; gender'!AT9)*100</f>
        <v>26.746599491200662</v>
      </c>
      <c r="I11" s="351">
        <f>('Attainment 25+ by race &amp; gender'!YW10/'Pop 25+ by race &amp; gender'!CV9)*100</f>
        <v>29.800000000000004</v>
      </c>
      <c r="J11" s="352">
        <f>('Attainment 25+ by race &amp; gender'!XS10/'Pop 25+ by race &amp; gender'!AZ9)*100</f>
        <v>14.44630002879355</v>
      </c>
      <c r="K11" s="351">
        <f>('Attainment 25+ by race &amp; gender'!YX10/'Pop 25+ by race &amp; gender'!CW9)*100</f>
        <v>17.8</v>
      </c>
      <c r="L11" s="352">
        <f>('Attainment 25+ by race &amp; gender'!XV10/'Pop 25+ by race &amp; gender'!BC9)*100</f>
        <v>13.452816785967981</v>
      </c>
      <c r="M11" s="437">
        <f>('Attainment 25+ by race &amp; gender'!YY10/'Pop 25+ by race &amp; gender'!CY9)*100</f>
        <v>13.599999999999998</v>
      </c>
      <c r="N11" s="351">
        <f>('Attainment 25+ by race &amp; gender'!FS10/'Pop 25+ by race &amp; gender'!AT9)*100</f>
        <v>85.030784602466255</v>
      </c>
      <c r="O11" s="445">
        <f>('Attainment 25+ by race &amp; gender'!GW10/'Pop 25+ by race &amp; gender'!DA9)*100</f>
        <v>90.394175845039229</v>
      </c>
      <c r="P11" s="352">
        <f>('Attainment 25+ by race &amp; gender'!FT10/'Pop 25+ by race &amp; gender'!AZ9)*100</f>
        <v>74.186006334581052</v>
      </c>
      <c r="Q11" s="351">
        <f>('Attainment 25+ by race &amp; gender'!GX10/'Pop 25+ by race &amp; gender'!DB9)*100</f>
        <v>85.26267640232436</v>
      </c>
      <c r="R11" s="352">
        <f>('Attainment 25+ by race &amp; gender'!FU10/'Pop 25+ by race &amp; gender'!BC9)*100</f>
        <v>57.138954155510625</v>
      </c>
      <c r="S11" s="351">
        <f>('Attainment 25+ by race &amp; gender'!GY10/'Pop 25+ by race &amp; gender'!DD9)*100</f>
        <v>63.252304237708557</v>
      </c>
      <c r="T11" s="352">
        <f>('Attainment 25+ by race &amp; gender'!XM10/'Pop 25+ by race &amp; gender'!AT9)*100</f>
        <v>26.746599491200662</v>
      </c>
      <c r="U11" s="351">
        <f>('Attainment 25+ by race &amp; gender'!ZB10/'Pop 25+ by race &amp; gender'!DA9)*100</f>
        <v>30.850348188272463</v>
      </c>
      <c r="V11" s="352">
        <f>('Attainment 25+ by race &amp; gender'!XS10/'Pop 25+ by race &amp; gender'!AZ9)*100</f>
        <v>14.44630002879355</v>
      </c>
      <c r="W11" s="351">
        <f>('Attainment 25+ by race &amp; gender'!ZC10/'Pop 25+ by race &amp; gender'!DB9)*100</f>
        <v>19.006556321683295</v>
      </c>
      <c r="X11" s="352">
        <f>('Attainment 25+ by race &amp; gender'!XV10/'Pop 25+ by race &amp; gender'!BC9)*100</f>
        <v>13.452816785967981</v>
      </c>
      <c r="Y11" s="437">
        <f>('Attainment 25+ by race &amp; gender'!ZD10/'Pop 25+ by race &amp; gender'!DD9)*100</f>
        <v>14.613958588997104</v>
      </c>
      <c r="Z11" s="351">
        <f>('Attainment 25+ by race &amp; gender'!FS10/'Pop 25+ by race &amp; gender'!AT9)*100</f>
        <v>85.030784602466255</v>
      </c>
      <c r="AA11" s="445">
        <f>('Attainment 25+ by race &amp; gender'!HB10/'Pop 25+ by race &amp; gender'!DF9)*100</f>
        <v>90.646814526818062</v>
      </c>
      <c r="AB11" s="352">
        <f>('Attainment 25+ by race &amp; gender'!FT10/'Pop 25+ by race &amp; gender'!AZ9)*100</f>
        <v>74.186006334581052</v>
      </c>
      <c r="AC11" s="351">
        <f>('Attainment 25+ by race &amp; gender'!HC10/'Pop 25+ by race &amp; gender'!DG9)*100</f>
        <v>85.518246252376997</v>
      </c>
      <c r="AD11" s="352">
        <f>('Attainment 25+ by race &amp; gender'!FU10/'Pop 25+ by race &amp; gender'!BC9)*100</f>
        <v>57.138954155510625</v>
      </c>
      <c r="AE11" s="351">
        <f>('Attainment 25+ by race &amp; gender'!HD10/'Pop 25+ by race &amp; gender'!DI9)*100</f>
        <v>63.808955817305304</v>
      </c>
      <c r="AF11" s="352">
        <f>('Attainment 25+ by race &amp; gender'!XM10/'Pop 25+ by race &amp; gender'!AT9)*100</f>
        <v>26.746599491200662</v>
      </c>
      <c r="AG11" s="351">
        <f>('Attainment 25+ by race &amp; gender'!ZG10/'Pop 25+ by race &amp; gender'!DF9)*100</f>
        <v>31.629872153211519</v>
      </c>
      <c r="AH11" s="352">
        <f>('Attainment 25+ by race &amp; gender'!XS10/'Pop 25+ by race &amp; gender'!AZ9)*100</f>
        <v>14.44630002879355</v>
      </c>
      <c r="AI11" s="351">
        <f>('Attainment 25+ by race &amp; gender'!ZH10/'Pop 25+ by race &amp; gender'!DG9)*100</f>
        <v>19.593832577360324</v>
      </c>
      <c r="AJ11" s="352">
        <f>('Attainment 25+ by race &amp; gender'!XV10/'Pop 25+ by race &amp; gender'!BC9)*100</f>
        <v>13.452816785967981</v>
      </c>
      <c r="AK11" s="453">
        <f>('Attainment 25+ by race &amp; gender'!ZI10/'Pop 25+ by race &amp; gender'!DI9)*100</f>
        <v>15.058893693156403</v>
      </c>
      <c r="AL11" s="352">
        <f>('Attainment 25+ by race &amp; gender'!FS10/'Pop 25+ by race &amp; gender'!AT9)*100</f>
        <v>85.030784602466255</v>
      </c>
      <c r="AM11" s="453">
        <f>('Attainment 25+ by race &amp; gender'!HL10/'Pop 25+ by race &amp; gender'!DP9)*100</f>
        <v>91.979486581253909</v>
      </c>
      <c r="AN11" s="517">
        <v>74.186006334581052</v>
      </c>
      <c r="AO11" s="453">
        <f>('Attainment 25+ by race &amp; gender'!HM10/'Pop 25+ by race &amp; gender'!DQ9)*100</f>
        <v>87.546742385452063</v>
      </c>
      <c r="AP11" s="453">
        <f>('Attainment 25+ by race &amp; gender'!FU10/'Pop 25+ by race &amp; gender'!BC9)*100</f>
        <v>57.138954155510625</v>
      </c>
      <c r="AQ11" s="453">
        <f>('Attainment 25+ by race &amp; gender'!HN10/'Pop 25+ by race &amp; gender'!DS9)*100</f>
        <v>59.199571438137546</v>
      </c>
      <c r="AR11" s="453">
        <f>('Attainment 25+ by race &amp; gender'!XM10/'Pop 25+ by race &amp; gender'!AT9)*100</f>
        <v>26.746599491200662</v>
      </c>
      <c r="AS11" s="453">
        <f>('Attainment 25+ by race &amp; gender'!ZQ10/'Pop 25+ by race &amp; gender'!DP9)*100</f>
        <v>32.750579351530092</v>
      </c>
      <c r="AT11" s="453">
        <f>('Attainment 25+ by race &amp; gender'!XS10/'Pop 25+ by race &amp; gender'!AZ9)*100</f>
        <v>14.44630002879355</v>
      </c>
      <c r="AU11" s="453">
        <f>('Attainment 25+ by race &amp; gender'!ZR10/'Pop 25+ by race &amp; gender'!DQ9)*100</f>
        <v>22.924327763037443</v>
      </c>
      <c r="AV11" s="453">
        <f>('Attainment 25+ by race &amp; gender'!XV10/'Pop 25+ by race &amp; gender'!BC9)*100</f>
        <v>13.452816785967981</v>
      </c>
      <c r="AW11" s="453">
        <f>('Attainment 25+ by race &amp; gender'!ZS10/'Pop 25+ by race &amp; gender'!DS9)*100</f>
        <v>13.85906564585612</v>
      </c>
      <c r="AX11" s="352">
        <f>('Attainment 25+ by race &amp; gender'!GR10/'Pop 25+ by race &amp; gender'!CV9)*100</f>
        <v>88.4</v>
      </c>
      <c r="AY11" s="453">
        <f>('Attainment 25+ by race &amp; gender'!HQ10/'Pop 25+ by race &amp; gender'!DU9)*100</f>
        <v>91.931314048226113</v>
      </c>
      <c r="AZ11" s="517">
        <f>('Attainment 25+ by race &amp; gender'!GS10/'Pop 25+ by race &amp; gender'!CW9)*100</f>
        <v>84.399999999999991</v>
      </c>
      <c r="BA11" s="453">
        <f>('Attainment 25+ by race &amp; gender'!HR10/'Pop 25+ by race &amp; gender'!DV9)*100</f>
        <v>87.432207241327077</v>
      </c>
      <c r="BB11" s="453">
        <f>('Attainment 25+ by race &amp; gender'!GT10/'Pop 25+ by race &amp; gender'!CY9)*100</f>
        <v>59.599999999999994</v>
      </c>
      <c r="BC11" s="453">
        <f>('Attainment 25+ by race &amp; gender'!HS10/'Pop 25+ by race &amp; gender'!DX9)*100</f>
        <v>67.798722883135056</v>
      </c>
      <c r="BD11" s="453">
        <f>('Attainment 25+ by race &amp; gender'!YW10/'Pop 25+ by race &amp; gender'!CV9)*100</f>
        <v>29.800000000000004</v>
      </c>
      <c r="BE11" s="453">
        <f>('Attainment 25+ by race &amp; gender'!ZV10/'Pop 25+ by race &amp; gender'!DU9)*100</f>
        <v>33.785870343919228</v>
      </c>
      <c r="BF11" s="453">
        <f>('Attainment 25+ by race &amp; gender'!YX10/'Pop 25+ by race &amp; gender'!CW9)*100</f>
        <v>17.8</v>
      </c>
      <c r="BG11" s="453">
        <f>('Attainment 25+ by race &amp; gender'!ZW10/'Pop 25+ by race &amp; gender'!DV9)*100</f>
        <v>20.834722011816392</v>
      </c>
      <c r="BH11" s="453">
        <f>('Attainment 25+ by race &amp; gender'!YY10/'Pop 25+ by race &amp; gender'!CY9)*100</f>
        <v>13.599999999999998</v>
      </c>
      <c r="BI11" s="453">
        <f>('Attainment 25+ by race &amp; gender'!ZX10/'Pop 25+ by race &amp; gender'!DX9)*100</f>
        <v>16.121413575927221</v>
      </c>
      <c r="BJ11" s="352">
        <f>('Attainment 25+ by race &amp; gender'!GW10/'Pop 25+ by race &amp; gender'!DA9)*100</f>
        <v>90.394175845039229</v>
      </c>
      <c r="BK11" s="453">
        <f>('Attainment 25+ by race &amp; gender'!IA10/'Pop 25+ by race &amp; gender'!EE9)*100</f>
        <v>93.137547503929639</v>
      </c>
      <c r="BL11" s="517">
        <f>('Attainment 25+ by race &amp; gender'!GX10/'Pop 25+ by race &amp; gender'!DB9)*100</f>
        <v>85.26267640232436</v>
      </c>
      <c r="BM11" s="453">
        <f>('Attainment 25+ by race &amp; gender'!IB10/'Pop 25+ by race &amp; gender'!EF9)*100</f>
        <v>90.775380627498379</v>
      </c>
      <c r="BN11" s="453">
        <f>('Attainment 25+ by race &amp; gender'!GY10/'Pop 25+ by race &amp; gender'!DD9)*100</f>
        <v>63.252304237708557</v>
      </c>
      <c r="BO11" s="453">
        <f>('Attainment 25+ by race &amp; gender'!IC10/'Pop 25+ by race &amp; gender'!EH9)*100</f>
        <v>63.523303044261127</v>
      </c>
      <c r="BP11" s="453">
        <f>('Attainment 25+ by race &amp; gender'!ZB10/'Pop 25+ by race &amp; gender'!DA9)*100</f>
        <v>30.850348188272463</v>
      </c>
      <c r="BQ11" s="453">
        <f>('Attainment 25+ by race &amp; gender'!AAF10/'Pop 25+ by race &amp; gender'!EE9)*100</f>
        <v>34.43739208676832</v>
      </c>
      <c r="BR11" s="453">
        <f>('Attainment 25+ by race &amp; gender'!ZC10/'Pop 25+ by race &amp; gender'!DB9)*100</f>
        <v>19.006556321683295</v>
      </c>
      <c r="BS11" s="453">
        <f>('Attainment 25+ by race &amp; gender'!AAG10/'Pop 25+ by race &amp; gender'!EF9)*100</f>
        <v>22.448102869541792</v>
      </c>
      <c r="BT11" s="453">
        <f>('Attainment 25+ by race &amp; gender'!ZD10/'Pop 25+ by race &amp; gender'!DD9)*100</f>
        <v>14.613958588997104</v>
      </c>
      <c r="BU11" s="453">
        <f>('Attainment 25+ by race &amp; gender'!AAH10/'Pop 25+ by race &amp; gender'!EH9)*100</f>
        <v>10.795192831120975</v>
      </c>
      <c r="BV11" s="352">
        <f>('Attainment 25+ by race &amp; gender'!HN10/'Pop 25+ by race &amp; gender'!DR9)*100</f>
        <v>58.872364039955606</v>
      </c>
      <c r="BW11" s="453">
        <f>('Attainment 25+ by race &amp; gender'!JB10/'Pop 25+ by race &amp; gender'!EQ9)*100</f>
        <v>0</v>
      </c>
      <c r="BX11" s="517">
        <f>('Attainment 25+ by race &amp; gender'!HO10/'Pop 25+ by race &amp; gender'!DS9)*100</f>
        <v>85.536037142028079</v>
      </c>
      <c r="BY11" s="453">
        <f>('Attainment 25+ by race &amp; gender'!JC10/'Pop 25+ by race &amp; gender'!ER9)*100</f>
        <v>0</v>
      </c>
      <c r="BZ11" s="453">
        <f>('Attainment 25+ by race &amp; gender'!HP10/'Pop 25+ by race &amp; gender'!DU9)*100</f>
        <v>131.70139676860987</v>
      </c>
      <c r="CA11" s="453">
        <f>('Attainment 25+ by race &amp; gender'!JD10/'Pop 25+ by race &amp; gender'!ET9)*100</f>
        <v>21.847737988374018</v>
      </c>
      <c r="CB11" s="453">
        <f>('Attainment 25+ by race &amp; gender'!ZS10/'Pop 25+ by race &amp; gender'!DR9)*100</f>
        <v>13.782463928967815</v>
      </c>
      <c r="CC11" s="453">
        <f>('Attainment 25+ by race &amp; gender'!ABB10/'Pop 25+ by race &amp; gender'!EQ9)*100</f>
        <v>30.194635502686427</v>
      </c>
      <c r="CD11" s="453">
        <f>('Attainment 25+ by race &amp; gender'!ZT10/'Pop 25+ by race &amp; gender'!DS9)*100</f>
        <v>49.333720229459168</v>
      </c>
      <c r="CE11" s="453">
        <f>('Attainment 25+ by race &amp; gender'!ABC10/'Pop 25+ by race &amp; gender'!ER9)*100</f>
        <v>6.7892732723000897</v>
      </c>
      <c r="CF11" s="453">
        <f>('Attainment 25+ by race &amp; gender'!ZU10/'Pop 25+ by race &amp; gender'!DU9)*100</f>
        <v>45.625030591857893</v>
      </c>
      <c r="CG11" s="453">
        <f>('Attainment 25+ by race &amp; gender'!ABD10/'Pop 25+ by race &amp; gender'!ET9)*100</f>
        <v>10.576026424269889</v>
      </c>
      <c r="CH11" s="352">
        <f>('Attainment 25+ by race &amp; gender'!HG10/'Pop 25+ by race &amp; gender'!DK9)*100</f>
        <v>91.719393961400897</v>
      </c>
      <c r="CI11" s="452">
        <f>('Attainment 25+ by race &amp; gender'!IK10/'Pop 25+ by race &amp; gender'!EO9)*100</f>
        <v>92.953028195312214</v>
      </c>
      <c r="CJ11" s="517">
        <f>('Attainment 25+ by race &amp; gender'!HH10/'Pop 25+ by race &amp; gender'!DL9)*100</f>
        <v>86.765899653439078</v>
      </c>
      <c r="CK11" s="453">
        <f>('Attainment 25+ by race &amp; gender'!IL10/'Pop 25+ by race &amp; gender'!EP9)*100</f>
        <v>90.59180158456769</v>
      </c>
      <c r="CL11" s="453">
        <f>('Attainment 25+ by race &amp; gender'!HI10/'Pop 25+ by race &amp; gender'!DN9)*100</f>
        <v>66.248467125742849</v>
      </c>
      <c r="CM11" s="453">
        <f>('Attainment 25+ by race &amp; gender'!IM10/'Pop 25+ by race &amp; gender'!ER9)*100</f>
        <v>62.257959977315082</v>
      </c>
      <c r="CN11" s="453">
        <f>('Attainment 25+ by race &amp; gender'!ZL10/'Pop 25+ by race &amp; gender'!DK9)*100</f>
        <v>32.117957842371865</v>
      </c>
      <c r="CO11" s="453">
        <f>('Attainment 25+ by race &amp; gender'!AAP10/'Pop 25+ by race &amp; gender'!EO9)*100</f>
        <v>36.062963925461823</v>
      </c>
      <c r="CP11" s="453">
        <f>('Attainment 25+ by race &amp; gender'!ZM10/'Pop 25+ by race &amp; gender'!DL9)*100</f>
        <v>22.81604171219832</v>
      </c>
      <c r="CQ11" s="453">
        <f>('Attainment 25+ by race &amp; gender'!AAQ10/'Pop 25+ by race &amp; gender'!EP9)*100</f>
        <v>24.568377540475371</v>
      </c>
      <c r="CR11" s="453">
        <f>('Attainment 25+ by race &amp; gender'!ZN10/'Pop 25+ by race &amp; gender'!DN9)*100</f>
        <v>15.897085180643336</v>
      </c>
      <c r="CS11" s="453">
        <f>('Attainment 25+ by race &amp; gender'!AAR10/'Pop 25+ by race &amp; gender'!ER9)*100</f>
        <v>13.918820384023334</v>
      </c>
      <c r="CT11" s="350">
        <f>IFERROR(('Attainment 25+ by race &amp; gender'!HQ10/'Pop 25+ by race &amp; gender'!DU9)*100,"-")</f>
        <v>91.931314048226113</v>
      </c>
      <c r="CU11" s="452">
        <f>IFERROR(('Attainment 25+ by race &amp; gender'!IP10/'Pop 25+ by race &amp; gender'!ET9)*100,"-")</f>
        <v>94.39617231552252</v>
      </c>
      <c r="CV11" s="350">
        <f>IFERROR(('Attainment 25+ by race &amp; gender'!HR10/'Pop 25+ by race &amp; gender'!DV9)*100,"-")</f>
        <v>87.432207241327077</v>
      </c>
      <c r="CW11" s="452">
        <f>IFERROR(('Attainment 25+ by race &amp; gender'!IQ10/'Pop 25+ by race &amp; gender'!EU9)*100, "-")</f>
        <v>90.27837939299431</v>
      </c>
      <c r="CX11" s="452">
        <f>IFERROR(('Attainment 25+ by race &amp; gender'!HS10/'Pop 25+ by race &amp; gender'!DX9)*100, "-")</f>
        <v>67.798722883135056</v>
      </c>
      <c r="CY11" s="452">
        <f>IFERROR(('Attainment 25+ by race &amp; gender'!IR10/'Pop 25+ by race &amp; gender'!EW9)*100, "-")</f>
        <v>66.557304530541529</v>
      </c>
      <c r="CZ11" s="452">
        <f>IFERROR(('Attainment 25+ by race &amp; gender'!HU10/'Pop 25+ by race &amp; gender'!DY9)*100, "-")</f>
        <v>93.092633972323497</v>
      </c>
      <c r="DA11" s="452">
        <f>IFERROR(('Attainment 25+ by race &amp; gender'!IT10/'Pop 25+ by race &amp; gender'!EX9)*100, "-")</f>
        <v>91.41652960526315</v>
      </c>
      <c r="DB11" s="452" t="str">
        <f>IFERROR(('Attainment 25+ by race &amp; gender'!HV10/'Pop 25+ by race &amp; gender'!DZ9)*100, "-")</f>
        <v>-</v>
      </c>
      <c r="DC11" s="452" t="str">
        <f>IFERROR(('Attainment 25+ by race &amp; gender'!IU10/'Pop 25+ by race &amp; gender'!EY9)*100, "-")</f>
        <v>-</v>
      </c>
      <c r="DD11" s="452">
        <f>IFERROR(('Attainment 25+ by race &amp; gender'!HW10/'Pop 25+ by race &amp; gender'!EA9)*100, "-")</f>
        <v>80.984719864176569</v>
      </c>
      <c r="DE11" s="452" t="str">
        <f>IFERROR(('Attainment 25+ by race &amp; gender'!IV10/'Pop 25+ by race &amp; gender'!EZ9)*100, "-")</f>
        <v>-</v>
      </c>
      <c r="DF11" s="452">
        <f>IFERROR(('Attainment 25+ by race &amp; gender'!HX10/'Pop 25+ by race &amp; gender'!EB9)*100, "-")</f>
        <v>83.607753230512714</v>
      </c>
      <c r="DG11" s="452">
        <f>IFERROR(('Attainment 25+ by race &amp; gender'!IW10/'Pop 25+ by race &amp; gender'!FA9)*100, "-")</f>
        <v>86.993139841688645</v>
      </c>
      <c r="DH11" s="452">
        <f>IFERROR(('Attainment 25+ by race &amp; gender'!HY10/'Pop 25+ by race &amp; gender'!EC9)*100, "-")</f>
        <v>76.149575782968469</v>
      </c>
      <c r="DI11" s="452">
        <f>IFERROR(('Attainment 25+ by race &amp; gender'!IX10/'Pop 25+ by race &amp; gender'!FB9)*100, "-")</f>
        <v>55.619307179229715</v>
      </c>
      <c r="DJ11" s="452">
        <f>IFERROR(('Attainment 25+ by race &amp; gender'!ZV10/'Pop 25+ by race &amp; gender'!DU9)*100, "-")</f>
        <v>33.785870343919228</v>
      </c>
      <c r="DK11" s="452">
        <f>IFERROR(('Attainment 25+ by race &amp; gender'!AAU10/'Pop 25+ by race &amp; gender'!ET9)*100, "-")</f>
        <v>37.79315513800406</v>
      </c>
      <c r="DL11" s="452">
        <f>IFERROR(('Attainment 25+ by race &amp; gender'!ZW10/'Pop 25+ by race &amp; gender'!DV9)*100, "-")</f>
        <v>20.834722011816392</v>
      </c>
      <c r="DM11" s="452">
        <f>IFERROR(('Attainment 25+ by race &amp; gender'!AAV10/'Pop 25+ by race &amp; gender'!EU9)*100, "-")</f>
        <v>27.053914349244852</v>
      </c>
      <c r="DN11" s="452">
        <f>IFERROR(('Attainment 25+ by race &amp; gender'!ZX10/'Pop 25+ by race &amp; gender'!DX9)*100, "-")</f>
        <v>16.121413575927221</v>
      </c>
      <c r="DO11" s="452">
        <f>IFERROR(('Attainment 25+ by race &amp; gender'!AAW10/'Pop 25+ by race &amp; gender'!EW9)*100, "-")</f>
        <v>18.732259372580824</v>
      </c>
      <c r="DP11" s="452">
        <f>IFERROR(('Attainment 25+ by race &amp; gender'!ZZ10/'Pop 25+ by race &amp; gender'!DY9)*100, "-")</f>
        <v>63.969579364145993</v>
      </c>
      <c r="DQ11" s="452">
        <f>IFERROR(('Attainment 25+ by race &amp; gender'!AAY10/'Pop 25+ by race &amp; gender'!EX9)*100, "-")</f>
        <v>73.043448464912288</v>
      </c>
      <c r="DR11" s="452" t="str">
        <f>IFERROR(('Attainment 25+ by race &amp; gender'!AAA10/'Pop 25+ by race &amp; gender'!DZ9)*100, "-")</f>
        <v>-</v>
      </c>
      <c r="DS11" s="452" t="str">
        <f>IFERROR(('Attainment 25+ by race &amp; gender'!AAZ10/'Pop 25+ by race &amp; gender'!EY9)*100, "-")</f>
        <v>-</v>
      </c>
      <c r="DT11" s="452">
        <f>IFERROR(('Attainment 25+ by race &amp; gender'!AAB10/'Pop 25+ by race &amp; gender'!EA9)*100, "-")</f>
        <v>17.317487266553481</v>
      </c>
      <c r="DU11" s="452" t="str">
        <f>IFERROR(('Attainment 25+ by race &amp; gender'!ABA10/'Pop 25+ by race &amp; gender'!EZ9)*100, "-")</f>
        <v>-</v>
      </c>
      <c r="DV11" s="452">
        <f>IFERROR(('Attainment 25+ by race &amp; gender'!AAC10/'Pop 25+ by race &amp; gender'!EB9)*100, "-")</f>
        <v>27.573989162150898</v>
      </c>
      <c r="DW11" s="452">
        <f>IFERROR(('Attainment 25+ by race &amp; gender'!ABB10/'Pop 25+ by race &amp; gender'!FA9)*100, "-")</f>
        <v>30.486543535620054</v>
      </c>
      <c r="DX11" s="452">
        <f>IFERROR(('Attainment 25+ by race &amp; gender'!AAD10/'Pop 25+ by race &amp; gender'!EC9)*100, "-")</f>
        <v>17.20959463705876</v>
      </c>
      <c r="DY11" s="452">
        <f>IFERROR(('Attainment 25+ by race &amp; gender'!ABC10/'Pop 25+ by race &amp; gender'!FB9)*100, "-")</f>
        <v>12.020368643763895</v>
      </c>
    </row>
    <row r="12" spans="1:129">
      <c r="A12" s="38" t="s">
        <v>11</v>
      </c>
      <c r="B12" s="351">
        <f>('Attainment 25+ by race &amp; gender'!FS11/'Pop 25+ by race &amp; gender'!AT10)*100</f>
        <v>82.534915366428791</v>
      </c>
      <c r="C12" s="445">
        <f>('Attainment 25+ by race &amp; gender'!GR11/'Pop 25+ by race &amp; gender'!CV10)*100</f>
        <v>87.499999999999972</v>
      </c>
      <c r="D12" s="352">
        <f>('Attainment 25+ by race &amp; gender'!FT11/'Pop 25+ by race &amp; gender'!AZ10)*100</f>
        <v>67.047985469419018</v>
      </c>
      <c r="E12" s="351">
        <f>('Attainment 25+ by race &amp; gender'!GS11/'Pop 25+ by race &amp; gender'!CW10)*100</f>
        <v>78.2</v>
      </c>
      <c r="F12" s="352">
        <f>('Attainment 25+ by race &amp; gender'!FU11/'Pop 25+ by race &amp; gender'!BC10)*100</f>
        <v>63.314237654209947</v>
      </c>
      <c r="G12" s="351">
        <f>('Attainment 25+ by race &amp; gender'!GT11/'Pop 25+ by race &amp; gender'!CY10)*100</f>
        <v>74.200000000000017</v>
      </c>
      <c r="H12" s="352">
        <f>('Attainment 25+ by race &amp; gender'!XM11/'Pop 25+ by race &amp; gender'!AT10)*100</f>
        <v>23.817435490003778</v>
      </c>
      <c r="I12" s="351">
        <f>('Attainment 25+ by race &amp; gender'!YW11/'Pop 25+ by race &amp; gender'!CV10)*100</f>
        <v>27.099999999999998</v>
      </c>
      <c r="J12" s="352">
        <f>('Attainment 25+ by race &amp; gender'!XS11/'Pop 25+ by race &amp; gender'!AZ10)*100</f>
        <v>12.425701198586163</v>
      </c>
      <c r="K12" s="351">
        <f>('Attainment 25+ by race &amp; gender'!YX11/'Pop 25+ by race &amp; gender'!CW10)*100</f>
        <v>16</v>
      </c>
      <c r="L12" s="352">
        <f>('Attainment 25+ by race &amp; gender'!XV11/'Pop 25+ by race &amp; gender'!BC10)*100</f>
        <v>17.484666737835571</v>
      </c>
      <c r="M12" s="437">
        <f>('Attainment 25+ by race &amp; gender'!YY11/'Pop 25+ by race &amp; gender'!CY10)*100</f>
        <v>20.3</v>
      </c>
      <c r="N12" s="351">
        <f>('Attainment 25+ by race &amp; gender'!FS11/'Pop 25+ by race &amp; gender'!AT10)*100</f>
        <v>82.534915366428791</v>
      </c>
      <c r="O12" s="445">
        <f>('Attainment 25+ by race &amp; gender'!GW11/'Pop 25+ by race &amp; gender'!DA10)*100</f>
        <v>91.031972824621377</v>
      </c>
      <c r="P12" s="352">
        <f>('Attainment 25+ by race &amp; gender'!FT11/'Pop 25+ by race &amp; gender'!AZ10)*100</f>
        <v>67.047985469419018</v>
      </c>
      <c r="Q12" s="351">
        <f>('Attainment 25+ by race &amp; gender'!GX11/'Pop 25+ by race &amp; gender'!DB10)*100</f>
        <v>79.127877818833085</v>
      </c>
      <c r="R12" s="352">
        <f>('Attainment 25+ by race &amp; gender'!FU11/'Pop 25+ by race &amp; gender'!BC10)*100</f>
        <v>63.314237654209947</v>
      </c>
      <c r="S12" s="351">
        <f>('Attainment 25+ by race &amp; gender'!GY11/'Pop 25+ by race &amp; gender'!DD10)*100</f>
        <v>75.020215988267864</v>
      </c>
      <c r="T12" s="352">
        <f>('Attainment 25+ by race &amp; gender'!XM11/'Pop 25+ by race &amp; gender'!AT10)*100</f>
        <v>23.817435490003778</v>
      </c>
      <c r="U12" s="351">
        <f>('Attainment 25+ by race &amp; gender'!ZB11/'Pop 25+ by race &amp; gender'!DA10)*100</f>
        <v>29.328043432665162</v>
      </c>
      <c r="V12" s="352">
        <f>('Attainment 25+ by race &amp; gender'!XS11/'Pop 25+ by race &amp; gender'!AZ10)*100</f>
        <v>12.425701198586163</v>
      </c>
      <c r="W12" s="351">
        <f>('Attainment 25+ by race &amp; gender'!ZC11/'Pop 25+ by race &amp; gender'!DB10)*100</f>
        <v>16.135813185812253</v>
      </c>
      <c r="X12" s="352">
        <f>('Attainment 25+ by race &amp; gender'!XV11/'Pop 25+ by race &amp; gender'!BC10)*100</f>
        <v>17.484666737835571</v>
      </c>
      <c r="Y12" s="437">
        <f>('Attainment 25+ by race &amp; gender'!ZD11/'Pop 25+ by race &amp; gender'!DD10)*100</f>
        <v>20.760251002864504</v>
      </c>
      <c r="Z12" s="351">
        <f>('Attainment 25+ by race &amp; gender'!FS11/'Pop 25+ by race &amp; gender'!AT10)*100</f>
        <v>82.534915366428791</v>
      </c>
      <c r="AA12" s="445">
        <f>('Attainment 25+ by race &amp; gender'!HB11/'Pop 25+ by race &amp; gender'!DF10)*100</f>
        <v>91.274469236324222</v>
      </c>
      <c r="AB12" s="352">
        <f>('Attainment 25+ by race &amp; gender'!FT11/'Pop 25+ by race &amp; gender'!AZ10)*100</f>
        <v>67.047985469419018</v>
      </c>
      <c r="AC12" s="351">
        <f>('Attainment 25+ by race &amp; gender'!HC11/'Pop 25+ by race &amp; gender'!DG10)*100</f>
        <v>80.092991060897262</v>
      </c>
      <c r="AD12" s="352">
        <f>('Attainment 25+ by race &amp; gender'!FU11/'Pop 25+ by race &amp; gender'!BC10)*100</f>
        <v>63.314237654209947</v>
      </c>
      <c r="AE12" s="351">
        <f>('Attainment 25+ by race &amp; gender'!HD11/'Pop 25+ by race &amp; gender'!DI10)*100</f>
        <v>76.091662445180248</v>
      </c>
      <c r="AF12" s="352">
        <f>('Attainment 25+ by race &amp; gender'!XM11/'Pop 25+ by race &amp; gender'!AT10)*100</f>
        <v>23.817435490003778</v>
      </c>
      <c r="AG12" s="351">
        <f>('Attainment 25+ by race &amp; gender'!ZG11/'Pop 25+ by race &amp; gender'!DF10)*100</f>
        <v>29.855920563944888</v>
      </c>
      <c r="AH12" s="352">
        <f>('Attainment 25+ by race &amp; gender'!XS11/'Pop 25+ by race &amp; gender'!AZ10)*100</f>
        <v>12.425701198586163</v>
      </c>
      <c r="AI12" s="351">
        <f>('Attainment 25+ by race &amp; gender'!ZH11/'Pop 25+ by race &amp; gender'!DG10)*100</f>
        <v>16.628089783660982</v>
      </c>
      <c r="AJ12" s="352">
        <f>('Attainment 25+ by race &amp; gender'!XV11/'Pop 25+ by race &amp; gender'!BC10)*100</f>
        <v>17.484666737835571</v>
      </c>
      <c r="AK12" s="453">
        <f>('Attainment 25+ by race &amp; gender'!ZI11/'Pop 25+ by race &amp; gender'!DI10)*100</f>
        <v>21.135091168417958</v>
      </c>
      <c r="AL12" s="352">
        <f>('Attainment 25+ by race &amp; gender'!FS11/'Pop 25+ by race &amp; gender'!AT10)*100</f>
        <v>82.534915366428791</v>
      </c>
      <c r="AM12" s="453">
        <f>('Attainment 25+ by race &amp; gender'!HL11/'Pop 25+ by race &amp; gender'!DP10)*100</f>
        <v>92.6550038963817</v>
      </c>
      <c r="AN12" s="517">
        <v>67.047985469419018</v>
      </c>
      <c r="AO12" s="453">
        <f>('Attainment 25+ by race &amp; gender'!HM11/'Pop 25+ by race &amp; gender'!DQ10)*100</f>
        <v>81.55383474669901</v>
      </c>
      <c r="AP12" s="453">
        <f>('Attainment 25+ by race &amp; gender'!FU11/'Pop 25+ by race &amp; gender'!BC10)*100</f>
        <v>63.314237654209947</v>
      </c>
      <c r="AQ12" s="453">
        <f>('Attainment 25+ by race &amp; gender'!HN11/'Pop 25+ by race &amp; gender'!DS10)*100</f>
        <v>77.801523518482114</v>
      </c>
      <c r="AR12" s="453">
        <f>('Attainment 25+ by race &amp; gender'!XM11/'Pop 25+ by race &amp; gender'!AT10)*100</f>
        <v>23.817435490003778</v>
      </c>
      <c r="AS12" s="453">
        <f>('Attainment 25+ by race &amp; gender'!ZQ11/'Pop 25+ by race &amp; gender'!DP10)*100</f>
        <v>31.882870827539882</v>
      </c>
      <c r="AT12" s="453">
        <f>('Attainment 25+ by race &amp; gender'!XS11/'Pop 25+ by race &amp; gender'!AZ10)*100</f>
        <v>12.425701198586163</v>
      </c>
      <c r="AU12" s="453">
        <f>('Attainment 25+ by race &amp; gender'!ZR11/'Pop 25+ by race &amp; gender'!DQ10)*100</f>
        <v>18.104158585030273</v>
      </c>
      <c r="AV12" s="453">
        <f>('Attainment 25+ by race &amp; gender'!XV11/'Pop 25+ by race &amp; gender'!BC10)*100</f>
        <v>17.484666737835571</v>
      </c>
      <c r="AW12" s="453">
        <f>('Attainment 25+ by race &amp; gender'!ZS11/'Pop 25+ by race &amp; gender'!DS10)*100</f>
        <v>22.806449858267289</v>
      </c>
      <c r="AX12" s="352">
        <f>('Attainment 25+ by race &amp; gender'!GR11/'Pop 25+ by race &amp; gender'!CV10)*100</f>
        <v>87.499999999999972</v>
      </c>
      <c r="AY12" s="453">
        <f>('Attainment 25+ by race &amp; gender'!HQ11/'Pop 25+ by race &amp; gender'!DU10)*100</f>
        <v>92.368255357815016</v>
      </c>
      <c r="AZ12" s="517">
        <f>('Attainment 25+ by race &amp; gender'!GS11/'Pop 25+ by race &amp; gender'!CW10)*100</f>
        <v>78.2</v>
      </c>
      <c r="BA12" s="453">
        <f>('Attainment 25+ by race &amp; gender'!HR11/'Pop 25+ by race &amp; gender'!DV10)*100</f>
        <v>81.323322293722782</v>
      </c>
      <c r="BB12" s="453">
        <f>('Attainment 25+ by race &amp; gender'!GT11/'Pop 25+ by race &amp; gender'!CY10)*100</f>
        <v>74.200000000000017</v>
      </c>
      <c r="BC12" s="453">
        <f>('Attainment 25+ by race &amp; gender'!HS11/'Pop 25+ by race &amp; gender'!DX10)*100</f>
        <v>78.15221572440737</v>
      </c>
      <c r="BD12" s="453">
        <f>('Attainment 25+ by race &amp; gender'!YW11/'Pop 25+ by race &amp; gender'!CV10)*100</f>
        <v>27.099999999999998</v>
      </c>
      <c r="BE12" s="453">
        <f>('Attainment 25+ by race &amp; gender'!ZV11/'Pop 25+ by race &amp; gender'!DU10)*100</f>
        <v>32.217084392998672</v>
      </c>
      <c r="BF12" s="453">
        <f>('Attainment 25+ by race &amp; gender'!YX11/'Pop 25+ by race &amp; gender'!CW10)*100</f>
        <v>16</v>
      </c>
      <c r="BG12" s="453">
        <f>('Attainment 25+ by race &amp; gender'!ZW11/'Pop 25+ by race &amp; gender'!DV10)*100</f>
        <v>18.253964824026493</v>
      </c>
      <c r="BH12" s="453">
        <f>('Attainment 25+ by race &amp; gender'!YY11/'Pop 25+ by race &amp; gender'!CY10)*100</f>
        <v>20.3</v>
      </c>
      <c r="BI12" s="453">
        <f>('Attainment 25+ by race &amp; gender'!ZX11/'Pop 25+ by race &amp; gender'!DX10)*100</f>
        <v>22.906937697751395</v>
      </c>
      <c r="BJ12" s="352">
        <f>('Attainment 25+ by race &amp; gender'!GW11/'Pop 25+ by race &amp; gender'!DA10)*100</f>
        <v>91.031972824621377</v>
      </c>
      <c r="BK12" s="453">
        <f>('Attainment 25+ by race &amp; gender'!IA11/'Pop 25+ by race &amp; gender'!EE10)*100</f>
        <v>92.897747849118403</v>
      </c>
      <c r="BL12" s="517">
        <f>('Attainment 25+ by race &amp; gender'!GX11/'Pop 25+ by race &amp; gender'!DB10)*100</f>
        <v>79.127877818833085</v>
      </c>
      <c r="BM12" s="453">
        <f>('Attainment 25+ by race &amp; gender'!IB11/'Pop 25+ by race &amp; gender'!EF10)*100</f>
        <v>83.654294297666837</v>
      </c>
      <c r="BN12" s="453">
        <f>('Attainment 25+ by race &amp; gender'!GY11/'Pop 25+ by race &amp; gender'!DD10)*100</f>
        <v>75.020215988267864</v>
      </c>
      <c r="BO12" s="453">
        <f>('Attainment 25+ by race &amp; gender'!IC11/'Pop 25+ by race &amp; gender'!EH10)*100</f>
        <v>80.089349424502842</v>
      </c>
      <c r="BP12" s="453">
        <f>('Attainment 25+ by race &amp; gender'!ZB11/'Pop 25+ by race &amp; gender'!DA10)*100</f>
        <v>29.328043432665162</v>
      </c>
      <c r="BQ12" s="453">
        <f>('Attainment 25+ by race &amp; gender'!AAF11/'Pop 25+ by race &amp; gender'!EE10)*100</f>
        <v>33.345636740681392</v>
      </c>
      <c r="BR12" s="453">
        <f>('Attainment 25+ by race &amp; gender'!ZC11/'Pop 25+ by race &amp; gender'!DB10)*100</f>
        <v>16.135813185812253</v>
      </c>
      <c r="BS12" s="453">
        <f>('Attainment 25+ by race &amp; gender'!AAG11/'Pop 25+ by race &amp; gender'!EF10)*100</f>
        <v>18.822332032456412</v>
      </c>
      <c r="BT12" s="453">
        <f>('Attainment 25+ by race &amp; gender'!ZD11/'Pop 25+ by race &amp; gender'!DD10)*100</f>
        <v>20.760251002864504</v>
      </c>
      <c r="BU12" s="453">
        <f>('Attainment 25+ by race &amp; gender'!AAH11/'Pop 25+ by race &amp; gender'!EH10)*100</f>
        <v>24.093517936163671</v>
      </c>
      <c r="BV12" s="352">
        <f>('Attainment 25+ by race &amp; gender'!HN11/'Pop 25+ by race &amp; gender'!DR10)*100</f>
        <v>255.42932111417312</v>
      </c>
      <c r="BW12" s="453">
        <f>('Attainment 25+ by race &amp; gender'!JB11/'Pop 25+ by race &amp; gender'!EQ10)*100</f>
        <v>6.0335047404788682</v>
      </c>
      <c r="BX12" s="517">
        <f>('Attainment 25+ by race &amp; gender'!HO11/'Pop 25+ by race &amp; gender'!DS10)*100</f>
        <v>25.326764056139258</v>
      </c>
      <c r="BY12" s="453">
        <f>('Attainment 25+ by race &amp; gender'!JC11/'Pop 25+ by race &amp; gender'!ER10)*100</f>
        <v>0.20489212751493754</v>
      </c>
      <c r="BZ12" s="453">
        <f>('Attainment 25+ by race &amp; gender'!HP11/'Pop 25+ by race &amp; gender'!DU10)*100</f>
        <v>147.22305709559933</v>
      </c>
      <c r="CA12" s="453">
        <f>('Attainment 25+ by race &amp; gender'!JD11/'Pop 25+ by race &amp; gender'!ET10)*100</f>
        <v>26.492767603814432</v>
      </c>
      <c r="CB12" s="453">
        <f>('Attainment 25+ by race &amp; gender'!ZS11/'Pop 25+ by race &amp; gender'!DR10)*100</f>
        <v>74.875603212805757</v>
      </c>
      <c r="CC12" s="453">
        <f>('Attainment 25+ by race &amp; gender'!ABB11/'Pop 25+ by race &amp; gender'!EQ10)*100</f>
        <v>67.655953720070698</v>
      </c>
      <c r="CD12" s="453">
        <f>('Attainment 25+ by race &amp; gender'!ZT11/'Pop 25+ by race &amp; gender'!DS10)*100</f>
        <v>10.259581638165596</v>
      </c>
      <c r="CE12" s="453">
        <f>('Attainment 25+ by race &amp; gender'!ABC11/'Pop 25+ by race &amp; gender'!ER10)*100</f>
        <v>5.6150672969001159</v>
      </c>
      <c r="CF12" s="453">
        <f>('Attainment 25+ by race &amp; gender'!ZU11/'Pop 25+ by race &amp; gender'!DU10)*100</f>
        <v>48.222265891542598</v>
      </c>
      <c r="CG12" s="453">
        <f>('Attainment 25+ by race &amp; gender'!ABD11/'Pop 25+ by race &amp; gender'!ET10)*100</f>
        <v>10.187473470330019</v>
      </c>
      <c r="CH12" s="352">
        <f>('Attainment 25+ by race &amp; gender'!HG11/'Pop 25+ by race &amp; gender'!DK10)*100</f>
        <v>91.972150768496192</v>
      </c>
      <c r="CI12" s="452">
        <f>('Attainment 25+ by race &amp; gender'!IK11/'Pop 25+ by race &amp; gender'!EO10)*100</f>
        <v>93.129478525077374</v>
      </c>
      <c r="CJ12" s="517">
        <f>('Attainment 25+ by race &amp; gender'!HH11/'Pop 25+ by race &amp; gender'!DL10)*100</f>
        <v>81.277588656365879</v>
      </c>
      <c r="CK12" s="453">
        <f>('Attainment 25+ by race &amp; gender'!IL11/'Pop 25+ by race &amp; gender'!EP10)*100</f>
        <v>84.305670791707328</v>
      </c>
      <c r="CL12" s="453">
        <f>('Attainment 25+ by race &amp; gender'!HI11/'Pop 25+ by race &amp; gender'!DN10)*100</f>
        <v>77.888056842819381</v>
      </c>
      <c r="CM12" s="453">
        <f>('Attainment 25+ by race &amp; gender'!IM11/'Pop 25+ by race &amp; gender'!ER10)*100</f>
        <v>79.566628370311179</v>
      </c>
      <c r="CN12" s="453">
        <f>('Attainment 25+ by race &amp; gender'!ZL11/'Pop 25+ by race &amp; gender'!DK10)*100</f>
        <v>30.862049981666644</v>
      </c>
      <c r="CO12" s="453">
        <f>('Attainment 25+ by race &amp; gender'!AAP11/'Pop 25+ by race &amp; gender'!EO10)*100</f>
        <v>34.520949227057613</v>
      </c>
      <c r="CP12" s="453">
        <f>('Attainment 25+ by race &amp; gender'!ZM11/'Pop 25+ by race &amp; gender'!DL10)*100</f>
        <v>17.062655467434105</v>
      </c>
      <c r="CQ12" s="453">
        <f>('Attainment 25+ by race &amp; gender'!AAQ11/'Pop 25+ by race &amp; gender'!EP10)*100</f>
        <v>19.308420668425324</v>
      </c>
      <c r="CR12" s="453">
        <f>('Attainment 25+ by race &amp; gender'!ZN11/'Pop 25+ by race &amp; gender'!DN10)*100</f>
        <v>21.586232202762435</v>
      </c>
      <c r="CS12" s="453">
        <f>('Attainment 25+ by race &amp; gender'!AAR11/'Pop 25+ by race &amp; gender'!ER10)*100</f>
        <v>25.696271472130455</v>
      </c>
      <c r="CT12" s="350">
        <f>IFERROR(('Attainment 25+ by race &amp; gender'!HQ11/'Pop 25+ by race &amp; gender'!DU10)*100,"-")</f>
        <v>92.368255357815016</v>
      </c>
      <c r="CU12" s="452">
        <f>IFERROR(('Attainment 25+ by race &amp; gender'!IP11/'Pop 25+ by race &amp; gender'!ET10)*100,"-")</f>
        <v>94.370571585857036</v>
      </c>
      <c r="CV12" s="350">
        <f>IFERROR(('Attainment 25+ by race &amp; gender'!HR11/'Pop 25+ by race &amp; gender'!DV10)*100,"-")</f>
        <v>81.323322293722782</v>
      </c>
      <c r="CW12" s="452">
        <f>IFERROR(('Attainment 25+ by race &amp; gender'!IQ11/'Pop 25+ by race &amp; gender'!EU10)*100, "-")</f>
        <v>85.924219080467637</v>
      </c>
      <c r="CX12" s="452">
        <f>IFERROR(('Attainment 25+ by race &amp; gender'!HS11/'Pop 25+ by race &amp; gender'!DX10)*100, "-")</f>
        <v>78.15221572440737</v>
      </c>
      <c r="CY12" s="452">
        <f>IFERROR(('Attainment 25+ by race &amp; gender'!IR11/'Pop 25+ by race &amp; gender'!EW10)*100, "-")</f>
        <v>81.821432383392036</v>
      </c>
      <c r="CZ12" s="452">
        <f>IFERROR(('Attainment 25+ by race &amp; gender'!HU11/'Pop 25+ by race &amp; gender'!DY10)*100, "-")</f>
        <v>86.237590547072045</v>
      </c>
      <c r="DA12" s="452">
        <f>IFERROR(('Attainment 25+ by race &amp; gender'!IT11/'Pop 25+ by race &amp; gender'!EX10)*100, "-")</f>
        <v>86.953959678713801</v>
      </c>
      <c r="DB12" s="452">
        <f>IFERROR(('Attainment 25+ by race &amp; gender'!HV11/'Pop 25+ by race &amp; gender'!DZ10)*100, "-")</f>
        <v>81.59895462105014</v>
      </c>
      <c r="DC12" s="452">
        <f>IFERROR(('Attainment 25+ by race &amp; gender'!IU11/'Pop 25+ by race &amp; gender'!EY10)*100, "-")</f>
        <v>95.565749235474001</v>
      </c>
      <c r="DD12" s="452">
        <f>IFERROR(('Attainment 25+ by race &amp; gender'!HW11/'Pop 25+ by race &amp; gender'!EA10)*100, "-")</f>
        <v>76.806660105859521</v>
      </c>
      <c r="DE12" s="452">
        <f>IFERROR(('Attainment 25+ by race &amp; gender'!IV11/'Pop 25+ by race &amp; gender'!EZ10)*100, "-")</f>
        <v>74.514441664771439</v>
      </c>
      <c r="DF12" s="452">
        <f>IFERROR(('Attainment 25+ by race &amp; gender'!HX11/'Pop 25+ by race &amp; gender'!EB10)*100, "-")</f>
        <v>84.997062717556176</v>
      </c>
      <c r="DG12" s="452">
        <f>IFERROR(('Attainment 25+ by race &amp; gender'!IW11/'Pop 25+ by race &amp; gender'!FA10)*100, "-")</f>
        <v>84.507539419029143</v>
      </c>
      <c r="DH12" s="452">
        <f>IFERROR(('Attainment 25+ by race &amp; gender'!HY11/'Pop 25+ by race &amp; gender'!EC10)*100, "-")</f>
        <v>74.734021111509591</v>
      </c>
      <c r="DI12" s="452">
        <f>IFERROR(('Attainment 25+ by race &amp; gender'!IX11/'Pop 25+ by race &amp; gender'!FB10)*100, "-")</f>
        <v>77.774273299451892</v>
      </c>
      <c r="DJ12" s="452">
        <f>IFERROR(('Attainment 25+ by race &amp; gender'!ZV11/'Pop 25+ by race &amp; gender'!DU10)*100, "-")</f>
        <v>32.217084392998672</v>
      </c>
      <c r="DK12" s="452">
        <f>IFERROR(('Attainment 25+ by race &amp; gender'!AAU11/'Pop 25+ by race &amp; gender'!ET10)*100, "-")</f>
        <v>37.053137246253193</v>
      </c>
      <c r="DL12" s="452">
        <f>IFERROR(('Attainment 25+ by race &amp; gender'!ZW11/'Pop 25+ by race &amp; gender'!DV10)*100, "-")</f>
        <v>18.253964824026493</v>
      </c>
      <c r="DM12" s="452">
        <f>IFERROR(('Attainment 25+ by race &amp; gender'!AAV11/'Pop 25+ by race &amp; gender'!EU10)*100, "-")</f>
        <v>22.833959243174522</v>
      </c>
      <c r="DN12" s="452">
        <f>IFERROR(('Attainment 25+ by race &amp; gender'!ZX11/'Pop 25+ by race &amp; gender'!DX10)*100, "-")</f>
        <v>22.906937697751395</v>
      </c>
      <c r="DO12" s="452">
        <f>IFERROR(('Attainment 25+ by race &amp; gender'!AAW11/'Pop 25+ by race &amp; gender'!EW10)*100, "-")</f>
        <v>27.524256794189551</v>
      </c>
      <c r="DP12" s="452">
        <f>IFERROR(('Attainment 25+ by race &amp; gender'!ZZ11/'Pop 25+ by race &amp; gender'!DY10)*100, "-")</f>
        <v>50.093808630394001</v>
      </c>
      <c r="DQ12" s="452">
        <f>IFERROR(('Attainment 25+ by race &amp; gender'!AAY11/'Pop 25+ by race &amp; gender'!EX10)*100, "-")</f>
        <v>52.042999404129752</v>
      </c>
      <c r="DR12" s="452">
        <f>IFERROR(('Attainment 25+ by race &amp; gender'!AAA11/'Pop 25+ by race &amp; gender'!DZ10)*100, "-")</f>
        <v>13.851271085768591</v>
      </c>
      <c r="DS12" s="452">
        <f>IFERROR(('Attainment 25+ by race &amp; gender'!AAZ11/'Pop 25+ by race &amp; gender'!EY10)*100, "-")</f>
        <v>26.55845683368619</v>
      </c>
      <c r="DT12" s="452">
        <f>IFERROR(('Attainment 25+ by race &amp; gender'!AAB11/'Pop 25+ by race &amp; gender'!EA10)*100, "-")</f>
        <v>17.461499587733066</v>
      </c>
      <c r="DU12" s="452">
        <f>IFERROR(('Attainment 25+ by race &amp; gender'!ABA11/'Pop 25+ by race &amp; gender'!EZ10)*100, "-")</f>
        <v>22.836024562201501</v>
      </c>
      <c r="DV12" s="452">
        <f>IFERROR(('Attainment 25+ by race &amp; gender'!AAC11/'Pop 25+ by race &amp; gender'!EB10)*100, "-")</f>
        <v>28.076474559626835</v>
      </c>
      <c r="DW12" s="452">
        <f>IFERROR(('Attainment 25+ by race &amp; gender'!ABB11/'Pop 25+ by race &amp; gender'!FA10)*100, "-")</f>
        <v>30.175809282102247</v>
      </c>
      <c r="DX12" s="452">
        <f>IFERROR(('Attainment 25+ by race &amp; gender'!AAD11/'Pop 25+ by race &amp; gender'!EC10)*100, "-")</f>
        <v>18.475767912395856</v>
      </c>
      <c r="DY12" s="452">
        <f>IFERROR(('Attainment 25+ by race &amp; gender'!ABC11/'Pop 25+ by race &amp; gender'!FB10)*100, "-")</f>
        <v>22.963509709753325</v>
      </c>
    </row>
    <row r="13" spans="1:129">
      <c r="A13" s="38" t="s">
        <v>12</v>
      </c>
      <c r="B13" s="351">
        <f>('Attainment 25+ by race &amp; gender'!FS12/'Pop 25+ by race &amp; gender'!AT11)*100</f>
        <v>81.816361728828639</v>
      </c>
      <c r="C13" s="445">
        <f>('Attainment 25+ by race &amp; gender'!GR12/'Pop 25+ by race &amp; gender'!CV11)*100</f>
        <v>86.299999999999983</v>
      </c>
      <c r="D13" s="352">
        <f>('Attainment 25+ by race &amp; gender'!FT12/'Pop 25+ by race &amp; gender'!AZ11)*100</f>
        <v>72.488019076465633</v>
      </c>
      <c r="E13" s="351">
        <f>('Attainment 25+ by race &amp; gender'!GS12/'Pop 25+ by race &amp; gender'!CW11)*100</f>
        <v>82.699999999999989</v>
      </c>
      <c r="F13" s="352">
        <f>('Attainment 25+ by race &amp; gender'!FU12/'Pop 25+ by race &amp; gender'!BC11)*100</f>
        <v>48.526197288803417</v>
      </c>
      <c r="G13" s="351">
        <f>('Attainment 25+ by race &amp; gender'!GT12/'Pop 25+ by race &amp; gender'!CY11)*100</f>
        <v>56.099999999999994</v>
      </c>
      <c r="H13" s="352">
        <f>('Attainment 25+ by race &amp; gender'!XM12/'Pop 25+ by race &amp; gender'!AT11)*100</f>
        <v>27.394325002069209</v>
      </c>
      <c r="I13" s="351">
        <f>('Attainment 25+ by race &amp; gender'!YW12/'Pop 25+ by race &amp; gender'!CV11)*100</f>
        <v>30.4</v>
      </c>
      <c r="J13" s="352">
        <f>('Attainment 25+ by race &amp; gender'!XS12/'Pop 25+ by race &amp; gender'!AZ11)*100</f>
        <v>15.493927590141027</v>
      </c>
      <c r="K13" s="351">
        <f>('Attainment 25+ by race &amp; gender'!YX12/'Pop 25+ by race &amp; gender'!CW11)*100</f>
        <v>19.8</v>
      </c>
      <c r="L13" s="352">
        <f>('Attainment 25+ by race &amp; gender'!XV12/'Pop 25+ by race &amp; gender'!BC11)*100</f>
        <v>13.600544115577653</v>
      </c>
      <c r="M13" s="437">
        <f>('Attainment 25+ by race &amp; gender'!YY12/'Pop 25+ by race &amp; gender'!CY11)*100</f>
        <v>13.499999999999998</v>
      </c>
      <c r="N13" s="351">
        <f>('Attainment 25+ by race &amp; gender'!FS12/'Pop 25+ by race &amp; gender'!AT11)*100</f>
        <v>81.816361728828639</v>
      </c>
      <c r="O13" s="445">
        <f>('Attainment 25+ by race &amp; gender'!GW12/'Pop 25+ by race &amp; gender'!DA11)*100</f>
        <v>88.299443365586555</v>
      </c>
      <c r="P13" s="352">
        <f>('Attainment 25+ by race &amp; gender'!FT12/'Pop 25+ by race &amp; gender'!AZ11)*100</f>
        <v>72.488019076465633</v>
      </c>
      <c r="Q13" s="351">
        <f>('Attainment 25+ by race &amp; gender'!GX12/'Pop 25+ by race &amp; gender'!DB11)*100</f>
        <v>83.165738896972044</v>
      </c>
      <c r="R13" s="352">
        <f>('Attainment 25+ by race &amp; gender'!FU12/'Pop 25+ by race &amp; gender'!BC11)*100</f>
        <v>48.526197288803417</v>
      </c>
      <c r="S13" s="351">
        <f>('Attainment 25+ by race &amp; gender'!GY12/'Pop 25+ by race &amp; gender'!DD11)*100</f>
        <v>56.968759886464404</v>
      </c>
      <c r="T13" s="352">
        <f>('Attainment 25+ by race &amp; gender'!XM12/'Pop 25+ by race &amp; gender'!AT11)*100</f>
        <v>27.394325002069209</v>
      </c>
      <c r="U13" s="351">
        <f>('Attainment 25+ by race &amp; gender'!ZB12/'Pop 25+ by race &amp; gender'!DA11)*100</f>
        <v>31.536709707294897</v>
      </c>
      <c r="V13" s="352">
        <f>('Attainment 25+ by race &amp; gender'!XS12/'Pop 25+ by race &amp; gender'!AZ11)*100</f>
        <v>15.493927590141027</v>
      </c>
      <c r="W13" s="351">
        <f>('Attainment 25+ by race &amp; gender'!ZC12/'Pop 25+ by race &amp; gender'!DB11)*100</f>
        <v>20.369993340362644</v>
      </c>
      <c r="X13" s="352">
        <f>('Attainment 25+ by race &amp; gender'!XV12/'Pop 25+ by race &amp; gender'!BC11)*100</f>
        <v>13.600544115577653</v>
      </c>
      <c r="Y13" s="437">
        <f>('Attainment 25+ by race &amp; gender'!ZD12/'Pop 25+ by race &amp; gender'!DD11)*100</f>
        <v>13.555428810772515</v>
      </c>
      <c r="Z13" s="351">
        <f>('Attainment 25+ by race &amp; gender'!FS12/'Pop 25+ by race &amp; gender'!AT11)*100</f>
        <v>81.816361728828639</v>
      </c>
      <c r="AA13" s="445">
        <f>('Attainment 25+ by race &amp; gender'!HB12/'Pop 25+ by race &amp; gender'!DF11)*100</f>
        <v>88.61380893056193</v>
      </c>
      <c r="AB13" s="352">
        <f>('Attainment 25+ by race &amp; gender'!FT12/'Pop 25+ by race &amp; gender'!AZ11)*100</f>
        <v>72.488019076465633</v>
      </c>
      <c r="AC13" s="351">
        <f>('Attainment 25+ by race &amp; gender'!HC12/'Pop 25+ by race &amp; gender'!DG11)*100</f>
        <v>83.866146083887287</v>
      </c>
      <c r="AD13" s="352">
        <f>('Attainment 25+ by race &amp; gender'!FU12/'Pop 25+ by race &amp; gender'!BC11)*100</f>
        <v>48.526197288803417</v>
      </c>
      <c r="AE13" s="351">
        <f>('Attainment 25+ by race &amp; gender'!HD12/'Pop 25+ by race &amp; gender'!DI11)*100</f>
        <v>57.359655230002105</v>
      </c>
      <c r="AF13" s="352">
        <f>('Attainment 25+ by race &amp; gender'!XM12/'Pop 25+ by race &amp; gender'!AT11)*100</f>
        <v>27.394325002069209</v>
      </c>
      <c r="AG13" s="351">
        <f>('Attainment 25+ by race &amp; gender'!ZG12/'Pop 25+ by race &amp; gender'!DF11)*100</f>
        <v>31.820470788800737</v>
      </c>
      <c r="AH13" s="352">
        <f>('Attainment 25+ by race &amp; gender'!XS12/'Pop 25+ by race &amp; gender'!AZ11)*100</f>
        <v>15.493927590141027</v>
      </c>
      <c r="AI13" s="351">
        <f>('Attainment 25+ by race &amp; gender'!ZH12/'Pop 25+ by race &amp; gender'!DG11)*100</f>
        <v>21.02269676559294</v>
      </c>
      <c r="AJ13" s="352">
        <f>('Attainment 25+ by race &amp; gender'!XV12/'Pop 25+ by race &amp; gender'!BC11)*100</f>
        <v>13.600544115577653</v>
      </c>
      <c r="AK13" s="453">
        <f>('Attainment 25+ by race &amp; gender'!ZI12/'Pop 25+ by race &amp; gender'!DI11)*100</f>
        <v>13.438351975118259</v>
      </c>
      <c r="AL13" s="352">
        <f>('Attainment 25+ by race &amp; gender'!FS12/'Pop 25+ by race &amp; gender'!AT11)*100</f>
        <v>81.816361728828639</v>
      </c>
      <c r="AM13" s="453">
        <f>('Attainment 25+ by race &amp; gender'!HL12/'Pop 25+ by race &amp; gender'!DP11)*100</f>
        <v>89.669618606732044</v>
      </c>
      <c r="AN13" s="517">
        <v>72.488019076465633</v>
      </c>
      <c r="AO13" s="453">
        <f>('Attainment 25+ by race &amp; gender'!HM12/'Pop 25+ by race &amp; gender'!DQ11)*100</f>
        <v>84.960575809085341</v>
      </c>
      <c r="AP13" s="453">
        <f>('Attainment 25+ by race &amp; gender'!FU12/'Pop 25+ by race &amp; gender'!BC11)*100</f>
        <v>48.526197288803417</v>
      </c>
      <c r="AQ13" s="453">
        <f>('Attainment 25+ by race &amp; gender'!HN12/'Pop 25+ by race &amp; gender'!DS11)*100</f>
        <v>61.368668696374208</v>
      </c>
      <c r="AR13" s="453">
        <f>('Attainment 25+ by race &amp; gender'!XM12/'Pop 25+ by race &amp; gender'!AT11)*100</f>
        <v>27.394325002069209</v>
      </c>
      <c r="AS13" s="453">
        <f>('Attainment 25+ by race &amp; gender'!ZQ12/'Pop 25+ by race &amp; gender'!DP11)*100</f>
        <v>33.573436714375511</v>
      </c>
      <c r="AT13" s="453">
        <f>('Attainment 25+ by race &amp; gender'!XS12/'Pop 25+ by race &amp; gender'!AZ11)*100</f>
        <v>15.493927590141027</v>
      </c>
      <c r="AU13" s="453">
        <f>('Attainment 25+ by race &amp; gender'!ZR12/'Pop 25+ by race &amp; gender'!DQ11)*100</f>
        <v>22.786107926700094</v>
      </c>
      <c r="AV13" s="453">
        <f>('Attainment 25+ by race &amp; gender'!XV12/'Pop 25+ by race &amp; gender'!BC11)*100</f>
        <v>13.600544115577653</v>
      </c>
      <c r="AW13" s="453">
        <f>('Attainment 25+ by race &amp; gender'!ZS12/'Pop 25+ by race &amp; gender'!DS11)*100</f>
        <v>16.082650884876511</v>
      </c>
      <c r="AX13" s="352">
        <f>('Attainment 25+ by race &amp; gender'!GR12/'Pop 25+ by race &amp; gender'!CV11)*100</f>
        <v>86.299999999999983</v>
      </c>
      <c r="AY13" s="453">
        <f>('Attainment 25+ by race &amp; gender'!HQ12/'Pop 25+ by race &amp; gender'!DU11)*100</f>
        <v>89.809164607047194</v>
      </c>
      <c r="AZ13" s="517">
        <f>('Attainment 25+ by race &amp; gender'!GS12/'Pop 25+ by race &amp; gender'!CW11)*100</f>
        <v>82.699999999999989</v>
      </c>
      <c r="BA13" s="453">
        <f>('Attainment 25+ by race &amp; gender'!HR12/'Pop 25+ by race &amp; gender'!DV11)*100</f>
        <v>86.119840487873205</v>
      </c>
      <c r="BB13" s="453">
        <f>('Attainment 25+ by race &amp; gender'!GT12/'Pop 25+ by race &amp; gender'!CY11)*100</f>
        <v>56.099999999999994</v>
      </c>
      <c r="BC13" s="453">
        <f>('Attainment 25+ by race &amp; gender'!HS12/'Pop 25+ by race &amp; gender'!DX11)*100</f>
        <v>59.852070768959685</v>
      </c>
      <c r="BD13" s="453">
        <f>('Attainment 25+ by race &amp; gender'!YW12/'Pop 25+ by race &amp; gender'!CV11)*100</f>
        <v>30.4</v>
      </c>
      <c r="BE13" s="453">
        <f>('Attainment 25+ by race &amp; gender'!ZV12/'Pop 25+ by race &amp; gender'!DU11)*100</f>
        <v>33.904584100636256</v>
      </c>
      <c r="BF13" s="453">
        <f>('Attainment 25+ by race &amp; gender'!YX12/'Pop 25+ by race &amp; gender'!CW11)*100</f>
        <v>19.8</v>
      </c>
      <c r="BG13" s="453">
        <f>('Attainment 25+ by race &amp; gender'!ZW12/'Pop 25+ by race &amp; gender'!DV11)*100</f>
        <v>23.418306547319229</v>
      </c>
      <c r="BH13" s="453">
        <f>('Attainment 25+ by race &amp; gender'!YY12/'Pop 25+ by race &amp; gender'!CY11)*100</f>
        <v>13.499999999999998</v>
      </c>
      <c r="BI13" s="453">
        <f>('Attainment 25+ by race &amp; gender'!ZX12/'Pop 25+ by race &amp; gender'!DX11)*100</f>
        <v>16.814635943519384</v>
      </c>
      <c r="BJ13" s="352">
        <f>('Attainment 25+ by race &amp; gender'!GW12/'Pop 25+ by race &amp; gender'!DA11)*100</f>
        <v>88.299443365586555</v>
      </c>
      <c r="BK13" s="453">
        <f>('Attainment 25+ by race &amp; gender'!IA12/'Pop 25+ by race &amp; gender'!EE11)*100</f>
        <v>90.897067832401149</v>
      </c>
      <c r="BL13" s="517">
        <f>('Attainment 25+ by race &amp; gender'!GX12/'Pop 25+ by race &amp; gender'!DB11)*100</f>
        <v>83.165738896972044</v>
      </c>
      <c r="BM13" s="453">
        <f>('Attainment 25+ by race &amp; gender'!IB12/'Pop 25+ by race &amp; gender'!EF11)*100</f>
        <v>86.195935543368407</v>
      </c>
      <c r="BN13" s="453">
        <f>('Attainment 25+ by race &amp; gender'!GY12/'Pop 25+ by race &amp; gender'!DD11)*100</f>
        <v>56.968759886464404</v>
      </c>
      <c r="BO13" s="453">
        <f>('Attainment 25+ by race &amp; gender'!IC12/'Pop 25+ by race &amp; gender'!EH11)*100</f>
        <v>60.893520964410932</v>
      </c>
      <c r="BP13" s="453">
        <f>('Attainment 25+ by race &amp; gender'!ZB12/'Pop 25+ by race &amp; gender'!DA11)*100</f>
        <v>31.536709707294897</v>
      </c>
      <c r="BQ13" s="453">
        <f>('Attainment 25+ by race &amp; gender'!AAF12/'Pop 25+ by race &amp; gender'!EE11)*100</f>
        <v>34.958213712197036</v>
      </c>
      <c r="BR13" s="453">
        <f>('Attainment 25+ by race &amp; gender'!ZC12/'Pop 25+ by race &amp; gender'!DB11)*100</f>
        <v>20.369993340362644</v>
      </c>
      <c r="BS13" s="453">
        <f>('Attainment 25+ by race &amp; gender'!AAG12/'Pop 25+ by race &amp; gender'!EF11)*100</f>
        <v>23.32764043992988</v>
      </c>
      <c r="BT13" s="453">
        <f>('Attainment 25+ by race &amp; gender'!ZD12/'Pop 25+ by race &amp; gender'!DD11)*100</f>
        <v>13.555428810772515</v>
      </c>
      <c r="BU13" s="453">
        <f>('Attainment 25+ by race &amp; gender'!AAH12/'Pop 25+ by race &amp; gender'!EH11)*100</f>
        <v>16.760001921137313</v>
      </c>
      <c r="BV13" s="352">
        <f>('Attainment 25+ by race &amp; gender'!HN12/'Pop 25+ by race &amp; gender'!DR11)*100</f>
        <v>58.61533407587536</v>
      </c>
      <c r="BW13" s="453">
        <f>('Attainment 25+ by race &amp; gender'!JB12/'Pop 25+ by race &amp; gender'!EQ11)*100</f>
        <v>0.74962764397356718</v>
      </c>
      <c r="BX13" s="517">
        <f>('Attainment 25+ by race &amp; gender'!HO12/'Pop 25+ by race &amp; gender'!DS11)*100</f>
        <v>81.917015353055149</v>
      </c>
      <c r="BY13" s="453">
        <f>('Attainment 25+ by race &amp; gender'!JC12/'Pop 25+ by race &amp; gender'!ER11)*100</f>
        <v>0.55390412775648712</v>
      </c>
      <c r="BZ13" s="453">
        <f>('Attainment 25+ by race &amp; gender'!HP12/'Pop 25+ by race &amp; gender'!DU11)*100</f>
        <v>150.51509099679933</v>
      </c>
      <c r="CA13" s="453">
        <f>('Attainment 25+ by race &amp; gender'!JD12/'Pop 25+ by race &amp; gender'!ET11)*100</f>
        <v>22.570158134573028</v>
      </c>
      <c r="CB13" s="453">
        <f>('Attainment 25+ by race &amp; gender'!ZS12/'Pop 25+ by race &amp; gender'!DR11)*100</f>
        <v>15.361095074536058</v>
      </c>
      <c r="CC13" s="453">
        <f>('Attainment 25+ by race &amp; gender'!ABB12/'Pop 25+ by race &amp; gender'!EQ11)*100</f>
        <v>25.488486866359821</v>
      </c>
      <c r="CD13" s="453">
        <f>('Attainment 25+ by race &amp; gender'!ZT12/'Pop 25+ by race &amp; gender'!DS11)*100</f>
        <v>38.272537080151743</v>
      </c>
      <c r="CE13" s="453">
        <f>('Attainment 25+ by race &amp; gender'!ABC12/'Pop 25+ by race &amp; gender'!ER11)*100</f>
        <v>7.7802676227671421</v>
      </c>
      <c r="CF13" s="453">
        <f>('Attainment 25+ by race &amp; gender'!ZU12/'Pop 25+ by race &amp; gender'!DU11)*100</f>
        <v>53.04758215179595</v>
      </c>
      <c r="CG13" s="453">
        <f>('Attainment 25+ by race &amp; gender'!ABD12/'Pop 25+ by race &amp; gender'!ET11)*100</f>
        <v>10.992552332166905</v>
      </c>
      <c r="CH13" s="352">
        <f>('Attainment 25+ by race &amp; gender'!HG12/'Pop 25+ by race &amp; gender'!DK11)*100</f>
        <v>89.392670714403479</v>
      </c>
      <c r="CI13" s="452">
        <f>('Attainment 25+ by race &amp; gender'!IK12/'Pop 25+ by race &amp; gender'!EO11)*100</f>
        <v>91.180013993021731</v>
      </c>
      <c r="CJ13" s="517">
        <f>('Attainment 25+ by race &amp; gender'!HH12/'Pop 25+ by race &amp; gender'!DL11)*100</f>
        <v>84.08419602353321</v>
      </c>
      <c r="CK13" s="453">
        <f>('Attainment 25+ by race &amp; gender'!IL12/'Pop 25+ by race &amp; gender'!EP11)*100</f>
        <v>87.888050788401785</v>
      </c>
      <c r="CL13" s="453">
        <f>('Attainment 25+ by race &amp; gender'!HI12/'Pop 25+ by race &amp; gender'!DN11)*100</f>
        <v>60.234204758358324</v>
      </c>
      <c r="CM13" s="453">
        <f>('Attainment 25+ by race &amp; gender'!IM12/'Pop 25+ by race &amp; gender'!ER11)*100</f>
        <v>64.347818133591872</v>
      </c>
      <c r="CN13" s="453">
        <f>('Attainment 25+ by race &amp; gender'!ZL12/'Pop 25+ by race &amp; gender'!DK11)*100</f>
        <v>33.105891547136402</v>
      </c>
      <c r="CO13" s="453">
        <f>('Attainment 25+ by race &amp; gender'!AAP12/'Pop 25+ by race &amp; gender'!EO11)*100</f>
        <v>36.508006470632644</v>
      </c>
      <c r="CP13" s="453">
        <f>('Attainment 25+ by race &amp; gender'!ZM12/'Pop 25+ by race &amp; gender'!DL11)*100</f>
        <v>21.005963618989465</v>
      </c>
      <c r="CQ13" s="453">
        <f>('Attainment 25+ by race &amp; gender'!AAQ12/'Pop 25+ by race &amp; gender'!EP11)*100</f>
        <v>24.786003925090398</v>
      </c>
      <c r="CR13" s="453">
        <f>('Attainment 25+ by race &amp; gender'!ZN12/'Pop 25+ by race &amp; gender'!DN11)*100</f>
        <v>15.435701903470637</v>
      </c>
      <c r="CS13" s="453">
        <f>('Attainment 25+ by race &amp; gender'!AAR12/'Pop 25+ by race &amp; gender'!ER11)*100</f>
        <v>19.195485352089488</v>
      </c>
      <c r="CT13" s="350">
        <f>IFERROR(('Attainment 25+ by race &amp; gender'!HQ12/'Pop 25+ by race &amp; gender'!DU11)*100,"-")</f>
        <v>89.809164607047194</v>
      </c>
      <c r="CU13" s="452">
        <f>IFERROR(('Attainment 25+ by race &amp; gender'!IP12/'Pop 25+ by race &amp; gender'!ET11)*100,"-")</f>
        <v>92.183039835851915</v>
      </c>
      <c r="CV13" s="350">
        <f>IFERROR(('Attainment 25+ by race &amp; gender'!HR12/'Pop 25+ by race &amp; gender'!DV11)*100,"-")</f>
        <v>86.119840487873205</v>
      </c>
      <c r="CW13" s="452">
        <f>IFERROR(('Attainment 25+ by race &amp; gender'!IQ12/'Pop 25+ by race &amp; gender'!EU11)*100, "-")</f>
        <v>88.666596856115817</v>
      </c>
      <c r="CX13" s="452">
        <f>IFERROR(('Attainment 25+ by race &amp; gender'!HS12/'Pop 25+ by race &amp; gender'!DX11)*100, "-")</f>
        <v>59.852070768959685</v>
      </c>
      <c r="CY13" s="452">
        <f>IFERROR(('Attainment 25+ by race &amp; gender'!IR12/'Pop 25+ by race &amp; gender'!EW11)*100, "-")</f>
        <v>68.32906504454283</v>
      </c>
      <c r="CZ13" s="452">
        <f>IFERROR(('Attainment 25+ by race &amp; gender'!HU12/'Pop 25+ by race &amp; gender'!DY11)*100, "-")</f>
        <v>86.793893974783316</v>
      </c>
      <c r="DA13" s="452">
        <f>IFERROR(('Attainment 25+ by race &amp; gender'!IT12/'Pop 25+ by race &amp; gender'!EX11)*100, "-")</f>
        <v>88.013084375440187</v>
      </c>
      <c r="DB13" s="452" t="str">
        <f>IFERROR(('Attainment 25+ by race &amp; gender'!HV12/'Pop 25+ by race &amp; gender'!DZ11)*100, "-")</f>
        <v>-</v>
      </c>
      <c r="DC13" s="452" t="str">
        <f>IFERROR(('Attainment 25+ by race &amp; gender'!IU12/'Pop 25+ by race &amp; gender'!EY11)*100, "-")</f>
        <v>-</v>
      </c>
      <c r="DD13" s="452">
        <f>IFERROR(('Attainment 25+ by race &amp; gender'!HW12/'Pop 25+ by race &amp; gender'!EA11)*100, "-")</f>
        <v>66.609676867840662</v>
      </c>
      <c r="DE13" s="452">
        <f>IFERROR(('Attainment 25+ by race &amp; gender'!IV12/'Pop 25+ by race &amp; gender'!EZ11)*100, "-")</f>
        <v>59.135102288839377</v>
      </c>
      <c r="DF13" s="452">
        <f>IFERROR(('Attainment 25+ by race &amp; gender'!HX12/'Pop 25+ by race &amp; gender'!EB11)*100, "-")</f>
        <v>88.211457560009904</v>
      </c>
      <c r="DG13" s="452">
        <f>IFERROR(('Attainment 25+ by race &amp; gender'!IW12/'Pop 25+ by race &amp; gender'!FA11)*100, "-")</f>
        <v>81.333458379560525</v>
      </c>
      <c r="DH13" s="452">
        <f>IFERROR(('Attainment 25+ by race &amp; gender'!HY12/'Pop 25+ by race &amp; gender'!EC11)*100, "-")</f>
        <v>54.237897805796941</v>
      </c>
      <c r="DI13" s="452">
        <f>IFERROR(('Attainment 25+ by race &amp; gender'!IX12/'Pop 25+ by race &amp; gender'!FB11)*100, "-")</f>
        <v>62.736898260334918</v>
      </c>
      <c r="DJ13" s="452">
        <f>IFERROR(('Attainment 25+ by race &amp; gender'!ZV12/'Pop 25+ by race &amp; gender'!DU11)*100, "-")</f>
        <v>33.904584100636256</v>
      </c>
      <c r="DK13" s="452">
        <f>IFERROR(('Attainment 25+ by race &amp; gender'!AAU12/'Pop 25+ by race &amp; gender'!ET11)*100, "-")</f>
        <v>38.081560060840246</v>
      </c>
      <c r="DL13" s="452">
        <f>IFERROR(('Attainment 25+ by race &amp; gender'!ZW12/'Pop 25+ by race &amp; gender'!DV11)*100, "-")</f>
        <v>23.418306547319229</v>
      </c>
      <c r="DM13" s="452">
        <f>IFERROR(('Attainment 25+ by race &amp; gender'!AAV12/'Pop 25+ by race &amp; gender'!EU11)*100, "-")</f>
        <v>27.794128685556906</v>
      </c>
      <c r="DN13" s="452">
        <f>IFERROR(('Attainment 25+ by race &amp; gender'!ZX12/'Pop 25+ by race &amp; gender'!DX11)*100, "-")</f>
        <v>16.814635943519384</v>
      </c>
      <c r="DO13" s="452">
        <f>IFERROR(('Attainment 25+ by race &amp; gender'!AAW12/'Pop 25+ by race &amp; gender'!EW11)*100, "-")</f>
        <v>22.748615490145216</v>
      </c>
      <c r="DP13" s="452">
        <f>IFERROR(('Attainment 25+ by race &amp; gender'!ZZ12/'Pop 25+ by race &amp; gender'!DY11)*100, "-")</f>
        <v>57.716107464272667</v>
      </c>
      <c r="DQ13" s="452">
        <f>IFERROR(('Attainment 25+ by race &amp; gender'!AAY12/'Pop 25+ by race &amp; gender'!EX11)*100, "-")</f>
        <v>58.505000547790843</v>
      </c>
      <c r="DR13" s="452" t="str">
        <f>IFERROR(('Attainment 25+ by race &amp; gender'!AAA12/'Pop 25+ by race &amp; gender'!DZ11)*100, "-")</f>
        <v>-</v>
      </c>
      <c r="DS13" s="452" t="str">
        <f>IFERROR(('Attainment 25+ by race &amp; gender'!AAZ12/'Pop 25+ by race &amp; gender'!EY11)*100, "-")</f>
        <v>-</v>
      </c>
      <c r="DT13" s="452">
        <f>IFERROR(('Attainment 25+ by race &amp; gender'!AAB12/'Pop 25+ by race &amp; gender'!EA11)*100, "-")</f>
        <v>14.468285176953325</v>
      </c>
      <c r="DU13" s="452">
        <f>IFERROR(('Attainment 25+ by race &amp; gender'!ABA12/'Pop 25+ by race &amp; gender'!EZ11)*100, "-")</f>
        <v>17.871852001890488</v>
      </c>
      <c r="DV13" s="452">
        <f>IFERROR(('Attainment 25+ by race &amp; gender'!AAC12/'Pop 25+ by race &amp; gender'!EB11)*100, "-")</f>
        <v>33.212694877505569</v>
      </c>
      <c r="DW13" s="452">
        <f>IFERROR(('Attainment 25+ by race &amp; gender'!ABB12/'Pop 25+ by race &amp; gender'!FA11)*100, "-")</f>
        <v>31.040131857255744</v>
      </c>
      <c r="DX13" s="452">
        <f>IFERROR(('Attainment 25+ by race &amp; gender'!AAD12/'Pop 25+ by race &amp; gender'!EC11)*100, "-")</f>
        <v>10.851113509147247</v>
      </c>
      <c r="DY13" s="452">
        <f>IFERROR(('Attainment 25+ by race &amp; gender'!ABC12/'Pop 25+ by race &amp; gender'!FB11)*100, "-")</f>
        <v>19.228543527794855</v>
      </c>
    </row>
    <row r="14" spans="1:129">
      <c r="A14" s="38" t="s">
        <v>13</v>
      </c>
      <c r="B14" s="351">
        <f>('Attainment 25+ by race &amp; gender'!FS13/'Pop 25+ by race &amp; gender'!AT12)*100</f>
        <v>74.190196769672738</v>
      </c>
      <c r="C14" s="445">
        <f>('Attainment 25+ by race &amp; gender'!GR13/'Pop 25+ by race &amp; gender'!CV12)*100</f>
        <v>82.4</v>
      </c>
      <c r="D14" s="352">
        <f>('Attainment 25+ by race &amp; gender'!FT13/'Pop 25+ by race &amp; gender'!AZ12)*100</f>
        <v>73.181815513060627</v>
      </c>
      <c r="E14" s="351">
        <f>('Attainment 25+ by race &amp; gender'!GS13/'Pop 25+ by race &amp; gender'!CW12)*100</f>
        <v>82.4</v>
      </c>
      <c r="F14" s="352">
        <f>('Attainment 25+ by race &amp; gender'!FU13/'Pop 25+ by race &amp; gender'!BC12)*100</f>
        <v>59.059400661192271</v>
      </c>
      <c r="G14" s="351">
        <f>('Attainment 25+ by race &amp; gender'!GT13/'Pop 25+ by race &amp; gender'!CY12)*100</f>
        <v>63.9</v>
      </c>
      <c r="H14" s="352">
        <f>('Attainment 25+ by race &amp; gender'!XM13/'Pop 25+ by race &amp; gender'!AT12)*100</f>
        <v>17.35508430830982</v>
      </c>
      <c r="I14" s="351">
        <f>('Attainment 25+ by race &amp; gender'!YW13/'Pop 25+ by race &amp; gender'!CV12)*100</f>
        <v>21.099999999999998</v>
      </c>
      <c r="J14" s="352">
        <f>('Attainment 25+ by race &amp; gender'!XS13/'Pop 25+ by race &amp; gender'!AZ12)*100</f>
        <v>10.65987165411194</v>
      </c>
      <c r="K14" s="351">
        <f>('Attainment 25+ by race &amp; gender'!YX13/'Pop 25+ by race &amp; gender'!CW12)*100</f>
        <v>14.499999999999998</v>
      </c>
      <c r="L14" s="352">
        <f>('Attainment 25+ by race &amp; gender'!XV13/'Pop 25+ by race &amp; gender'!BC12)*100</f>
        <v>12.960790586897017</v>
      </c>
      <c r="M14" s="437">
        <f>('Attainment 25+ by race &amp; gender'!YY13/'Pop 25+ by race &amp; gender'!CY12)*100</f>
        <v>13.4</v>
      </c>
      <c r="N14" s="351">
        <f>('Attainment 25+ by race &amp; gender'!FS13/'Pop 25+ by race &amp; gender'!AT12)*100</f>
        <v>74.190196769672738</v>
      </c>
      <c r="O14" s="445">
        <f>('Attainment 25+ by race &amp; gender'!GW13/'Pop 25+ by race &amp; gender'!DA12)*100</f>
        <v>83.311319118293028</v>
      </c>
      <c r="P14" s="352">
        <f>('Attainment 25+ by race &amp; gender'!FT13/'Pop 25+ by race &amp; gender'!AZ12)*100</f>
        <v>73.181815513060627</v>
      </c>
      <c r="Q14" s="351">
        <f>('Attainment 25+ by race &amp; gender'!GX13/'Pop 25+ by race &amp; gender'!DB12)*100</f>
        <v>82.660824345146381</v>
      </c>
      <c r="R14" s="352">
        <f>('Attainment 25+ by race &amp; gender'!FU13/'Pop 25+ by race &amp; gender'!BC12)*100</f>
        <v>59.059400661192271</v>
      </c>
      <c r="S14" s="351">
        <f>('Attainment 25+ by race &amp; gender'!GY13/'Pop 25+ by race &amp; gender'!DD12)*100</f>
        <v>65.70719828172976</v>
      </c>
      <c r="T14" s="352">
        <f>('Attainment 25+ by race &amp; gender'!XM13/'Pop 25+ by race &amp; gender'!AT12)*100</f>
        <v>17.35508430830982</v>
      </c>
      <c r="U14" s="351">
        <f>('Attainment 25+ by race &amp; gender'!ZB13/'Pop 25+ by race &amp; gender'!DA12)*100</f>
        <v>21.397082997389585</v>
      </c>
      <c r="V14" s="352">
        <f>('Attainment 25+ by race &amp; gender'!XS13/'Pop 25+ by race &amp; gender'!AZ12)*100</f>
        <v>10.65987165411194</v>
      </c>
      <c r="W14" s="351">
        <f>('Attainment 25+ by race &amp; gender'!ZC13/'Pop 25+ by race &amp; gender'!DB12)*100</f>
        <v>15.17526964560863</v>
      </c>
      <c r="X14" s="352">
        <f>('Attainment 25+ by race &amp; gender'!XV13/'Pop 25+ by race &amp; gender'!BC12)*100</f>
        <v>12.960790586897017</v>
      </c>
      <c r="Y14" s="437">
        <f>('Attainment 25+ by race &amp; gender'!ZD13/'Pop 25+ by race &amp; gender'!DD12)*100</f>
        <v>14.248332400586875</v>
      </c>
      <c r="Z14" s="351">
        <f>('Attainment 25+ by race &amp; gender'!FS13/'Pop 25+ by race &amp; gender'!AT12)*100</f>
        <v>74.190196769672738</v>
      </c>
      <c r="AA14" s="445">
        <f>('Attainment 25+ by race &amp; gender'!HB13/'Pop 25+ by race &amp; gender'!DF12)*100</f>
        <v>83.98805679033174</v>
      </c>
      <c r="AB14" s="352">
        <f>('Attainment 25+ by race &amp; gender'!FT13/'Pop 25+ by race &amp; gender'!AZ12)*100</f>
        <v>73.181815513060627</v>
      </c>
      <c r="AC14" s="351">
        <f>('Attainment 25+ by race &amp; gender'!HC13/'Pop 25+ by race &amp; gender'!DG12)*100</f>
        <v>83.662645788542406</v>
      </c>
      <c r="AD14" s="352">
        <f>('Attainment 25+ by race &amp; gender'!FU13/'Pop 25+ by race &amp; gender'!BC12)*100</f>
        <v>59.059400661192271</v>
      </c>
      <c r="AE14" s="351">
        <f>('Attainment 25+ by race &amp; gender'!HD13/'Pop 25+ by race &amp; gender'!DI12)*100</f>
        <v>66.795253531249543</v>
      </c>
      <c r="AF14" s="352">
        <f>('Attainment 25+ by race &amp; gender'!XM13/'Pop 25+ by race &amp; gender'!AT12)*100</f>
        <v>17.35508430830982</v>
      </c>
      <c r="AG14" s="351">
        <f>('Attainment 25+ by race &amp; gender'!ZG13/'Pop 25+ by race &amp; gender'!DF12)*100</f>
        <v>22.042902036639248</v>
      </c>
      <c r="AH14" s="352">
        <f>('Attainment 25+ by race &amp; gender'!XS13/'Pop 25+ by race &amp; gender'!AZ12)*100</f>
        <v>10.65987165411194</v>
      </c>
      <c r="AI14" s="351">
        <f>('Attainment 25+ by race &amp; gender'!ZH13/'Pop 25+ by race &amp; gender'!DG12)*100</f>
        <v>15.444548031735764</v>
      </c>
      <c r="AJ14" s="352">
        <f>('Attainment 25+ by race &amp; gender'!XV13/'Pop 25+ by race &amp; gender'!BC12)*100</f>
        <v>12.960790586897017</v>
      </c>
      <c r="AK14" s="453">
        <f>('Attainment 25+ by race &amp; gender'!ZI13/'Pop 25+ by race &amp; gender'!DI12)*100</f>
        <v>15.335083679246667</v>
      </c>
      <c r="AL14" s="352">
        <f>('Attainment 25+ by race &amp; gender'!FS13/'Pop 25+ by race &amp; gender'!AT12)*100</f>
        <v>74.190196769672738</v>
      </c>
      <c r="AM14" s="453">
        <f>('Attainment 25+ by race &amp; gender'!HL13/'Pop 25+ by race &amp; gender'!DP12)*100</f>
        <v>85.694302081572999</v>
      </c>
      <c r="AN14" s="517">
        <v>73.181815513060627</v>
      </c>
      <c r="AO14" s="453">
        <f>('Attainment 25+ by race &amp; gender'!HM13/'Pop 25+ by race &amp; gender'!DQ12)*100</f>
        <v>84.146762190231684</v>
      </c>
      <c r="AP14" s="453">
        <f>('Attainment 25+ by race &amp; gender'!FU13/'Pop 25+ by race &amp; gender'!BC12)*100</f>
        <v>59.059400661192271</v>
      </c>
      <c r="AQ14" s="453">
        <f>('Attainment 25+ by race &amp; gender'!HN13/'Pop 25+ by race &amp; gender'!DS12)*100</f>
        <v>68.259772656405033</v>
      </c>
      <c r="AR14" s="453">
        <f>('Attainment 25+ by race &amp; gender'!XM13/'Pop 25+ by race &amp; gender'!AT12)*100</f>
        <v>17.35508430830982</v>
      </c>
      <c r="AS14" s="453">
        <f>('Attainment 25+ by race &amp; gender'!ZQ13/'Pop 25+ by race &amp; gender'!DP12)*100</f>
        <v>23.583798314737255</v>
      </c>
      <c r="AT14" s="453">
        <f>('Attainment 25+ by race &amp; gender'!XS13/'Pop 25+ by race &amp; gender'!AZ12)*100</f>
        <v>10.65987165411194</v>
      </c>
      <c r="AU14" s="453">
        <f>('Attainment 25+ by race &amp; gender'!ZR13/'Pop 25+ by race &amp; gender'!DQ12)*100</f>
        <v>16.340264616404784</v>
      </c>
      <c r="AV14" s="453">
        <f>('Attainment 25+ by race &amp; gender'!XV13/'Pop 25+ by race &amp; gender'!BC12)*100</f>
        <v>12.960790586897017</v>
      </c>
      <c r="AW14" s="453">
        <f>('Attainment 25+ by race &amp; gender'!ZS13/'Pop 25+ by race &amp; gender'!DS12)*100</f>
        <v>17.773620205799812</v>
      </c>
      <c r="AX14" s="352">
        <f>('Attainment 25+ by race &amp; gender'!GR13/'Pop 25+ by race &amp; gender'!CV12)*100</f>
        <v>82.4</v>
      </c>
      <c r="AY14" s="453">
        <f>('Attainment 25+ by race &amp; gender'!HQ13/'Pop 25+ by race &amp; gender'!DU12)*100</f>
        <v>86.22495286768536</v>
      </c>
      <c r="AZ14" s="517">
        <f>('Attainment 25+ by race &amp; gender'!GS13/'Pop 25+ by race &amp; gender'!CW12)*100</f>
        <v>82.4</v>
      </c>
      <c r="BA14" s="453">
        <f>('Attainment 25+ by race &amp; gender'!HR13/'Pop 25+ by race &amp; gender'!DV12)*100</f>
        <v>85.369669691209694</v>
      </c>
      <c r="BB14" s="453">
        <f>('Attainment 25+ by race &amp; gender'!GT13/'Pop 25+ by race &amp; gender'!CY12)*100</f>
        <v>63.9</v>
      </c>
      <c r="BC14" s="453">
        <f>('Attainment 25+ by race &amp; gender'!HS13/'Pop 25+ by race &amp; gender'!DX12)*100</f>
        <v>67.642339401316889</v>
      </c>
      <c r="BD14" s="453">
        <f>('Attainment 25+ by race &amp; gender'!YW13/'Pop 25+ by race &amp; gender'!CV12)*100</f>
        <v>21.099999999999998</v>
      </c>
      <c r="BE14" s="453">
        <f>('Attainment 25+ by race &amp; gender'!ZV13/'Pop 25+ by race &amp; gender'!DU12)*100</f>
        <v>23.866425954296123</v>
      </c>
      <c r="BF14" s="453">
        <f>('Attainment 25+ by race &amp; gender'!YX13/'Pop 25+ by race &amp; gender'!CW12)*100</f>
        <v>14.499999999999998</v>
      </c>
      <c r="BG14" s="453">
        <f>('Attainment 25+ by race &amp; gender'!ZW13/'Pop 25+ by race &amp; gender'!DV12)*100</f>
        <v>14.543808055087329</v>
      </c>
      <c r="BH14" s="453">
        <f>('Attainment 25+ by race &amp; gender'!YY13/'Pop 25+ by race &amp; gender'!CY12)*100</f>
        <v>13.4</v>
      </c>
      <c r="BI14" s="453">
        <f>('Attainment 25+ by race &amp; gender'!ZX13/'Pop 25+ by race &amp; gender'!DX12)*100</f>
        <v>20.650971061804903</v>
      </c>
      <c r="BJ14" s="352">
        <f>('Attainment 25+ by race &amp; gender'!GW13/'Pop 25+ by race &amp; gender'!DA12)*100</f>
        <v>83.311319118293028</v>
      </c>
      <c r="BK14" s="453">
        <f>('Attainment 25+ by race &amp; gender'!IA13/'Pop 25+ by race &amp; gender'!EE12)*100</f>
        <v>86.519143522107811</v>
      </c>
      <c r="BL14" s="517">
        <f>('Attainment 25+ by race &amp; gender'!GX13/'Pop 25+ by race &amp; gender'!DB12)*100</f>
        <v>82.660824345146381</v>
      </c>
      <c r="BM14" s="453">
        <f>('Attainment 25+ by race &amp; gender'!IB13/'Pop 25+ by race &amp; gender'!EF12)*100</f>
        <v>88.494340346043586</v>
      </c>
      <c r="BN14" s="453">
        <f>('Attainment 25+ by race &amp; gender'!GY13/'Pop 25+ by race &amp; gender'!DD12)*100</f>
        <v>65.70719828172976</v>
      </c>
      <c r="BO14" s="453">
        <f>('Attainment 25+ by race &amp; gender'!IC13/'Pop 25+ by race &amp; gender'!EH12)*100</f>
        <v>73.358714708114192</v>
      </c>
      <c r="BP14" s="453">
        <f>('Attainment 25+ by race &amp; gender'!ZB13/'Pop 25+ by race &amp; gender'!DA12)*100</f>
        <v>21.397082997389585</v>
      </c>
      <c r="BQ14" s="453">
        <f>('Attainment 25+ by race &amp; gender'!AAF13/'Pop 25+ by race &amp; gender'!EE12)*100</f>
        <v>24.064035290910795</v>
      </c>
      <c r="BR14" s="453">
        <f>('Attainment 25+ by race &amp; gender'!ZC13/'Pop 25+ by race &amp; gender'!DB12)*100</f>
        <v>15.17526964560863</v>
      </c>
      <c r="BS14" s="453">
        <f>('Attainment 25+ by race &amp; gender'!AAG13/'Pop 25+ by race &amp; gender'!EF12)*100</f>
        <v>19.001636150454512</v>
      </c>
      <c r="BT14" s="453">
        <f>('Attainment 25+ by race &amp; gender'!ZD13/'Pop 25+ by race &amp; gender'!DD12)*100</f>
        <v>14.248332400586875</v>
      </c>
      <c r="BU14" s="453">
        <f>('Attainment 25+ by race &amp; gender'!AAH13/'Pop 25+ by race &amp; gender'!EH12)*100</f>
        <v>21.232697490645524</v>
      </c>
      <c r="BV14" s="352">
        <f>('Attainment 25+ by race &amp; gender'!HN13/'Pop 25+ by race &amp; gender'!DR12)*100</f>
        <v>51.193741097433929</v>
      </c>
      <c r="BW14" s="453">
        <f>('Attainment 25+ by race &amp; gender'!JB13/'Pop 25+ by race &amp; gender'!EQ12)*100</f>
        <v>1.1798861056314438</v>
      </c>
      <c r="BX14" s="517">
        <f>('Attainment 25+ by race &amp; gender'!HO13/'Pop 25+ by race &amp; gender'!DS12)*100</f>
        <v>64.549139666071369</v>
      </c>
      <c r="BY14" s="453">
        <f>('Attainment 25+ by race &amp; gender'!JC13/'Pop 25+ by race &amp; gender'!ER12)*100</f>
        <v>1.4174663085533088</v>
      </c>
      <c r="BZ14" s="453">
        <f>('Attainment 25+ by race &amp; gender'!HP13/'Pop 25+ by race &amp; gender'!DU12)*100</f>
        <v>97.730986413101419</v>
      </c>
      <c r="CA14" s="453">
        <f>('Attainment 25+ by race &amp; gender'!JD13/'Pop 25+ by race &amp; gender'!ET12)*100</f>
        <v>17.089477054851631</v>
      </c>
      <c r="CB14" s="453">
        <f>('Attainment 25+ by race &amp; gender'!ZS13/'Pop 25+ by race &amp; gender'!DR12)*100</f>
        <v>13.329931755851776</v>
      </c>
      <c r="CC14" s="453">
        <f>('Attainment 25+ by race &amp; gender'!ABB13/'Pop 25+ by race &amp; gender'!EQ12)*100</f>
        <v>32.885137901514874</v>
      </c>
      <c r="CD14" s="453">
        <f>('Attainment 25+ by race &amp; gender'!ZT13/'Pop 25+ by race &amp; gender'!DS12)*100</f>
        <v>32.434730844459565</v>
      </c>
      <c r="CE14" s="453">
        <f>('Attainment 25+ by race &amp; gender'!ABC13/'Pop 25+ by race &amp; gender'!ER12)*100</f>
        <v>6.5276808216098532</v>
      </c>
      <c r="CF14" s="453">
        <f>('Attainment 25+ by race &amp; gender'!ZU13/'Pop 25+ by race &amp; gender'!DU12)*100</f>
        <v>26.739060582156419</v>
      </c>
      <c r="CG14" s="453">
        <f>('Attainment 25+ by race &amp; gender'!ABD13/'Pop 25+ by race &amp; gender'!ET12)*100</f>
        <v>6.9315951833578664</v>
      </c>
      <c r="CH14" s="352">
        <f>('Attainment 25+ by race &amp; gender'!HG13/'Pop 25+ by race &amp; gender'!DK12)*100</f>
        <v>84.845432268933308</v>
      </c>
      <c r="CI14" s="452">
        <f>('Attainment 25+ by race &amp; gender'!IK13/'Pop 25+ by race &amp; gender'!EO12)*100</f>
        <v>87.690499633044709</v>
      </c>
      <c r="CJ14" s="517">
        <f>('Attainment 25+ by race &amp; gender'!HH13/'Pop 25+ by race &amp; gender'!DL12)*100</f>
        <v>85.741821811875212</v>
      </c>
      <c r="CK14" s="453">
        <f>('Attainment 25+ by race &amp; gender'!IL13/'Pop 25+ by race &amp; gender'!EP12)*100</f>
        <v>88.176213120533831</v>
      </c>
      <c r="CL14" s="453">
        <f>('Attainment 25+ by race &amp; gender'!HI13/'Pop 25+ by race &amp; gender'!DN12)*100</f>
        <v>65.062164936694415</v>
      </c>
      <c r="CM14" s="453">
        <f>('Attainment 25+ by race &amp; gender'!IM13/'Pop 25+ by race &amp; gender'!ER12)*100</f>
        <v>70.273436113444632</v>
      </c>
      <c r="CN14" s="453">
        <f>('Attainment 25+ by race &amp; gender'!ZL13/'Pop 25+ by race &amp; gender'!DK12)*100</f>
        <v>22.491002373841795</v>
      </c>
      <c r="CO14" s="453">
        <f>('Attainment 25+ by race &amp; gender'!AAP13/'Pop 25+ by race &amp; gender'!EO12)*100</f>
        <v>25.22912054557041</v>
      </c>
      <c r="CP14" s="453">
        <f>('Attainment 25+ by race &amp; gender'!ZM13/'Pop 25+ by race &amp; gender'!DL12)*100</f>
        <v>16.25470955988904</v>
      </c>
      <c r="CQ14" s="453">
        <f>('Attainment 25+ by race &amp; gender'!AAQ13/'Pop 25+ by race &amp; gender'!EP12)*100</f>
        <v>19.292980540196574</v>
      </c>
      <c r="CR14" s="453">
        <f>('Attainment 25+ by race &amp; gender'!ZN13/'Pop 25+ by race &amp; gender'!DN12)*100</f>
        <v>16.229896201665337</v>
      </c>
      <c r="CS14" s="453">
        <f>('Attainment 25+ by race &amp; gender'!AAR13/'Pop 25+ by race &amp; gender'!ER12)*100</f>
        <v>19.747506418826983</v>
      </c>
      <c r="CT14" s="350">
        <f>IFERROR(('Attainment 25+ by race &amp; gender'!HQ13/'Pop 25+ by race &amp; gender'!DU12)*100,"-")</f>
        <v>86.22495286768536</v>
      </c>
      <c r="CU14" s="452">
        <f>IFERROR(('Attainment 25+ by race &amp; gender'!IP13/'Pop 25+ by race &amp; gender'!ET12)*100,"-")</f>
        <v>88.779596663714585</v>
      </c>
      <c r="CV14" s="350">
        <f>IFERROR(('Attainment 25+ by race &amp; gender'!HR13/'Pop 25+ by race &amp; gender'!DV12)*100,"-")</f>
        <v>85.369669691209694</v>
      </c>
      <c r="CW14" s="452">
        <f>IFERROR(('Attainment 25+ by race &amp; gender'!IQ13/'Pop 25+ by race &amp; gender'!EU12)*100, "-")</f>
        <v>87.963137387097092</v>
      </c>
      <c r="CX14" s="452">
        <f>IFERROR(('Attainment 25+ by race &amp; gender'!HS13/'Pop 25+ by race &amp; gender'!DX12)*100, "-")</f>
        <v>67.642339401316889</v>
      </c>
      <c r="CY14" s="452">
        <f>IFERROR(('Attainment 25+ by race &amp; gender'!IR13/'Pop 25+ by race &amp; gender'!EW12)*100, "-")</f>
        <v>69.850648470333041</v>
      </c>
      <c r="CZ14" s="452">
        <f>IFERROR(('Attainment 25+ by race &amp; gender'!HU13/'Pop 25+ by race &amp; gender'!DY12)*100, "-")</f>
        <v>85.877325289089995</v>
      </c>
      <c r="DA14" s="452">
        <f>IFERROR(('Attainment 25+ by race &amp; gender'!IT13/'Pop 25+ by race &amp; gender'!EX12)*100, "-")</f>
        <v>82.195683658206505</v>
      </c>
      <c r="DB14" s="452" t="str">
        <f>IFERROR(('Attainment 25+ by race &amp; gender'!HV13/'Pop 25+ by race &amp; gender'!DZ12)*100, "-")</f>
        <v>-</v>
      </c>
      <c r="DC14" s="452" t="str">
        <f>IFERROR(('Attainment 25+ by race &amp; gender'!IU13/'Pop 25+ by race &amp; gender'!EY12)*100, "-")</f>
        <v>-</v>
      </c>
      <c r="DD14" s="452">
        <f>IFERROR(('Attainment 25+ by race &amp; gender'!HW13/'Pop 25+ by race &amp; gender'!EA12)*100, "-")</f>
        <v>83.004694835680752</v>
      </c>
      <c r="DE14" s="452">
        <f>IFERROR(('Attainment 25+ by race &amp; gender'!IV13/'Pop 25+ by race &amp; gender'!EZ12)*100, "-")</f>
        <v>0</v>
      </c>
      <c r="DF14" s="452">
        <f>IFERROR(('Attainment 25+ by race &amp; gender'!HX13/'Pop 25+ by race &amp; gender'!EB12)*100, "-")</f>
        <v>0</v>
      </c>
      <c r="DG14" s="452">
        <f>IFERROR(('Attainment 25+ by race &amp; gender'!IW13/'Pop 25+ by race &amp; gender'!FA12)*100, "-")</f>
        <v>81.62681070788679</v>
      </c>
      <c r="DH14" s="452">
        <f>IFERROR(('Attainment 25+ by race &amp; gender'!HY13/'Pop 25+ by race &amp; gender'!EC12)*100, "-")</f>
        <v>54.607945387313926</v>
      </c>
      <c r="DI14" s="452">
        <f>IFERROR(('Attainment 25+ by race &amp; gender'!IX13/'Pop 25+ by race &amp; gender'!FB12)*100, "-")</f>
        <v>66.880501268088906</v>
      </c>
      <c r="DJ14" s="452">
        <f>IFERROR(('Attainment 25+ by race &amp; gender'!ZV13/'Pop 25+ by race &amp; gender'!DU12)*100, "-")</f>
        <v>23.866425954296123</v>
      </c>
      <c r="DK14" s="452">
        <f>IFERROR(('Attainment 25+ by race &amp; gender'!AAU13/'Pop 25+ by race &amp; gender'!ET12)*100, "-")</f>
        <v>27.53631024134231</v>
      </c>
      <c r="DL14" s="452">
        <f>IFERROR(('Attainment 25+ by race &amp; gender'!ZW13/'Pop 25+ by race &amp; gender'!DV12)*100, "-")</f>
        <v>14.543808055087329</v>
      </c>
      <c r="DM14" s="452">
        <f>IFERROR(('Attainment 25+ by race &amp; gender'!AAV13/'Pop 25+ by race &amp; gender'!EU12)*100, "-")</f>
        <v>20.106879765221443</v>
      </c>
      <c r="DN14" s="452">
        <f>IFERROR(('Attainment 25+ by race &amp; gender'!ZX13/'Pop 25+ by race &amp; gender'!DX12)*100, "-")</f>
        <v>20.650971061804903</v>
      </c>
      <c r="DO14" s="452">
        <f>IFERROR(('Attainment 25+ by race &amp; gender'!AAW13/'Pop 25+ by race &amp; gender'!EW12)*100, "-")</f>
        <v>20.137602241402686</v>
      </c>
      <c r="DP14" s="452">
        <f>IFERROR(('Attainment 25+ by race &amp; gender'!ZZ13/'Pop 25+ by race &amp; gender'!DY12)*100, "-")</f>
        <v>51.694318753142291</v>
      </c>
      <c r="DQ14" s="452">
        <f>IFERROR(('Attainment 25+ by race &amp; gender'!AAY13/'Pop 25+ by race &amp; gender'!EX12)*100, "-")</f>
        <v>51.214416296683204</v>
      </c>
      <c r="DR14" s="452" t="str">
        <f>IFERROR(('Attainment 25+ by race &amp; gender'!AAA13/'Pop 25+ by race &amp; gender'!DZ12)*100, "-")</f>
        <v>-</v>
      </c>
      <c r="DS14" s="452" t="str">
        <f>IFERROR(('Attainment 25+ by race &amp; gender'!AAZ13/'Pop 25+ by race &amp; gender'!EY12)*100, "-")</f>
        <v>-</v>
      </c>
      <c r="DT14" s="452">
        <f>IFERROR(('Attainment 25+ by race &amp; gender'!AAB13/'Pop 25+ by race &amp; gender'!EA12)*100, "-")</f>
        <v>11.408450704225352</v>
      </c>
      <c r="DU14" s="452">
        <f>IFERROR(('Attainment 25+ by race &amp; gender'!ABA13/'Pop 25+ by race &amp; gender'!EZ12)*100, "-")</f>
        <v>0</v>
      </c>
      <c r="DV14" s="452">
        <f>IFERROR(('Attainment 25+ by race &amp; gender'!AAC13/'Pop 25+ by race &amp; gender'!EB12)*100, "-")</f>
        <v>0</v>
      </c>
      <c r="DW14" s="452">
        <f>IFERROR(('Attainment 25+ by race &amp; gender'!ABB13/'Pop 25+ by race &amp; gender'!FA12)*100, "-")</f>
        <v>23.365486965547792</v>
      </c>
      <c r="DX14" s="452">
        <f>IFERROR(('Attainment 25+ by race &amp; gender'!AAD13/'Pop 25+ by race &amp; gender'!EC12)*100, "-")</f>
        <v>13.762207262728737</v>
      </c>
      <c r="DY14" s="452">
        <f>IFERROR(('Attainment 25+ by race &amp; gender'!ABC13/'Pop 25+ by race &amp; gender'!FB12)*100, "-")</f>
        <v>16.461285991347157</v>
      </c>
    </row>
    <row r="15" spans="1:129">
      <c r="A15" s="38" t="s">
        <v>14</v>
      </c>
      <c r="B15" s="351">
        <f>('Attainment 25+ by race &amp; gender'!FS14/'Pop 25+ by race &amp; gender'!AT13)*100</f>
        <v>79.988243171285916</v>
      </c>
      <c r="C15" s="445">
        <f>('Attainment 25+ by race &amp; gender'!GR14/'Pop 25+ by race &amp; gender'!CV13)*100</f>
        <v>85.600000000000009</v>
      </c>
      <c r="D15" s="352">
        <f>('Attainment 25+ by race &amp; gender'!FT14/'Pop 25+ by race &amp; gender'!AZ13)*100</f>
        <v>63.139479025839741</v>
      </c>
      <c r="E15" s="351">
        <f>('Attainment 25+ by race &amp; gender'!GS14/'Pop 25+ by race &amp; gender'!CW13)*100</f>
        <v>75</v>
      </c>
      <c r="F15" s="352">
        <f>('Attainment 25+ by race &amp; gender'!FU14/'Pop 25+ by race &amp; gender'!BC13)*100</f>
        <v>69.04885942063305</v>
      </c>
      <c r="G15" s="351">
        <f>('Attainment 25+ by race &amp; gender'!GT14/'Pop 25+ by race &amp; gender'!CY13)*100</f>
        <v>70.199999999999989</v>
      </c>
      <c r="H15" s="352">
        <f>('Attainment 25+ by race &amp; gender'!XM14/'Pop 25+ by race &amp; gender'!AT13)*100</f>
        <v>21.768849148816145</v>
      </c>
      <c r="I15" s="351">
        <f>('Attainment 25+ by race &amp; gender'!YW14/'Pop 25+ by race &amp; gender'!CV13)*100</f>
        <v>24.8</v>
      </c>
      <c r="J15" s="352">
        <f>('Attainment 25+ by race &amp; gender'!XS14/'Pop 25+ by race &amp; gender'!AZ13)*100</f>
        <v>10.891323765703065</v>
      </c>
      <c r="K15" s="351">
        <f>('Attainment 25+ by race &amp; gender'!YX14/'Pop 25+ by race &amp; gender'!CW13)*100</f>
        <v>13</v>
      </c>
      <c r="L15" s="352">
        <f>('Attainment 25+ by race &amp; gender'!XV14/'Pop 25+ by race &amp; gender'!BC13)*100</f>
        <v>19.520088404767545</v>
      </c>
      <c r="M15" s="437">
        <f>('Attainment 25+ by race &amp; gender'!YY14/'Pop 25+ by race &amp; gender'!CY13)*100</f>
        <v>17.600000000000001</v>
      </c>
      <c r="N15" s="351">
        <f>('Attainment 25+ by race &amp; gender'!FS14/'Pop 25+ by race &amp; gender'!AT13)*100</f>
        <v>79.988243171285916</v>
      </c>
      <c r="O15" s="445">
        <f>('Attainment 25+ by race &amp; gender'!GW14/'Pop 25+ by race &amp; gender'!DA13)*100</f>
        <v>86.660905213240284</v>
      </c>
      <c r="P15" s="352">
        <f>('Attainment 25+ by race &amp; gender'!FT14/'Pop 25+ by race &amp; gender'!AZ13)*100</f>
        <v>63.139479025839741</v>
      </c>
      <c r="Q15" s="351">
        <f>('Attainment 25+ by race &amp; gender'!GX14/'Pop 25+ by race &amp; gender'!DB13)*100</f>
        <v>75.489658056756781</v>
      </c>
      <c r="R15" s="352">
        <f>('Attainment 25+ by race &amp; gender'!FU14/'Pop 25+ by race &amp; gender'!BC13)*100</f>
        <v>69.04885942063305</v>
      </c>
      <c r="S15" s="351">
        <f>('Attainment 25+ by race &amp; gender'!GY14/'Pop 25+ by race &amp; gender'!DD13)*100</f>
        <v>69.126755431902481</v>
      </c>
      <c r="T15" s="352">
        <f>('Attainment 25+ by race &amp; gender'!XM14/'Pop 25+ by race &amp; gender'!AT13)*100</f>
        <v>21.768849148816145</v>
      </c>
      <c r="U15" s="351">
        <f>('Attainment 25+ by race &amp; gender'!ZB14/'Pop 25+ by race &amp; gender'!DA13)*100</f>
        <v>25.243881693489278</v>
      </c>
      <c r="V15" s="352">
        <f>('Attainment 25+ by race &amp; gender'!XS14/'Pop 25+ by race &amp; gender'!AZ13)*100</f>
        <v>10.891323765703065</v>
      </c>
      <c r="W15" s="351">
        <f>('Attainment 25+ by race &amp; gender'!ZC14/'Pop 25+ by race &amp; gender'!DB13)*100</f>
        <v>13.006598093935324</v>
      </c>
      <c r="X15" s="352">
        <f>('Attainment 25+ by race &amp; gender'!XV14/'Pop 25+ by race &amp; gender'!BC13)*100</f>
        <v>19.520088404767545</v>
      </c>
      <c r="Y15" s="437">
        <f>('Attainment 25+ by race &amp; gender'!ZD14/'Pop 25+ by race &amp; gender'!DD13)*100</f>
        <v>17.055842607313195</v>
      </c>
      <c r="Z15" s="351">
        <f>('Attainment 25+ by race &amp; gender'!FS14/'Pop 25+ by race &amp; gender'!AT13)*100</f>
        <v>79.988243171285916</v>
      </c>
      <c r="AA15" s="445">
        <f>('Attainment 25+ by race &amp; gender'!HB14/'Pop 25+ by race &amp; gender'!DF13)*100</f>
        <v>87.087969547939409</v>
      </c>
      <c r="AB15" s="352">
        <f>('Attainment 25+ by race &amp; gender'!FT14/'Pop 25+ by race &amp; gender'!AZ13)*100</f>
        <v>63.139479025839741</v>
      </c>
      <c r="AC15" s="351">
        <f>('Attainment 25+ by race &amp; gender'!HC14/'Pop 25+ by race &amp; gender'!DG13)*100</f>
        <v>75.954247247418564</v>
      </c>
      <c r="AD15" s="352">
        <f>('Attainment 25+ by race &amp; gender'!FU14/'Pop 25+ by race &amp; gender'!BC13)*100</f>
        <v>69.04885942063305</v>
      </c>
      <c r="AE15" s="351">
        <f>('Attainment 25+ by race &amp; gender'!HD14/'Pop 25+ by race &amp; gender'!DI13)*100</f>
        <v>70.409921046335427</v>
      </c>
      <c r="AF15" s="352">
        <f>('Attainment 25+ by race &amp; gender'!XM14/'Pop 25+ by race &amp; gender'!AT13)*100</f>
        <v>21.768849148816145</v>
      </c>
      <c r="AG15" s="351">
        <f>('Attainment 25+ by race &amp; gender'!ZG14/'Pop 25+ by race &amp; gender'!DF13)*100</f>
        <v>25.696638349963983</v>
      </c>
      <c r="AH15" s="352">
        <f>('Attainment 25+ by race &amp; gender'!XS14/'Pop 25+ by race &amp; gender'!AZ13)*100</f>
        <v>10.891323765703065</v>
      </c>
      <c r="AI15" s="351">
        <f>('Attainment 25+ by race &amp; gender'!ZH14/'Pop 25+ by race &amp; gender'!DG13)*100</f>
        <v>13.455644931256774</v>
      </c>
      <c r="AJ15" s="352">
        <f>('Attainment 25+ by race &amp; gender'!XV14/'Pop 25+ by race &amp; gender'!BC13)*100</f>
        <v>19.520088404767545</v>
      </c>
      <c r="AK15" s="453">
        <f>('Attainment 25+ by race &amp; gender'!ZI14/'Pop 25+ by race &amp; gender'!DI13)*100</f>
        <v>17.404896722226653</v>
      </c>
      <c r="AL15" s="352">
        <f>('Attainment 25+ by race &amp; gender'!FS14/'Pop 25+ by race &amp; gender'!AT13)*100</f>
        <v>79.988243171285916</v>
      </c>
      <c r="AM15" s="453">
        <f>('Attainment 25+ by race &amp; gender'!HL14/'Pop 25+ by race &amp; gender'!DP13)*100</f>
        <v>88.447484946686984</v>
      </c>
      <c r="AN15" s="517">
        <v>63.139479025839741</v>
      </c>
      <c r="AO15" s="453">
        <f>('Attainment 25+ by race &amp; gender'!HM14/'Pop 25+ by race &amp; gender'!DQ13)*100</f>
        <v>78.853302487087873</v>
      </c>
      <c r="AP15" s="453">
        <f>('Attainment 25+ by race &amp; gender'!FU14/'Pop 25+ by race &amp; gender'!BC13)*100</f>
        <v>69.04885942063305</v>
      </c>
      <c r="AQ15" s="453">
        <f>('Attainment 25+ by race &amp; gender'!HN14/'Pop 25+ by race &amp; gender'!DS13)*100</f>
        <v>73.878489859410365</v>
      </c>
      <c r="AR15" s="453">
        <f>('Attainment 25+ by race &amp; gender'!XM14/'Pop 25+ by race &amp; gender'!AT13)*100</f>
        <v>21.768849148816145</v>
      </c>
      <c r="AS15" s="453">
        <f>('Attainment 25+ by race &amp; gender'!ZQ14/'Pop 25+ by race &amp; gender'!DP13)*100</f>
        <v>27.109943795824904</v>
      </c>
      <c r="AT15" s="453">
        <f>('Attainment 25+ by race &amp; gender'!XS14/'Pop 25+ by race &amp; gender'!AZ13)*100</f>
        <v>10.891323765703065</v>
      </c>
      <c r="AU15" s="453">
        <f>('Attainment 25+ by race &amp; gender'!ZR14/'Pop 25+ by race &amp; gender'!DQ13)*100</f>
        <v>15.026939443105732</v>
      </c>
      <c r="AV15" s="453">
        <f>('Attainment 25+ by race &amp; gender'!XV14/'Pop 25+ by race &amp; gender'!BC13)*100</f>
        <v>19.520088404767545</v>
      </c>
      <c r="AW15" s="453">
        <f>('Attainment 25+ by race &amp; gender'!ZS14/'Pop 25+ by race &amp; gender'!DS13)*100</f>
        <v>17.817358802149759</v>
      </c>
      <c r="AX15" s="352">
        <f>('Attainment 25+ by race &amp; gender'!GR14/'Pop 25+ by race &amp; gender'!CV13)*100</f>
        <v>85.600000000000009</v>
      </c>
      <c r="AY15" s="453">
        <f>('Attainment 25+ by race &amp; gender'!HQ14/'Pop 25+ by race &amp; gender'!DU13)*100</f>
        <v>88.230535252050842</v>
      </c>
      <c r="AZ15" s="517">
        <f>('Attainment 25+ by race &amp; gender'!GS14/'Pop 25+ by race &amp; gender'!CW13)*100</f>
        <v>75</v>
      </c>
      <c r="BA15" s="453">
        <f>('Attainment 25+ by race &amp; gender'!HR14/'Pop 25+ by race &amp; gender'!DV13)*100</f>
        <v>78.334305645534712</v>
      </c>
      <c r="BB15" s="453">
        <f>('Attainment 25+ by race &amp; gender'!GT14/'Pop 25+ by race &amp; gender'!CY13)*100</f>
        <v>70.199999999999989</v>
      </c>
      <c r="BC15" s="453">
        <f>('Attainment 25+ by race &amp; gender'!HS14/'Pop 25+ by race &amp; gender'!DX13)*100</f>
        <v>72.506663338057024</v>
      </c>
      <c r="BD15" s="453">
        <f>('Attainment 25+ by race &amp; gender'!YW14/'Pop 25+ by race &amp; gender'!CV13)*100</f>
        <v>24.8</v>
      </c>
      <c r="BE15" s="453">
        <f>('Attainment 25+ by race &amp; gender'!ZV14/'Pop 25+ by race &amp; gender'!DU13)*100</f>
        <v>27.490811514150703</v>
      </c>
      <c r="BF15" s="453">
        <f>('Attainment 25+ by race &amp; gender'!YX14/'Pop 25+ by race &amp; gender'!CW13)*100</f>
        <v>13</v>
      </c>
      <c r="BG15" s="453">
        <f>('Attainment 25+ by race &amp; gender'!ZW14/'Pop 25+ by race &amp; gender'!DV13)*100</f>
        <v>14.763781853968377</v>
      </c>
      <c r="BH15" s="453">
        <f>('Attainment 25+ by race &amp; gender'!YY14/'Pop 25+ by race &amp; gender'!CY13)*100</f>
        <v>17.600000000000001</v>
      </c>
      <c r="BI15" s="453">
        <f>('Attainment 25+ by race &amp; gender'!ZX14/'Pop 25+ by race &amp; gender'!DX13)*100</f>
        <v>16.462666950577489</v>
      </c>
      <c r="BJ15" s="352">
        <f>('Attainment 25+ by race &amp; gender'!GW14/'Pop 25+ by race &amp; gender'!DA13)*100</f>
        <v>86.660905213240284</v>
      </c>
      <c r="BK15" s="453">
        <f>('Attainment 25+ by race &amp; gender'!IA14/'Pop 25+ by race &amp; gender'!EE13)*100</f>
        <v>89.202803621258582</v>
      </c>
      <c r="BL15" s="517">
        <f>('Attainment 25+ by race &amp; gender'!GX14/'Pop 25+ by race &amp; gender'!DB13)*100</f>
        <v>75.489658056756781</v>
      </c>
      <c r="BM15" s="453">
        <f>('Attainment 25+ by race &amp; gender'!IB14/'Pop 25+ by race &amp; gender'!EF13)*100</f>
        <v>79.26276542069661</v>
      </c>
      <c r="BN15" s="453">
        <f>('Attainment 25+ by race &amp; gender'!GY14/'Pop 25+ by race &amp; gender'!DD13)*100</f>
        <v>69.126755431902481</v>
      </c>
      <c r="BO15" s="453">
        <f>('Attainment 25+ by race &amp; gender'!IC14/'Pop 25+ by race &amp; gender'!EH13)*100</f>
        <v>69.186671699080634</v>
      </c>
      <c r="BP15" s="453">
        <f>('Attainment 25+ by race &amp; gender'!ZB14/'Pop 25+ by race &amp; gender'!DA13)*100</f>
        <v>25.243881693489278</v>
      </c>
      <c r="BQ15" s="453">
        <f>('Attainment 25+ by race &amp; gender'!AAF14/'Pop 25+ by race &amp; gender'!EE13)*100</f>
        <v>28.20961658107689</v>
      </c>
      <c r="BR15" s="453">
        <f>('Attainment 25+ by race &amp; gender'!ZC14/'Pop 25+ by race &amp; gender'!DB13)*100</f>
        <v>13.006598093935324</v>
      </c>
      <c r="BS15" s="453">
        <f>('Attainment 25+ by race &amp; gender'!AAG14/'Pop 25+ by race &amp; gender'!EF13)*100</f>
        <v>14.586059160060547</v>
      </c>
      <c r="BT15" s="453">
        <f>('Attainment 25+ by race &amp; gender'!ZD14/'Pop 25+ by race &amp; gender'!DD13)*100</f>
        <v>17.055842607313195</v>
      </c>
      <c r="BU15" s="453">
        <f>('Attainment 25+ by race &amp; gender'!AAH14/'Pop 25+ by race &amp; gender'!EH13)*100</f>
        <v>15.645585124943921</v>
      </c>
      <c r="BV15" s="352">
        <f>('Attainment 25+ by race &amp; gender'!HN14/'Pop 25+ by race &amp; gender'!DR13)*100</f>
        <v>72.218418719957327</v>
      </c>
      <c r="BW15" s="453">
        <f>('Attainment 25+ by race &amp; gender'!JB14/'Pop 25+ by race &amp; gender'!EQ13)*100</f>
        <v>4.821314055850288</v>
      </c>
      <c r="BX15" s="517">
        <f>('Attainment 25+ by race &amp; gender'!HO14/'Pop 25+ by race &amp; gender'!DS13)*100</f>
        <v>76.66374232359945</v>
      </c>
      <c r="BY15" s="453">
        <f>('Attainment 25+ by race &amp; gender'!JC14/'Pop 25+ by race &amp; gender'!ER13)*100</f>
        <v>1.4197650044130627</v>
      </c>
      <c r="BZ15" s="453">
        <f>('Attainment 25+ by race &amp; gender'!HP14/'Pop 25+ by race &amp; gender'!DU13)*100</f>
        <v>134.76182737181875</v>
      </c>
      <c r="CA15" s="453">
        <f>('Attainment 25+ by race &amp; gender'!JD14/'Pop 25+ by race &amp; gender'!ET13)*100</f>
        <v>27.599402076828888</v>
      </c>
      <c r="CB15" s="453">
        <f>('Attainment 25+ by race &amp; gender'!ZS14/'Pop 25+ by race &amp; gender'!DR13)*100</f>
        <v>17.416997571363712</v>
      </c>
      <c r="CC15" s="453">
        <f>('Attainment 25+ by race &amp; gender'!ABB14/'Pop 25+ by race &amp; gender'!EQ13)*100</f>
        <v>27.096005233940289</v>
      </c>
      <c r="CD15" s="453">
        <f>('Attainment 25+ by race &amp; gender'!ZT14/'Pop 25+ by race &amp; gender'!DS13)*100</f>
        <v>25.518456536643985</v>
      </c>
      <c r="CE15" s="453">
        <f>('Attainment 25+ by race &amp; gender'!ABC14/'Pop 25+ by race &amp; gender'!ER13)*100</f>
        <v>5.7955924536628425</v>
      </c>
      <c r="CF15" s="453">
        <f>('Attainment 25+ by race &amp; gender'!ZU14/'Pop 25+ by race &amp; gender'!DU13)*100</f>
        <v>37.318197687921135</v>
      </c>
      <c r="CG15" s="453">
        <f>('Attainment 25+ by race &amp; gender'!ABD14/'Pop 25+ by race &amp; gender'!ET13)*100</f>
        <v>9.5448786926261437</v>
      </c>
      <c r="CH15" s="352">
        <f>('Attainment 25+ by race &amp; gender'!HG14/'Pop 25+ by race &amp; gender'!DK13)*100</f>
        <v>87.513502081996492</v>
      </c>
      <c r="CI15" s="452">
        <f>('Attainment 25+ by race &amp; gender'!IK14/'Pop 25+ by race &amp; gender'!EO13)*100</f>
        <v>88.885689798668864</v>
      </c>
      <c r="CJ15" s="517">
        <f>('Attainment 25+ by race &amp; gender'!HH14/'Pop 25+ by race &amp; gender'!DL13)*100</f>
        <v>77.522264641611542</v>
      </c>
      <c r="CK15" s="453">
        <f>('Attainment 25+ by race &amp; gender'!IL14/'Pop 25+ by race &amp; gender'!EP13)*100</f>
        <v>82.095155561599981</v>
      </c>
      <c r="CL15" s="453">
        <f>('Attainment 25+ by race &amp; gender'!HI14/'Pop 25+ by race &amp; gender'!DN13)*100</f>
        <v>71.9404118184776</v>
      </c>
      <c r="CM15" s="453">
        <f>('Attainment 25+ by race &amp; gender'!IM14/'Pop 25+ by race &amp; gender'!ER13)*100</f>
        <v>73.619538834951456</v>
      </c>
      <c r="CN15" s="453">
        <f>('Attainment 25+ by race &amp; gender'!ZL14/'Pop 25+ by race &amp; gender'!DK13)*100</f>
        <v>26.918484912570626</v>
      </c>
      <c r="CO15" s="453">
        <f>('Attainment 25+ by race &amp; gender'!AAP14/'Pop 25+ by race &amp; gender'!EO13)*100</f>
        <v>28.859766848240838</v>
      </c>
      <c r="CP15" s="453">
        <f>('Attainment 25+ by race &amp; gender'!ZM14/'Pop 25+ by race &amp; gender'!DL13)*100</f>
        <v>14.087002942775911</v>
      </c>
      <c r="CQ15" s="453">
        <f>('Attainment 25+ by race &amp; gender'!AAQ14/'Pop 25+ by race &amp; gender'!EP13)*100</f>
        <v>17.055636558003904</v>
      </c>
      <c r="CR15" s="453">
        <f>('Attainment 25+ by race &amp; gender'!ZN14/'Pop 25+ by race &amp; gender'!DN13)*100</f>
        <v>17.953147514060394</v>
      </c>
      <c r="CS15" s="453">
        <f>('Attainment 25+ by race &amp; gender'!AAR14/'Pop 25+ by race &amp; gender'!ER13)*100</f>
        <v>17.413669461606354</v>
      </c>
      <c r="CT15" s="350">
        <f>IFERROR(('Attainment 25+ by race &amp; gender'!HQ14/'Pop 25+ by race &amp; gender'!DU13)*100,"-")</f>
        <v>88.230535252050842</v>
      </c>
      <c r="CU15" s="452">
        <f>IFERROR(('Attainment 25+ by race &amp; gender'!IP14/'Pop 25+ by race &amp; gender'!ET13)*100,"-")</f>
        <v>90.306859684182072</v>
      </c>
      <c r="CV15" s="350">
        <f>IFERROR(('Attainment 25+ by race &amp; gender'!HR14/'Pop 25+ by race &amp; gender'!DV13)*100,"-")</f>
        <v>78.334305645534712</v>
      </c>
      <c r="CW15" s="452">
        <f>IFERROR(('Attainment 25+ by race &amp; gender'!IQ14/'Pop 25+ by race &amp; gender'!EU13)*100, "-")</f>
        <v>81.981261325932991</v>
      </c>
      <c r="CX15" s="452">
        <f>IFERROR(('Attainment 25+ by race &amp; gender'!HS14/'Pop 25+ by race &amp; gender'!DX13)*100, "-")</f>
        <v>72.506663338057024</v>
      </c>
      <c r="CY15" s="452">
        <f>IFERROR(('Attainment 25+ by race &amp; gender'!IR14/'Pop 25+ by race &amp; gender'!EW13)*100, "-")</f>
        <v>75.138601946340003</v>
      </c>
      <c r="CZ15" s="452">
        <f>IFERROR(('Attainment 25+ by race &amp; gender'!HU14/'Pop 25+ by race &amp; gender'!DY13)*100, "-")</f>
        <v>80.689153389798889</v>
      </c>
      <c r="DA15" s="452">
        <f>IFERROR(('Attainment 25+ by race &amp; gender'!IT14/'Pop 25+ by race &amp; gender'!EX13)*100, "-")</f>
        <v>77.365857029333512</v>
      </c>
      <c r="DB15" s="452" t="str">
        <f>IFERROR(('Attainment 25+ by race &amp; gender'!HV14/'Pop 25+ by race &amp; gender'!DZ13)*100, "-")</f>
        <v>-</v>
      </c>
      <c r="DC15" s="452" t="str">
        <f>IFERROR(('Attainment 25+ by race &amp; gender'!IU14/'Pop 25+ by race &amp; gender'!EY13)*100, "-")</f>
        <v>-</v>
      </c>
      <c r="DD15" s="452">
        <f>IFERROR(('Attainment 25+ by race &amp; gender'!HW14/'Pop 25+ by race &amp; gender'!EA13)*100, "-")</f>
        <v>71.051326555913704</v>
      </c>
      <c r="DE15" s="452">
        <f>IFERROR(('Attainment 25+ by race &amp; gender'!IV14/'Pop 25+ by race &amp; gender'!EZ13)*100, "-")</f>
        <v>69.4963393082555</v>
      </c>
      <c r="DF15" s="452">
        <f>IFERROR(('Attainment 25+ by race &amp; gender'!HX14/'Pop 25+ by race &amp; gender'!EB13)*100, "-")</f>
        <v>86.049015441280631</v>
      </c>
      <c r="DG15" s="452">
        <f>IFERROR(('Attainment 25+ by race &amp; gender'!IW14/'Pop 25+ by race &amp; gender'!FA13)*100, "-")</f>
        <v>82.315391378708142</v>
      </c>
      <c r="DH15" s="452">
        <f>IFERROR(('Attainment 25+ by race &amp; gender'!HY14/'Pop 25+ by race &amp; gender'!EC13)*100, "-")</f>
        <v>62.105546844374757</v>
      </c>
      <c r="DI15" s="452">
        <f>IFERROR(('Attainment 25+ by race &amp; gender'!IX14/'Pop 25+ by race &amp; gender'!FB13)*100, "-")</f>
        <v>66.784317657675729</v>
      </c>
      <c r="DJ15" s="452">
        <f>IFERROR(('Attainment 25+ by race &amp; gender'!ZV14/'Pop 25+ by race &amp; gender'!DU13)*100, "-")</f>
        <v>27.490811514150703</v>
      </c>
      <c r="DK15" s="452">
        <f>IFERROR(('Attainment 25+ by race &amp; gender'!AAU14/'Pop 25+ by race &amp; gender'!ET13)*100, "-")</f>
        <v>31.327092598580464</v>
      </c>
      <c r="DL15" s="452">
        <f>IFERROR(('Attainment 25+ by race &amp; gender'!ZW14/'Pop 25+ by race &amp; gender'!DV13)*100, "-")</f>
        <v>14.763781853968377</v>
      </c>
      <c r="DM15" s="452">
        <f>IFERROR(('Attainment 25+ by race &amp; gender'!AAV14/'Pop 25+ by race &amp; gender'!EU13)*100, "-")</f>
        <v>16.472393175113151</v>
      </c>
      <c r="DN15" s="452">
        <f>IFERROR(('Attainment 25+ by race &amp; gender'!ZX14/'Pop 25+ by race &amp; gender'!DX13)*100, "-")</f>
        <v>16.462666950577489</v>
      </c>
      <c r="DO15" s="452">
        <f>IFERROR(('Attainment 25+ by race &amp; gender'!AAW14/'Pop 25+ by race &amp; gender'!EW13)*100, "-")</f>
        <v>23.212782681886797</v>
      </c>
      <c r="DP15" s="452">
        <f>IFERROR(('Attainment 25+ by race &amp; gender'!ZZ14/'Pop 25+ by race &amp; gender'!DY13)*100, "-")</f>
        <v>43.142046938547068</v>
      </c>
      <c r="DQ15" s="452">
        <f>IFERROR(('Attainment 25+ by race &amp; gender'!AAY14/'Pop 25+ by race &amp; gender'!EX13)*100, "-")</f>
        <v>39.895656980962578</v>
      </c>
      <c r="DR15" s="452" t="str">
        <f>IFERROR(('Attainment 25+ by race &amp; gender'!AAA14/'Pop 25+ by race &amp; gender'!DZ13)*100, "-")</f>
        <v>-</v>
      </c>
      <c r="DS15" s="452" t="str">
        <f>IFERROR(('Attainment 25+ by race &amp; gender'!AAZ14/'Pop 25+ by race &amp; gender'!EY13)*100, "-")</f>
        <v>-</v>
      </c>
      <c r="DT15" s="452">
        <f>IFERROR(('Attainment 25+ by race &amp; gender'!AAB14/'Pop 25+ by race &amp; gender'!EA13)*100, "-")</f>
        <v>8.8457723778824704</v>
      </c>
      <c r="DU15" s="452">
        <f>IFERROR(('Attainment 25+ by race &amp; gender'!ABA14/'Pop 25+ by race &amp; gender'!EZ13)*100, "-")</f>
        <v>13.961120929058318</v>
      </c>
      <c r="DV15" s="452">
        <f>IFERROR(('Attainment 25+ by race &amp; gender'!AAC14/'Pop 25+ by race &amp; gender'!EB13)*100, "-")</f>
        <v>23.567077489729424</v>
      </c>
      <c r="DW15" s="452">
        <f>IFERROR(('Attainment 25+ by race &amp; gender'!ABB14/'Pop 25+ by race &amp; gender'!FA13)*100, "-")</f>
        <v>25.190600647981981</v>
      </c>
      <c r="DX15" s="452">
        <f>IFERROR(('Attainment 25+ by race &amp; gender'!AAD14/'Pop 25+ by race &amp; gender'!EC13)*100, "-")</f>
        <v>8.4109172873382985</v>
      </c>
      <c r="DY15" s="452">
        <f>IFERROR(('Attainment 25+ by race &amp; gender'!ABC14/'Pop 25+ by race &amp; gender'!FB13)*100, "-")</f>
        <v>16.855509876667004</v>
      </c>
    </row>
    <row r="16" spans="1:129">
      <c r="A16" s="38" t="s">
        <v>15</v>
      </c>
      <c r="B16" s="351">
        <f>('Attainment 25+ by race &amp; gender'!FS15/'Pop 25+ by race &amp; gender'!AT14)*100</f>
        <v>86.313228531479979</v>
      </c>
      <c r="C16" s="445">
        <f>('Attainment 25+ by race &amp; gender'!GR15/'Pop 25+ by race &amp; gender'!CV14)*100</f>
        <v>90.4</v>
      </c>
      <c r="D16" s="352">
        <f>('Attainment 25+ by race &amp; gender'!FT15/'Pop 25+ by race &amp; gender'!AZ14)*100</f>
        <v>78.947180234377086</v>
      </c>
      <c r="E16" s="351">
        <f>('Attainment 25+ by race &amp; gender'!GS15/'Pop 25+ by race &amp; gender'!CW14)*100</f>
        <v>87.4</v>
      </c>
      <c r="F16" s="352">
        <f>('Attainment 25+ by race &amp; gender'!FU15/'Pop 25+ by race &amp; gender'!BC14)*100</f>
        <v>61.911612244733952</v>
      </c>
      <c r="G16" s="351">
        <f>('Attainment 25+ by race &amp; gender'!GT15/'Pop 25+ by race &amp; gender'!CY14)*100</f>
        <v>60.3</v>
      </c>
      <c r="H16" s="352">
        <f>('Attainment 25+ by race &amp; gender'!XM15/'Pop 25+ by race &amp; gender'!AT14)*100</f>
        <v>34.732528561694068</v>
      </c>
      <c r="I16" s="351">
        <f>('Attainment 25+ by race &amp; gender'!YW15/'Pop 25+ by race &amp; gender'!CV14)*100</f>
        <v>39.70000000000001</v>
      </c>
      <c r="J16" s="352">
        <f>('Attainment 25+ by race &amp; gender'!XS15/'Pop 25+ by race &amp; gender'!AZ14)*100</f>
        <v>20.293909949852956</v>
      </c>
      <c r="K16" s="351">
        <f>('Attainment 25+ by race &amp; gender'!YX15/'Pop 25+ by race &amp; gender'!CW14)*100</f>
        <v>25.7</v>
      </c>
      <c r="L16" s="352">
        <f>('Attainment 25+ by race &amp; gender'!XV15/'Pop 25+ by race &amp; gender'!BC14)*100</f>
        <v>21.429088074323509</v>
      </c>
      <c r="M16" s="437">
        <f>('Attainment 25+ by race &amp; gender'!YY15/'Pop 25+ by race &amp; gender'!CY14)*100</f>
        <v>19.2</v>
      </c>
      <c r="N16" s="351">
        <f>('Attainment 25+ by race &amp; gender'!FS15/'Pop 25+ by race &amp; gender'!AT14)*100</f>
        <v>86.313228531479979</v>
      </c>
      <c r="O16" s="445">
        <f>('Attainment 25+ by race &amp; gender'!GW15/'Pop 25+ by race &amp; gender'!DA14)*100</f>
        <v>92.203085418531103</v>
      </c>
      <c r="P16" s="352">
        <f>('Attainment 25+ by race &amp; gender'!FT15/'Pop 25+ by race &amp; gender'!AZ14)*100</f>
        <v>78.947180234377086</v>
      </c>
      <c r="Q16" s="351">
        <f>('Attainment 25+ by race &amp; gender'!GX15/'Pop 25+ by race &amp; gender'!DB14)*100</f>
        <v>87.600927405263505</v>
      </c>
      <c r="R16" s="352">
        <f>('Attainment 25+ by race &amp; gender'!FU15/'Pop 25+ by race &amp; gender'!BC14)*100</f>
        <v>61.911612244733952</v>
      </c>
      <c r="S16" s="351">
        <f>('Attainment 25+ by race &amp; gender'!GY15/'Pop 25+ by race &amp; gender'!DD14)*100</f>
        <v>61.282800938458756</v>
      </c>
      <c r="T16" s="352">
        <f>('Attainment 25+ by race &amp; gender'!XM15/'Pop 25+ by race &amp; gender'!AT14)*100</f>
        <v>34.732528561694068</v>
      </c>
      <c r="U16" s="351">
        <f>('Attainment 25+ by race &amp; gender'!ZB15/'Pop 25+ by race &amp; gender'!DA14)*100</f>
        <v>41.193435058465731</v>
      </c>
      <c r="V16" s="352">
        <f>('Attainment 25+ by race &amp; gender'!XS15/'Pop 25+ by race &amp; gender'!AZ14)*100</f>
        <v>20.293909949852956</v>
      </c>
      <c r="W16" s="351">
        <f>('Attainment 25+ by race &amp; gender'!ZC15/'Pop 25+ by race &amp; gender'!DB14)*100</f>
        <v>25.915338228276369</v>
      </c>
      <c r="X16" s="352">
        <f>('Attainment 25+ by race &amp; gender'!XV15/'Pop 25+ by race &amp; gender'!BC14)*100</f>
        <v>21.429088074323509</v>
      </c>
      <c r="Y16" s="437">
        <f>('Attainment 25+ by race &amp; gender'!ZD15/'Pop 25+ by race &amp; gender'!DD14)*100</f>
        <v>19.670456596282261</v>
      </c>
      <c r="Z16" s="351">
        <f>('Attainment 25+ by race &amp; gender'!FS15/'Pop 25+ by race &amp; gender'!AT14)*100</f>
        <v>86.313228531479979</v>
      </c>
      <c r="AA16" s="445">
        <f>('Attainment 25+ by race &amp; gender'!HB15/'Pop 25+ by race &amp; gender'!DF14)*100</f>
        <v>92.599515826189688</v>
      </c>
      <c r="AB16" s="352">
        <f>('Attainment 25+ by race &amp; gender'!FT15/'Pop 25+ by race &amp; gender'!AZ14)*100</f>
        <v>78.947180234377086</v>
      </c>
      <c r="AC16" s="351">
        <f>('Attainment 25+ by race &amp; gender'!HC15/'Pop 25+ by race &amp; gender'!DG14)*100</f>
        <v>88.059843540548272</v>
      </c>
      <c r="AD16" s="352">
        <f>('Attainment 25+ by race &amp; gender'!FU15/'Pop 25+ by race &amp; gender'!BC14)*100</f>
        <v>61.911612244733952</v>
      </c>
      <c r="AE16" s="351">
        <f>('Attainment 25+ by race &amp; gender'!HD15/'Pop 25+ by race &amp; gender'!DI14)*100</f>
        <v>62.919329142489829</v>
      </c>
      <c r="AF16" s="352">
        <f>('Attainment 25+ by race &amp; gender'!XM15/'Pop 25+ by race &amp; gender'!AT14)*100</f>
        <v>34.732528561694068</v>
      </c>
      <c r="AG16" s="351">
        <f>('Attainment 25+ by race &amp; gender'!ZG15/'Pop 25+ by race &amp; gender'!DF14)*100</f>
        <v>41.897560495355165</v>
      </c>
      <c r="AH16" s="352">
        <f>('Attainment 25+ by race &amp; gender'!XS15/'Pop 25+ by race &amp; gender'!AZ14)*100</f>
        <v>20.293909949852956</v>
      </c>
      <c r="AI16" s="351">
        <f>('Attainment 25+ by race &amp; gender'!ZH15/'Pop 25+ by race &amp; gender'!DG14)*100</f>
        <v>26.285295630789452</v>
      </c>
      <c r="AJ16" s="352">
        <f>('Attainment 25+ by race &amp; gender'!XV15/'Pop 25+ by race &amp; gender'!BC14)*100</f>
        <v>21.429088074323509</v>
      </c>
      <c r="AK16" s="453">
        <f>('Attainment 25+ by race &amp; gender'!ZI15/'Pop 25+ by race &amp; gender'!DI14)*100</f>
        <v>20.909521324573802</v>
      </c>
      <c r="AL16" s="352">
        <f>('Attainment 25+ by race &amp; gender'!FS15/'Pop 25+ by race &amp; gender'!AT14)*100</f>
        <v>86.313228531479979</v>
      </c>
      <c r="AM16" s="453">
        <f>('Attainment 25+ by race &amp; gender'!HL15/'Pop 25+ by race &amp; gender'!DP14)*100</f>
        <v>93.163538991990606</v>
      </c>
      <c r="AN16" s="517">
        <v>78.947180234377086</v>
      </c>
      <c r="AO16" s="453">
        <f>('Attainment 25+ by race &amp; gender'!HM15/'Pop 25+ by race &amp; gender'!DQ14)*100</f>
        <v>89.838512567592872</v>
      </c>
      <c r="AP16" s="453">
        <f>('Attainment 25+ by race &amp; gender'!FU15/'Pop 25+ by race &amp; gender'!BC14)*100</f>
        <v>61.911612244733952</v>
      </c>
      <c r="AQ16" s="453">
        <f>('Attainment 25+ by race &amp; gender'!HN15/'Pop 25+ by race &amp; gender'!DS14)*100</f>
        <v>62.030839945960217</v>
      </c>
      <c r="AR16" s="453">
        <f>('Attainment 25+ by race &amp; gender'!XM15/'Pop 25+ by race &amp; gender'!AT14)*100</f>
        <v>34.732528561694068</v>
      </c>
      <c r="AS16" s="453">
        <f>('Attainment 25+ by race &amp; gender'!ZQ15/'Pop 25+ by race &amp; gender'!DP14)*100</f>
        <v>43.667482071509745</v>
      </c>
      <c r="AT16" s="453">
        <f>('Attainment 25+ by race &amp; gender'!XS15/'Pop 25+ by race &amp; gender'!AZ14)*100</f>
        <v>20.293909949852956</v>
      </c>
      <c r="AU16" s="453">
        <f>('Attainment 25+ by race &amp; gender'!ZR15/'Pop 25+ by race &amp; gender'!DQ14)*100</f>
        <v>28.026018607443493</v>
      </c>
      <c r="AV16" s="453">
        <f>('Attainment 25+ by race &amp; gender'!XV15/'Pop 25+ by race &amp; gender'!BC14)*100</f>
        <v>21.429088074323509</v>
      </c>
      <c r="AW16" s="453">
        <f>('Attainment 25+ by race &amp; gender'!ZS15/'Pop 25+ by race &amp; gender'!DS14)*100</f>
        <v>21.229870956721587</v>
      </c>
      <c r="AX16" s="352">
        <f>('Attainment 25+ by race &amp; gender'!GR15/'Pop 25+ by race &amp; gender'!CV14)*100</f>
        <v>90.4</v>
      </c>
      <c r="AY16" s="453">
        <f>('Attainment 25+ by race &amp; gender'!HQ15/'Pop 25+ by race &amp; gender'!DU14)*100</f>
        <v>93.480758794174164</v>
      </c>
      <c r="AZ16" s="517">
        <f>('Attainment 25+ by race &amp; gender'!GS15/'Pop 25+ by race &amp; gender'!CW14)*100</f>
        <v>87.4</v>
      </c>
      <c r="BA16" s="453">
        <f>('Attainment 25+ by race &amp; gender'!HR15/'Pop 25+ by race &amp; gender'!DV14)*100</f>
        <v>90.346798732503729</v>
      </c>
      <c r="BB16" s="453">
        <f>('Attainment 25+ by race &amp; gender'!GT15/'Pop 25+ by race &amp; gender'!CY14)*100</f>
        <v>60.3</v>
      </c>
      <c r="BC16" s="453">
        <f>('Attainment 25+ by race &amp; gender'!HS15/'Pop 25+ by race &amp; gender'!DX14)*100</f>
        <v>64.86478281460613</v>
      </c>
      <c r="BD16" s="453">
        <f>('Attainment 25+ by race &amp; gender'!YW15/'Pop 25+ by race &amp; gender'!CV14)*100</f>
        <v>39.70000000000001</v>
      </c>
      <c r="BE16" s="453">
        <f>('Attainment 25+ by race &amp; gender'!ZV15/'Pop 25+ by race &amp; gender'!DU14)*100</f>
        <v>44.209474497381066</v>
      </c>
      <c r="BF16" s="453">
        <f>('Attainment 25+ by race &amp; gender'!YX15/'Pop 25+ by race &amp; gender'!CW14)*100</f>
        <v>25.7</v>
      </c>
      <c r="BG16" s="453">
        <f>('Attainment 25+ by race &amp; gender'!ZW15/'Pop 25+ by race &amp; gender'!DV14)*100</f>
        <v>29.534006253541222</v>
      </c>
      <c r="BH16" s="453">
        <f>('Attainment 25+ by race &amp; gender'!YY15/'Pop 25+ by race &amp; gender'!CY14)*100</f>
        <v>19.2</v>
      </c>
      <c r="BI16" s="453">
        <f>('Attainment 25+ by race &amp; gender'!ZX15/'Pop 25+ by race &amp; gender'!DX14)*100</f>
        <v>20.947431055629089</v>
      </c>
      <c r="BJ16" s="352">
        <f>('Attainment 25+ by race &amp; gender'!GW15/'Pop 25+ by race &amp; gender'!DA14)*100</f>
        <v>92.203085418531103</v>
      </c>
      <c r="BK16" s="453">
        <f>('Attainment 25+ by race &amp; gender'!IA15/'Pop 25+ by race &amp; gender'!EE14)*100</f>
        <v>93.631968461289162</v>
      </c>
      <c r="BL16" s="517">
        <f>('Attainment 25+ by race &amp; gender'!GX15/'Pop 25+ by race &amp; gender'!DB14)*100</f>
        <v>87.600927405263505</v>
      </c>
      <c r="BM16" s="453">
        <f>('Attainment 25+ by race &amp; gender'!IB15/'Pop 25+ by race &amp; gender'!EF14)*100</f>
        <v>89.928822462367847</v>
      </c>
      <c r="BN16" s="453">
        <f>('Attainment 25+ by race &amp; gender'!GY15/'Pop 25+ by race &amp; gender'!DD14)*100</f>
        <v>61.282800938458756</v>
      </c>
      <c r="BO16" s="453">
        <f>('Attainment 25+ by race &amp; gender'!IC15/'Pop 25+ by race &amp; gender'!EH14)*100</f>
        <v>64.595903208825277</v>
      </c>
      <c r="BP16" s="453">
        <f>('Attainment 25+ by race &amp; gender'!ZB15/'Pop 25+ by race &amp; gender'!DA14)*100</f>
        <v>41.193435058465731</v>
      </c>
      <c r="BQ16" s="453">
        <f>('Attainment 25+ by race &amp; gender'!AAF15/'Pop 25+ by race &amp; gender'!EE14)*100</f>
        <v>44.941597446358891</v>
      </c>
      <c r="BR16" s="453">
        <f>('Attainment 25+ by race &amp; gender'!ZC15/'Pop 25+ by race &amp; gender'!DB14)*100</f>
        <v>25.915338228276369</v>
      </c>
      <c r="BS16" s="453">
        <f>('Attainment 25+ by race &amp; gender'!AAG15/'Pop 25+ by race &amp; gender'!EF14)*100</f>
        <v>29.459327003882859</v>
      </c>
      <c r="BT16" s="453">
        <f>('Attainment 25+ by race &amp; gender'!ZD15/'Pop 25+ by race &amp; gender'!DD14)*100</f>
        <v>19.670456596282261</v>
      </c>
      <c r="BU16" s="453">
        <f>('Attainment 25+ by race &amp; gender'!AAH15/'Pop 25+ by race &amp; gender'!EH14)*100</f>
        <v>21.62037867262115</v>
      </c>
      <c r="BV16" s="352">
        <f>('Attainment 25+ by race &amp; gender'!HN15/'Pop 25+ by race &amp; gender'!DR14)*100</f>
        <v>39.995354267165681</v>
      </c>
      <c r="BW16" s="453">
        <f>('Attainment 25+ by race &amp; gender'!JB15/'Pop 25+ by race &amp; gender'!EQ14)*100</f>
        <v>1.09989629394904</v>
      </c>
      <c r="BX16" s="517">
        <f>('Attainment 25+ by race &amp; gender'!HO15/'Pop 25+ by race &amp; gender'!DS14)*100</f>
        <v>122.45912076649535</v>
      </c>
      <c r="BY16" s="453">
        <f>('Attainment 25+ by race &amp; gender'!JC15/'Pop 25+ by race &amp; gender'!ER14)*100</f>
        <v>1.7034621174109383</v>
      </c>
      <c r="BZ16" s="453">
        <f>('Attainment 25+ by race &amp; gender'!HP15/'Pop 25+ by race &amp; gender'!DU14)*100</f>
        <v>164.19322876431664</v>
      </c>
      <c r="CA16" s="453">
        <f>('Attainment 25+ by race &amp; gender'!JD15/'Pop 25+ by race &amp; gender'!ET14)*100</f>
        <v>33.947948762633473</v>
      </c>
      <c r="CB16" s="453">
        <f>('Attainment 25+ by race &amp; gender'!ZS15/'Pop 25+ by race &amp; gender'!DR14)*100</f>
        <v>13.688291351527784</v>
      </c>
      <c r="CC16" s="453">
        <f>('Attainment 25+ by race &amp; gender'!ABB15/'Pop 25+ by race &amp; gender'!EQ14)*100</f>
        <v>20.13949904215939</v>
      </c>
      <c r="CD16" s="453">
        <f>('Attainment 25+ by race &amp; gender'!ZT15/'Pop 25+ by race &amp; gender'!DS14)*100</f>
        <v>69.525909592061737</v>
      </c>
      <c r="CE16" s="453">
        <f>('Attainment 25+ by race &amp; gender'!ABC15/'Pop 25+ by race &amp; gender'!ER14)*100</f>
        <v>10.835423983943803</v>
      </c>
      <c r="CF16" s="453">
        <f>('Attainment 25+ by race &amp; gender'!ZU15/'Pop 25+ by race &amp; gender'!DU14)*100</f>
        <v>71.644257336654377</v>
      </c>
      <c r="CG16" s="453">
        <f>('Attainment 25+ by race &amp; gender'!ABD15/'Pop 25+ by race &amp; gender'!ET14)*100</f>
        <v>21.444219281622122</v>
      </c>
      <c r="CH16" s="352">
        <f>('Attainment 25+ by race &amp; gender'!HG15/'Pop 25+ by race &amp; gender'!DK14)*100</f>
        <v>93.046739225030265</v>
      </c>
      <c r="CI16" s="452">
        <f>('Attainment 25+ by race &amp; gender'!IK15/'Pop 25+ by race &amp; gender'!EO14)*100</f>
        <v>94.119768341157211</v>
      </c>
      <c r="CJ16" s="517">
        <f>('Attainment 25+ by race &amp; gender'!HH15/'Pop 25+ by race &amp; gender'!DL14)*100</f>
        <v>89.279277798302303</v>
      </c>
      <c r="CK16" s="453">
        <f>('Attainment 25+ by race &amp; gender'!IL15/'Pop 25+ by race &amp; gender'!EP14)*100</f>
        <v>90.463550658032005</v>
      </c>
      <c r="CL16" s="453">
        <f>('Attainment 25+ by race &amp; gender'!HI15/'Pop 25+ by race &amp; gender'!DN14)*100</f>
        <v>63.323923895188429</v>
      </c>
      <c r="CM16" s="453">
        <f>('Attainment 25+ by race &amp; gender'!IM15/'Pop 25+ by race &amp; gender'!ER14)*100</f>
        <v>67.180409210012826</v>
      </c>
      <c r="CN16" s="453">
        <f>('Attainment 25+ by race &amp; gender'!ZL15/'Pop 25+ by race &amp; gender'!DK14)*100</f>
        <v>43.123042422995745</v>
      </c>
      <c r="CO16" s="453">
        <f>('Attainment 25+ by race &amp; gender'!AAP15/'Pop 25+ by race &amp; gender'!EO14)*100</f>
        <v>46.542473785499737</v>
      </c>
      <c r="CP16" s="453">
        <f>('Attainment 25+ by race &amp; gender'!ZM15/'Pop 25+ by race &amp; gender'!DL14)*100</f>
        <v>27.238300085049389</v>
      </c>
      <c r="CQ16" s="453">
        <f>('Attainment 25+ by race &amp; gender'!AAQ15/'Pop 25+ by race &amp; gender'!EP14)*100</f>
        <v>30.807272387467542</v>
      </c>
      <c r="CR16" s="453">
        <f>('Attainment 25+ by race &amp; gender'!ZN15/'Pop 25+ by race &amp; gender'!DN14)*100</f>
        <v>21.83691370428847</v>
      </c>
      <c r="CS16" s="453">
        <f>('Attainment 25+ by race &amp; gender'!AAR15/'Pop 25+ by race &amp; gender'!ER14)*100</f>
        <v>21.95350393042315</v>
      </c>
      <c r="CT16" s="350">
        <f>IFERROR(('Attainment 25+ by race &amp; gender'!HQ15/'Pop 25+ by race &amp; gender'!DU14)*100,"-")</f>
        <v>93.480758794174164</v>
      </c>
      <c r="CU16" s="452">
        <f>IFERROR(('Attainment 25+ by race &amp; gender'!IP15/'Pop 25+ by race &amp; gender'!ET14)*100,"-")</f>
        <v>95.053134269528101</v>
      </c>
      <c r="CV16" s="350">
        <f>IFERROR(('Attainment 25+ by race &amp; gender'!HR15/'Pop 25+ by race &amp; gender'!DV14)*100,"-")</f>
        <v>90.346798732503729</v>
      </c>
      <c r="CW16" s="452">
        <f>IFERROR(('Attainment 25+ by race &amp; gender'!IQ15/'Pop 25+ by race &amp; gender'!EU14)*100, "-")</f>
        <v>91.254221234996649</v>
      </c>
      <c r="CX16" s="452">
        <f>IFERROR(('Attainment 25+ by race &amp; gender'!HS15/'Pop 25+ by race &amp; gender'!DX14)*100, "-")</f>
        <v>64.86478281460613</v>
      </c>
      <c r="CY16" s="452">
        <f>IFERROR(('Attainment 25+ by race &amp; gender'!IR15/'Pop 25+ by race &amp; gender'!EW14)*100, "-")</f>
        <v>68.40403057969651</v>
      </c>
      <c r="CZ16" s="452">
        <f>IFERROR(('Attainment 25+ by race &amp; gender'!HU15/'Pop 25+ by race &amp; gender'!DY14)*100, "-")</f>
        <v>90.559516094188808</v>
      </c>
      <c r="DA16" s="452">
        <f>IFERROR(('Attainment 25+ by race &amp; gender'!IT15/'Pop 25+ by race &amp; gender'!EX14)*100, "-")</f>
        <v>89.438042912339355</v>
      </c>
      <c r="DB16" s="452" t="str">
        <f>IFERROR(('Attainment 25+ by race &amp; gender'!HV15/'Pop 25+ by race &amp; gender'!DZ14)*100, "-")</f>
        <v>-</v>
      </c>
      <c r="DC16" s="452" t="str">
        <f>IFERROR(('Attainment 25+ by race &amp; gender'!IU15/'Pop 25+ by race &amp; gender'!EY14)*100, "-")</f>
        <v>-</v>
      </c>
      <c r="DD16" s="452">
        <f>IFERROR(('Attainment 25+ by race &amp; gender'!HW15/'Pop 25+ by race &amp; gender'!EA14)*100, "-")</f>
        <v>79.14836738590796</v>
      </c>
      <c r="DE16" s="452">
        <f>IFERROR(('Attainment 25+ by race &amp; gender'!IV15/'Pop 25+ by race &amp; gender'!EZ14)*100, "-")</f>
        <v>73.505754238336834</v>
      </c>
      <c r="DF16" s="452">
        <f>IFERROR(('Attainment 25+ by race &amp; gender'!HX15/'Pop 25+ by race &amp; gender'!EB14)*100, "-")</f>
        <v>91.122748754630223</v>
      </c>
      <c r="DG16" s="452">
        <f>IFERROR(('Attainment 25+ by race &amp; gender'!IW15/'Pop 25+ by race &amp; gender'!FA14)*100, "-")</f>
        <v>87.661457000194844</v>
      </c>
      <c r="DH16" s="452">
        <f>IFERROR(('Attainment 25+ by race &amp; gender'!HY15/'Pop 25+ by race &amp; gender'!EC14)*100, "-")</f>
        <v>53.993188653653355</v>
      </c>
      <c r="DI16" s="452">
        <f>IFERROR(('Attainment 25+ by race &amp; gender'!IX15/'Pop 25+ by race &amp; gender'!FB14)*100, "-")</f>
        <v>60.471726904128701</v>
      </c>
      <c r="DJ16" s="452">
        <f>IFERROR(('Attainment 25+ by race &amp; gender'!ZV15/'Pop 25+ by race &amp; gender'!DU14)*100, "-")</f>
        <v>44.209474497381066</v>
      </c>
      <c r="DK16" s="452">
        <f>IFERROR(('Attainment 25+ by race &amp; gender'!AAU15/'Pop 25+ by race &amp; gender'!ET14)*100, "-")</f>
        <v>48.42595372067624</v>
      </c>
      <c r="DL16" s="452">
        <f>IFERROR(('Attainment 25+ by race &amp; gender'!ZW15/'Pop 25+ by race &amp; gender'!DV14)*100, "-")</f>
        <v>29.534006253541222</v>
      </c>
      <c r="DM16" s="452">
        <f>IFERROR(('Attainment 25+ by race &amp; gender'!AAV15/'Pop 25+ by race &amp; gender'!EU14)*100, "-")</f>
        <v>32.523462938905752</v>
      </c>
      <c r="DN16" s="452">
        <f>IFERROR(('Attainment 25+ by race &amp; gender'!ZX15/'Pop 25+ by race &amp; gender'!DX14)*100, "-")</f>
        <v>20.947431055629089</v>
      </c>
      <c r="DO16" s="452">
        <f>IFERROR(('Attainment 25+ by race &amp; gender'!AAW15/'Pop 25+ by race &amp; gender'!EW14)*100, "-")</f>
        <v>24.649651219945827</v>
      </c>
      <c r="DP16" s="452">
        <f>IFERROR(('Attainment 25+ by race &amp; gender'!ZZ15/'Pop 25+ by race &amp; gender'!DY14)*100, "-")</f>
        <v>62.533056219783823</v>
      </c>
      <c r="DQ16" s="452">
        <f>IFERROR(('Attainment 25+ by race &amp; gender'!AAY15/'Pop 25+ by race &amp; gender'!EX14)*100, "-")</f>
        <v>62.865823582604882</v>
      </c>
      <c r="DR16" s="452" t="str">
        <f>IFERROR(('Attainment 25+ by race &amp; gender'!AAA15/'Pop 25+ by race &amp; gender'!DZ14)*100, "-")</f>
        <v>-</v>
      </c>
      <c r="DS16" s="452" t="str">
        <f>IFERROR(('Attainment 25+ by race &amp; gender'!AAZ15/'Pop 25+ by race &amp; gender'!EY14)*100, "-")</f>
        <v>-</v>
      </c>
      <c r="DT16" s="452">
        <f>IFERROR(('Attainment 25+ by race &amp; gender'!AAB15/'Pop 25+ by race &amp; gender'!EA14)*100, "-")</f>
        <v>26.284132136719496</v>
      </c>
      <c r="DU16" s="452">
        <f>IFERROR(('Attainment 25+ by race &amp; gender'!ABA15/'Pop 25+ by race &amp; gender'!EZ14)*100, "-")</f>
        <v>19.978962999628756</v>
      </c>
      <c r="DV16" s="452">
        <f>IFERROR(('Attainment 25+ by race &amp; gender'!AAC15/'Pop 25+ by race &amp; gender'!EB14)*100, "-")</f>
        <v>42.290203091071653</v>
      </c>
      <c r="DW16" s="452">
        <f>IFERROR(('Attainment 25+ by race &amp; gender'!ABB15/'Pop 25+ by race &amp; gender'!FA14)*100, "-")</f>
        <v>42.733527661151371</v>
      </c>
      <c r="DX16" s="452">
        <f>IFERROR(('Attainment 25+ by race &amp; gender'!AAD15/'Pop 25+ by race &amp; gender'!EC14)*100, "-")</f>
        <v>12.668072182579465</v>
      </c>
      <c r="DY16" s="452">
        <f>IFERROR(('Attainment 25+ by race &amp; gender'!ABC15/'Pop 25+ by race &amp; gender'!FB14)*100, "-")</f>
        <v>16.946854427344466</v>
      </c>
    </row>
    <row r="17" spans="1:129">
      <c r="A17" s="38" t="s">
        <v>16</v>
      </c>
      <c r="B17" s="351">
        <f>('Attainment 25+ by race &amp; gender'!FS16/'Pop 25+ by race &amp; gender'!AT15)*100</f>
        <v>78.895514249843814</v>
      </c>
      <c r="C17" s="445">
        <f>('Attainment 25+ by race &amp; gender'!GR16/'Pop 25+ by race &amp; gender'!CV15)*100</f>
        <v>85</v>
      </c>
      <c r="D17" s="352">
        <f>('Attainment 25+ by race &amp; gender'!FT16/'Pop 25+ by race &amp; gender'!AZ15)*100</f>
        <v>60.44747085232629</v>
      </c>
      <c r="E17" s="351">
        <f>('Attainment 25+ by race &amp; gender'!GS16/'Pop 25+ by race &amp; gender'!CW15)*100</f>
        <v>73.999999999999986</v>
      </c>
      <c r="F17" s="352">
        <f>('Attainment 25+ by race &amp; gender'!FU16/'Pop 25+ by race &amp; gender'!BC15)*100</f>
        <v>59.148161262582832</v>
      </c>
      <c r="G17" s="351">
        <f>('Attainment 25+ by race &amp; gender'!GT16/'Pop 25+ by race &amp; gender'!CY15)*100</f>
        <v>56.900000000000006</v>
      </c>
      <c r="H17" s="352">
        <f>('Attainment 25+ by race &amp; gender'!XM16/'Pop 25+ by race &amp; gender'!AT15)*100</f>
        <v>20.025502464355093</v>
      </c>
      <c r="I17" s="351">
        <f>('Attainment 25+ by race &amp; gender'!YW16/'Pop 25+ by race &amp; gender'!CV15)*100</f>
        <v>22.9</v>
      </c>
      <c r="J17" s="352">
        <f>('Attainment 25+ by race &amp; gender'!XS16/'Pop 25+ by race &amp; gender'!AZ15)*100</f>
        <v>10.092342436081408</v>
      </c>
      <c r="K17" s="351">
        <f>('Attainment 25+ by race &amp; gender'!YX16/'Pop 25+ by race &amp; gender'!CW15)*100</f>
        <v>13.200000000000001</v>
      </c>
      <c r="L17" s="352">
        <f>('Attainment 25+ by race &amp; gender'!XV16/'Pop 25+ by race &amp; gender'!BC15)*100</f>
        <v>12.074460013151905</v>
      </c>
      <c r="M17" s="437">
        <f>('Attainment 25+ by race &amp; gender'!YY16/'Pop 25+ by race &amp; gender'!CY15)*100</f>
        <v>12.000000000000002</v>
      </c>
      <c r="N17" s="351">
        <f>('Attainment 25+ by race &amp; gender'!FS16/'Pop 25+ by race &amp; gender'!AT15)*100</f>
        <v>78.895514249843814</v>
      </c>
      <c r="O17" s="445">
        <f>('Attainment 25+ by race &amp; gender'!GW16/'Pop 25+ by race &amp; gender'!DA15)*100</f>
        <v>85.972888281892025</v>
      </c>
      <c r="P17" s="352">
        <f>('Attainment 25+ by race &amp; gender'!FT16/'Pop 25+ by race &amp; gender'!AZ15)*100</f>
        <v>60.44747085232629</v>
      </c>
      <c r="Q17" s="351">
        <f>('Attainment 25+ by race &amp; gender'!GX16/'Pop 25+ by race &amp; gender'!DB15)*100</f>
        <v>74.714004005641215</v>
      </c>
      <c r="R17" s="352">
        <f>('Attainment 25+ by race &amp; gender'!FU16/'Pop 25+ by race &amp; gender'!BC15)*100</f>
        <v>59.148161262582832</v>
      </c>
      <c r="S17" s="351">
        <f>('Attainment 25+ by race &amp; gender'!GY16/'Pop 25+ by race &amp; gender'!DD15)*100</f>
        <v>59.97012164757772</v>
      </c>
      <c r="T17" s="352">
        <f>('Attainment 25+ by race &amp; gender'!XM16/'Pop 25+ by race &amp; gender'!AT15)*100</f>
        <v>20.025502464355093</v>
      </c>
      <c r="U17" s="351">
        <f>('Attainment 25+ by race &amp; gender'!ZB16/'Pop 25+ by race &amp; gender'!DA15)*100</f>
        <v>23.489771198185501</v>
      </c>
      <c r="V17" s="352">
        <f>('Attainment 25+ by race &amp; gender'!XS16/'Pop 25+ by race &amp; gender'!AZ15)*100</f>
        <v>10.092342436081408</v>
      </c>
      <c r="W17" s="351">
        <f>('Attainment 25+ by race &amp; gender'!ZC16/'Pop 25+ by race &amp; gender'!DB15)*100</f>
        <v>13.849705131726346</v>
      </c>
      <c r="X17" s="352">
        <f>('Attainment 25+ by race &amp; gender'!XV16/'Pop 25+ by race &amp; gender'!BC15)*100</f>
        <v>12.074460013151905</v>
      </c>
      <c r="Y17" s="437">
        <f>('Attainment 25+ by race &amp; gender'!ZD16/'Pop 25+ by race &amp; gender'!DD15)*100</f>
        <v>12.174242963173745</v>
      </c>
      <c r="Z17" s="351">
        <f>('Attainment 25+ by race &amp; gender'!FS16/'Pop 25+ by race &amp; gender'!AT15)*100</f>
        <v>78.895514249843814</v>
      </c>
      <c r="AA17" s="445">
        <f>('Attainment 25+ by race &amp; gender'!HB16/'Pop 25+ by race &amp; gender'!DF15)*100</f>
        <v>86.130379480437384</v>
      </c>
      <c r="AB17" s="352">
        <f>('Attainment 25+ by race &amp; gender'!FT16/'Pop 25+ by race &amp; gender'!AZ15)*100</f>
        <v>60.44747085232629</v>
      </c>
      <c r="AC17" s="351">
        <f>('Attainment 25+ by race &amp; gender'!HC16/'Pop 25+ by race &amp; gender'!DG15)*100</f>
        <v>75.579470955589883</v>
      </c>
      <c r="AD17" s="352">
        <f>('Attainment 25+ by race &amp; gender'!FU16/'Pop 25+ by race &amp; gender'!BC15)*100</f>
        <v>59.148161262582832</v>
      </c>
      <c r="AE17" s="351">
        <f>('Attainment 25+ by race &amp; gender'!HD16/'Pop 25+ by race &amp; gender'!DI15)*100</f>
        <v>61.152794487586128</v>
      </c>
      <c r="AF17" s="352">
        <f>('Attainment 25+ by race &amp; gender'!XM16/'Pop 25+ by race &amp; gender'!AT15)*100</f>
        <v>20.025502464355093</v>
      </c>
      <c r="AG17" s="351">
        <f>('Attainment 25+ by race &amp; gender'!ZG16/'Pop 25+ by race &amp; gender'!DF15)*100</f>
        <v>23.781774642667592</v>
      </c>
      <c r="AH17" s="352">
        <f>('Attainment 25+ by race &amp; gender'!XS16/'Pop 25+ by race &amp; gender'!AZ15)*100</f>
        <v>10.092342436081408</v>
      </c>
      <c r="AI17" s="351">
        <f>('Attainment 25+ by race &amp; gender'!ZH16/'Pop 25+ by race &amp; gender'!DG15)*100</f>
        <v>13.954849268975103</v>
      </c>
      <c r="AJ17" s="352">
        <f>('Attainment 25+ by race &amp; gender'!XV16/'Pop 25+ by race &amp; gender'!BC15)*100</f>
        <v>12.074460013151905</v>
      </c>
      <c r="AK17" s="453">
        <f>('Attainment 25+ by race &amp; gender'!ZI16/'Pop 25+ by race &amp; gender'!DI15)*100</f>
        <v>12.118560647489883</v>
      </c>
      <c r="AL17" s="352">
        <f>('Attainment 25+ by race &amp; gender'!FS16/'Pop 25+ by race &amp; gender'!AT15)*100</f>
        <v>78.895514249843814</v>
      </c>
      <c r="AM17" s="453">
        <f>('Attainment 25+ by race &amp; gender'!HL16/'Pop 25+ by race &amp; gender'!DP15)*100</f>
        <v>87.820156473895722</v>
      </c>
      <c r="AN17" s="517">
        <v>60.44747085232629</v>
      </c>
      <c r="AO17" s="453">
        <f>('Attainment 25+ by race &amp; gender'!HM16/'Pop 25+ by race &amp; gender'!DQ15)*100</f>
        <v>77.441915670158153</v>
      </c>
      <c r="AP17" s="453">
        <f>('Attainment 25+ by race &amp; gender'!FU16/'Pop 25+ by race &amp; gender'!BC15)*100</f>
        <v>59.148161262582832</v>
      </c>
      <c r="AQ17" s="453">
        <f>('Attainment 25+ by race &amp; gender'!HN16/'Pop 25+ by race &amp; gender'!DS15)*100</f>
        <v>60.020561588382705</v>
      </c>
      <c r="AR17" s="453">
        <f>('Attainment 25+ by race &amp; gender'!XM16/'Pop 25+ by race &amp; gender'!AT15)*100</f>
        <v>20.025502464355093</v>
      </c>
      <c r="AS17" s="453">
        <f>('Attainment 25+ by race &amp; gender'!ZQ16/'Pop 25+ by race &amp; gender'!DP15)*100</f>
        <v>24.533919586403155</v>
      </c>
      <c r="AT17" s="453">
        <f>('Attainment 25+ by race &amp; gender'!XS16/'Pop 25+ by race &amp; gender'!AZ15)*100</f>
        <v>10.092342436081408</v>
      </c>
      <c r="AU17" s="453">
        <f>('Attainment 25+ by race &amp; gender'!ZR16/'Pop 25+ by race &amp; gender'!DQ15)*100</f>
        <v>14.337853476157978</v>
      </c>
      <c r="AV17" s="453">
        <f>('Attainment 25+ by race &amp; gender'!XV16/'Pop 25+ by race &amp; gender'!BC15)*100</f>
        <v>12.074460013151905</v>
      </c>
      <c r="AW17" s="453">
        <f>('Attainment 25+ by race &amp; gender'!ZS16/'Pop 25+ by race &amp; gender'!DS15)*100</f>
        <v>12.6175330377605</v>
      </c>
      <c r="AX17" s="352">
        <f>('Attainment 25+ by race &amp; gender'!GR16/'Pop 25+ by race &amp; gender'!CV15)*100</f>
        <v>85</v>
      </c>
      <c r="AY17" s="453">
        <f>('Attainment 25+ by race &amp; gender'!HQ16/'Pop 25+ by race &amp; gender'!DU15)*100</f>
        <v>87.696411320409482</v>
      </c>
      <c r="AZ17" s="517">
        <f>('Attainment 25+ by race &amp; gender'!GS16/'Pop 25+ by race &amp; gender'!CW15)*100</f>
        <v>73.999999999999986</v>
      </c>
      <c r="BA17" s="453">
        <f>('Attainment 25+ by race &amp; gender'!HR16/'Pop 25+ by race &amp; gender'!DV15)*100</f>
        <v>79.187709272540246</v>
      </c>
      <c r="BB17" s="453">
        <f>('Attainment 25+ by race &amp; gender'!GT16/'Pop 25+ by race &amp; gender'!CY15)*100</f>
        <v>56.900000000000006</v>
      </c>
      <c r="BC17" s="453">
        <f>('Attainment 25+ by race &amp; gender'!HS16/'Pop 25+ by race &amp; gender'!DX15)*100</f>
        <v>64.636565719339345</v>
      </c>
      <c r="BD17" s="453">
        <f>('Attainment 25+ by race &amp; gender'!YW16/'Pop 25+ by race &amp; gender'!CV15)*100</f>
        <v>22.9</v>
      </c>
      <c r="BE17" s="453">
        <f>('Attainment 25+ by race &amp; gender'!ZV16/'Pop 25+ by race &amp; gender'!DU15)*100</f>
        <v>25.520860873513669</v>
      </c>
      <c r="BF17" s="453">
        <f>('Attainment 25+ by race &amp; gender'!YX16/'Pop 25+ by race &amp; gender'!CW15)*100</f>
        <v>13.200000000000001</v>
      </c>
      <c r="BG17" s="453">
        <f>('Attainment 25+ by race &amp; gender'!ZW16/'Pop 25+ by race &amp; gender'!DV15)*100</f>
        <v>15.215078988089861</v>
      </c>
      <c r="BH17" s="453">
        <f>('Attainment 25+ by race &amp; gender'!YY16/'Pop 25+ by race &amp; gender'!CY15)*100</f>
        <v>12.000000000000002</v>
      </c>
      <c r="BI17" s="453">
        <f>('Attainment 25+ by race &amp; gender'!ZX16/'Pop 25+ by race &amp; gender'!DX15)*100</f>
        <v>12.84269904629873</v>
      </c>
      <c r="BJ17" s="352">
        <f>('Attainment 25+ by race &amp; gender'!GW16/'Pop 25+ by race &amp; gender'!DA15)*100</f>
        <v>85.972888281892025</v>
      </c>
      <c r="BK17" s="453">
        <f>('Attainment 25+ by race &amp; gender'!IA16/'Pop 25+ by race &amp; gender'!EE15)*100</f>
        <v>87.555312622647889</v>
      </c>
      <c r="BL17" s="517">
        <f>('Attainment 25+ by race &amp; gender'!GX16/'Pop 25+ by race &amp; gender'!DB15)*100</f>
        <v>74.714004005641215</v>
      </c>
      <c r="BM17" s="453">
        <f>('Attainment 25+ by race &amp; gender'!IB16/'Pop 25+ by race &amp; gender'!EF15)*100</f>
        <v>79.991554985460638</v>
      </c>
      <c r="BN17" s="453">
        <f>('Attainment 25+ by race &amp; gender'!GY16/'Pop 25+ by race &amp; gender'!DD15)*100</f>
        <v>59.97012164757772</v>
      </c>
      <c r="BO17" s="453">
        <f>('Attainment 25+ by race &amp; gender'!IC16/'Pop 25+ by race &amp; gender'!EH15)*100</f>
        <v>67.778571428571439</v>
      </c>
      <c r="BP17" s="453">
        <f>('Attainment 25+ by race &amp; gender'!ZB16/'Pop 25+ by race &amp; gender'!DA15)*100</f>
        <v>23.489771198185501</v>
      </c>
      <c r="BQ17" s="453">
        <f>('Attainment 25+ by race &amp; gender'!AAF16/'Pop 25+ by race &amp; gender'!EE15)*100</f>
        <v>25.411296829388668</v>
      </c>
      <c r="BR17" s="453">
        <f>('Attainment 25+ by race &amp; gender'!ZC16/'Pop 25+ by race &amp; gender'!DB15)*100</f>
        <v>13.849705131726346</v>
      </c>
      <c r="BS17" s="453">
        <f>('Attainment 25+ by race &amp; gender'!AAG16/'Pop 25+ by race &amp; gender'!EF15)*100</f>
        <v>15.342792136559657</v>
      </c>
      <c r="BT17" s="453">
        <f>('Attainment 25+ by race &amp; gender'!ZD16/'Pop 25+ by race &amp; gender'!DD15)*100</f>
        <v>12.174242963173745</v>
      </c>
      <c r="BU17" s="453">
        <f>('Attainment 25+ by race &amp; gender'!AAH16/'Pop 25+ by race &amp; gender'!EH15)*100</f>
        <v>17.892857142857142</v>
      </c>
      <c r="BV17" s="352">
        <f>('Attainment 25+ by race &amp; gender'!HN16/'Pop 25+ by race &amp; gender'!DR15)*100</f>
        <v>49.660635488844392</v>
      </c>
      <c r="BW17" s="453">
        <f>('Attainment 25+ by race &amp; gender'!JB16/'Pop 25+ by race &amp; gender'!EQ15)*100</f>
        <v>2.2057593899461518</v>
      </c>
      <c r="BX17" s="517">
        <f>('Attainment 25+ by race &amp; gender'!HO16/'Pop 25+ by race &amp; gender'!DS15)*100</f>
        <v>86.3201182291332</v>
      </c>
      <c r="BY17" s="453">
        <f>('Attainment 25+ by race &amp; gender'!JC16/'Pop 25+ by race &amp; gender'!ER15)*100</f>
        <v>2.0858629661751951</v>
      </c>
      <c r="BZ17" s="453">
        <f>('Attainment 25+ by race &amp; gender'!HP16/'Pop 25+ by race &amp; gender'!DU15)*100</f>
        <v>138.17620847360465</v>
      </c>
      <c r="CA17" s="453">
        <f>('Attainment 25+ by race &amp; gender'!JD16/'Pop 25+ by race &amp; gender'!ET15)*100</f>
        <v>29.313885415359586</v>
      </c>
      <c r="CB17" s="453">
        <f>('Attainment 25+ by race &amp; gender'!ZS16/'Pop 25+ by race &amp; gender'!DR15)*100</f>
        <v>10.439667546828758</v>
      </c>
      <c r="CC17" s="453">
        <f>('Attainment 25+ by race &amp; gender'!ABB16/'Pop 25+ by race &amp; gender'!EQ15)*100</f>
        <v>32.700090304023547</v>
      </c>
      <c r="CD17" s="453">
        <f>('Attainment 25+ by race &amp; gender'!ZT16/'Pop 25+ by race &amp; gender'!DS15)*100</f>
        <v>27.329777892008821</v>
      </c>
      <c r="CE17" s="453">
        <f>('Attainment 25+ by race &amp; gender'!ABC16/'Pop 25+ by race &amp; gender'!ER15)*100</f>
        <v>9.9024284475281874</v>
      </c>
      <c r="CF17" s="453">
        <f>('Attainment 25+ by race &amp; gender'!ZU16/'Pop 25+ by race &amp; gender'!DU15)*100</f>
        <v>35.777096809661579</v>
      </c>
      <c r="CG17" s="453">
        <f>('Attainment 25+ by race &amp; gender'!ABD16/'Pop 25+ by race &amp; gender'!ET15)*100</f>
        <v>8.8931388541535963</v>
      </c>
      <c r="CH17" s="352">
        <f>('Attainment 25+ by race &amp; gender'!HG16/'Pop 25+ by race &amp; gender'!DK15)*100</f>
        <v>87.016458787767732</v>
      </c>
      <c r="CI17" s="452">
        <f>('Attainment 25+ by race &amp; gender'!IK16/'Pop 25+ by race &amp; gender'!EO15)*100</f>
        <v>88.650482468518589</v>
      </c>
      <c r="CJ17" s="517">
        <f>('Attainment 25+ by race &amp; gender'!HH16/'Pop 25+ by race &amp; gender'!DL15)*100</f>
        <v>76.631655314888349</v>
      </c>
      <c r="CK17" s="453">
        <f>('Attainment 25+ by race &amp; gender'!IL16/'Pop 25+ by race &amp; gender'!EP15)*100</f>
        <v>80.841022982054795</v>
      </c>
      <c r="CL17" s="453">
        <f>('Attainment 25+ by race &amp; gender'!HI16/'Pop 25+ by race &amp; gender'!DN15)*100</f>
        <v>63.434646943256681</v>
      </c>
      <c r="CM17" s="453">
        <f>('Attainment 25+ by race &amp; gender'!IM16/'Pop 25+ by race &amp; gender'!ER15)*100</f>
        <v>67.786209887250649</v>
      </c>
      <c r="CN17" s="453">
        <f>('Attainment 25+ by race &amp; gender'!ZL16/'Pop 25+ by race &amp; gender'!DK15)*100</f>
        <v>24.582757054035127</v>
      </c>
      <c r="CO17" s="453">
        <f>('Attainment 25+ by race &amp; gender'!AAP16/'Pop 25+ by race &amp; gender'!EO15)*100</f>
        <v>26.059011678694784</v>
      </c>
      <c r="CP17" s="453">
        <f>('Attainment 25+ by race &amp; gender'!ZM16/'Pop 25+ by race &amp; gender'!DL15)*100</f>
        <v>15.064564314373726</v>
      </c>
      <c r="CQ17" s="453">
        <f>('Attainment 25+ by race &amp; gender'!AAQ16/'Pop 25+ by race &amp; gender'!EP15)*100</f>
        <v>15.950548840071448</v>
      </c>
      <c r="CR17" s="453">
        <f>('Attainment 25+ by race &amp; gender'!ZN16/'Pop 25+ by race &amp; gender'!DN15)*100</f>
        <v>12.321738125505604</v>
      </c>
      <c r="CS17" s="453">
        <f>('Attainment 25+ by race &amp; gender'!AAR16/'Pop 25+ by race &amp; gender'!ER15)*100</f>
        <v>11.8235039028621</v>
      </c>
      <c r="CT17" s="350">
        <f>IFERROR(('Attainment 25+ by race &amp; gender'!HQ16/'Pop 25+ by race &amp; gender'!DU15)*100,"-")</f>
        <v>87.696411320409482</v>
      </c>
      <c r="CU17" s="452">
        <f>IFERROR(('Attainment 25+ by race &amp; gender'!IP16/'Pop 25+ by race &amp; gender'!ET15)*100,"-")</f>
        <v>89.928043857333861</v>
      </c>
      <c r="CV17" s="350">
        <f>IFERROR(('Attainment 25+ by race &amp; gender'!HR16/'Pop 25+ by race &amp; gender'!DV15)*100,"-")</f>
        <v>79.187709272540246</v>
      </c>
      <c r="CW17" s="452">
        <f>IFERROR(('Attainment 25+ by race &amp; gender'!IQ16/'Pop 25+ by race &amp; gender'!EU15)*100, "-")</f>
        <v>82.034295430040643</v>
      </c>
      <c r="CX17" s="452">
        <f>IFERROR(('Attainment 25+ by race &amp; gender'!HS16/'Pop 25+ by race &amp; gender'!DX15)*100, "-")</f>
        <v>64.636565719339345</v>
      </c>
      <c r="CY17" s="452">
        <f>IFERROR(('Attainment 25+ by race &amp; gender'!IR16/'Pop 25+ by race &amp; gender'!EW15)*100, "-")</f>
        <v>66.315937713756895</v>
      </c>
      <c r="CZ17" s="452">
        <f>IFERROR(('Attainment 25+ by race &amp; gender'!HU16/'Pop 25+ by race &amp; gender'!DY15)*100, "-")</f>
        <v>84.688866101786388</v>
      </c>
      <c r="DA17" s="452">
        <f>IFERROR(('Attainment 25+ by race &amp; gender'!IT16/'Pop 25+ by race &amp; gender'!EX15)*100, "-")</f>
        <v>83.6289602855868</v>
      </c>
      <c r="DB17" s="452" t="str">
        <f>IFERROR(('Attainment 25+ by race &amp; gender'!HV16/'Pop 25+ by race &amp; gender'!DZ15)*100, "-")</f>
        <v>-</v>
      </c>
      <c r="DC17" s="452" t="str">
        <f>IFERROR(('Attainment 25+ by race &amp; gender'!IU16/'Pop 25+ by race &amp; gender'!EY15)*100, "-")</f>
        <v>-</v>
      </c>
      <c r="DD17" s="452">
        <f>IFERROR(('Attainment 25+ by race &amp; gender'!HW16/'Pop 25+ by race &amp; gender'!EA15)*100, "-")</f>
        <v>74.668396770472896</v>
      </c>
      <c r="DE17" s="452">
        <f>IFERROR(('Attainment 25+ by race &amp; gender'!IV16/'Pop 25+ by race &amp; gender'!EZ15)*100, "-")</f>
        <v>80.461265523358961</v>
      </c>
      <c r="DF17" s="452">
        <f>IFERROR(('Attainment 25+ by race &amp; gender'!HX16/'Pop 25+ by race &amp; gender'!EB15)*100, "-")</f>
        <v>79.196656605525888</v>
      </c>
      <c r="DG17" s="452">
        <f>IFERROR(('Attainment 25+ by race &amp; gender'!IW16/'Pop 25+ by race &amp; gender'!FA15)*100, "-")</f>
        <v>83.478878587088317</v>
      </c>
      <c r="DH17" s="452">
        <f>IFERROR(('Attainment 25+ by race &amp; gender'!HY16/'Pop 25+ by race &amp; gender'!EC15)*100, "-")</f>
        <v>56.32991175940932</v>
      </c>
      <c r="DI17" s="452">
        <f>IFERROR(('Attainment 25+ by race &amp; gender'!IX16/'Pop 25+ by race &amp; gender'!FB15)*100, "-")</f>
        <v>65.190676890265578</v>
      </c>
      <c r="DJ17" s="452">
        <f>IFERROR(('Attainment 25+ by race &amp; gender'!ZV16/'Pop 25+ by race &amp; gender'!DU15)*100, "-")</f>
        <v>25.520860873513669</v>
      </c>
      <c r="DK17" s="452">
        <f>IFERROR(('Attainment 25+ by race &amp; gender'!AAU16/'Pop 25+ by race &amp; gender'!ET15)*100, "-")</f>
        <v>28.554862772756184</v>
      </c>
      <c r="DL17" s="452">
        <f>IFERROR(('Attainment 25+ by race &amp; gender'!ZW16/'Pop 25+ by race &amp; gender'!DV15)*100, "-")</f>
        <v>15.215078988089861</v>
      </c>
      <c r="DM17" s="452">
        <f>IFERROR(('Attainment 25+ by race &amp; gender'!AAV16/'Pop 25+ by race &amp; gender'!EU15)*100, "-")</f>
        <v>18.229037073898979</v>
      </c>
      <c r="DN17" s="452">
        <f>IFERROR(('Attainment 25+ by race &amp; gender'!ZX16/'Pop 25+ by race &amp; gender'!DX15)*100, "-")</f>
        <v>12.84269904629873</v>
      </c>
      <c r="DO17" s="452">
        <f>IFERROR(('Attainment 25+ by race &amp; gender'!AAW16/'Pop 25+ by race &amp; gender'!EW15)*100, "-")</f>
        <v>21.566812859614533</v>
      </c>
      <c r="DP17" s="452">
        <f>IFERROR(('Attainment 25+ by race &amp; gender'!ZZ16/'Pop 25+ by race &amp; gender'!DY15)*100, "-")</f>
        <v>43.137784014247934</v>
      </c>
      <c r="DQ17" s="452">
        <f>IFERROR(('Attainment 25+ by race &amp; gender'!AAY16/'Pop 25+ by race &amp; gender'!EX15)*100, "-")</f>
        <v>44.249219098616685</v>
      </c>
      <c r="DR17" s="452" t="str">
        <f>IFERROR(('Attainment 25+ by race &amp; gender'!AAA16/'Pop 25+ by race &amp; gender'!DZ15)*100, "-")</f>
        <v>-</v>
      </c>
      <c r="DS17" s="452" t="str">
        <f>IFERROR(('Attainment 25+ by race &amp; gender'!AAZ16/'Pop 25+ by race &amp; gender'!EY15)*100, "-")</f>
        <v>-</v>
      </c>
      <c r="DT17" s="452">
        <f>IFERROR(('Attainment 25+ by race &amp; gender'!AAB16/'Pop 25+ by race &amp; gender'!EA15)*100, "-")</f>
        <v>13.350634371395618</v>
      </c>
      <c r="DU17" s="452">
        <f>IFERROR(('Attainment 25+ by race &amp; gender'!ABA16/'Pop 25+ by race &amp; gender'!EZ15)*100, "-")</f>
        <v>10.798344175044353</v>
      </c>
      <c r="DV17" s="452">
        <f>IFERROR(('Attainment 25+ by race &amp; gender'!AAC16/'Pop 25+ by race &amp; gender'!EB15)*100, "-")</f>
        <v>21.956504914480306</v>
      </c>
      <c r="DW17" s="452">
        <f>IFERROR(('Attainment 25+ by race &amp; gender'!ABB16/'Pop 25+ by race &amp; gender'!FA15)*100, "-")</f>
        <v>23.949440885764329</v>
      </c>
      <c r="DX17" s="452">
        <f>IFERROR(('Attainment 25+ by race &amp; gender'!AAD16/'Pop 25+ by race &amp; gender'!EC15)*100, "-")</f>
        <v>10.138663785341256</v>
      </c>
      <c r="DY17" s="452">
        <f>IFERROR(('Attainment 25+ by race &amp; gender'!ABC16/'Pop 25+ by race &amp; gender'!FB15)*100, "-")</f>
        <v>23.190981567054283</v>
      </c>
    </row>
    <row r="18" spans="1:129">
      <c r="A18" s="38" t="s">
        <v>17</v>
      </c>
      <c r="B18" s="351">
        <f>('Attainment 25+ by race &amp; gender'!FS17/'Pop 25+ by race &amp; gender'!AT16)*100</f>
        <v>81.154747104822576</v>
      </c>
      <c r="C18" s="445">
        <f>('Attainment 25+ by race &amp; gender'!GR17/'Pop 25+ by race &amp; gender'!CV16)*100</f>
        <v>87.1</v>
      </c>
      <c r="D18" s="352">
        <f>('Attainment 25+ by race &amp; gender'!FT17/'Pop 25+ by race &amp; gender'!AZ16)*100</f>
        <v>70.725541220120235</v>
      </c>
      <c r="E18" s="351">
        <f>('Attainment 25+ by race &amp; gender'!GS17/'Pop 25+ by race &amp; gender'!CW16)*100</f>
        <v>80.7</v>
      </c>
      <c r="F18" s="352">
        <f>('Attainment 25+ by race &amp; gender'!FU17/'Pop 25+ by race &amp; gender'!BC16)*100</f>
        <v>44.506191897362015</v>
      </c>
      <c r="G18" s="351">
        <f>('Attainment 25+ by race &amp; gender'!GT17/'Pop 25+ by race &amp; gender'!CY16)*100</f>
        <v>53.400000000000006</v>
      </c>
      <c r="H18" s="352">
        <f>('Attainment 25+ by race &amp; gender'!XM17/'Pop 25+ by race &amp; gender'!AT16)*100</f>
        <v>25.021531274724047</v>
      </c>
      <c r="I18" s="351">
        <f>('Attainment 25+ by race &amp; gender'!YW17/'Pop 25+ by race &amp; gender'!CV16)*100</f>
        <v>29.4</v>
      </c>
      <c r="J18" s="352">
        <f>('Attainment 25+ by race &amp; gender'!XS17/'Pop 25+ by race &amp; gender'!AZ16)*100</f>
        <v>13.14524089123319</v>
      </c>
      <c r="K18" s="351">
        <f>('Attainment 25+ by race &amp; gender'!YX17/'Pop 25+ by race &amp; gender'!CW16)*100</f>
        <v>17.100000000000001</v>
      </c>
      <c r="L18" s="352">
        <f>('Attainment 25+ by race &amp; gender'!XV17/'Pop 25+ by race &amp; gender'!BC16)*100</f>
        <v>10.51764948029227</v>
      </c>
      <c r="M18" s="437">
        <f>('Attainment 25+ by race &amp; gender'!YY17/'Pop 25+ by race &amp; gender'!CY16)*100</f>
        <v>11.1</v>
      </c>
      <c r="N18" s="351">
        <f>('Attainment 25+ by race &amp; gender'!FS17/'Pop 25+ by race &amp; gender'!AT16)*100</f>
        <v>81.154747104822576</v>
      </c>
      <c r="O18" s="445">
        <f>('Attainment 25+ by race &amp; gender'!GW17/'Pop 25+ by race &amp; gender'!DA16)*100</f>
        <v>88.854764181275414</v>
      </c>
      <c r="P18" s="352">
        <f>('Attainment 25+ by race &amp; gender'!FT17/'Pop 25+ by race &amp; gender'!AZ16)*100</f>
        <v>70.725541220120235</v>
      </c>
      <c r="Q18" s="351">
        <f>('Attainment 25+ by race &amp; gender'!GX17/'Pop 25+ by race &amp; gender'!DB16)*100</f>
        <v>81.507945576898706</v>
      </c>
      <c r="R18" s="352">
        <f>('Attainment 25+ by race &amp; gender'!FU17/'Pop 25+ by race &amp; gender'!BC16)*100</f>
        <v>44.506191897362015</v>
      </c>
      <c r="S18" s="351">
        <f>('Attainment 25+ by race &amp; gender'!GY17/'Pop 25+ by race &amp; gender'!DD16)*100</f>
        <v>53.74123110364588</v>
      </c>
      <c r="T18" s="352">
        <f>('Attainment 25+ by race &amp; gender'!XM17/'Pop 25+ by race &amp; gender'!AT16)*100</f>
        <v>25.021531274724047</v>
      </c>
      <c r="U18" s="351">
        <f>('Attainment 25+ by race &amp; gender'!ZB17/'Pop 25+ by race &amp; gender'!DA16)*100</f>
        <v>30.594297729913343</v>
      </c>
      <c r="V18" s="352">
        <f>('Attainment 25+ by race &amp; gender'!XS17/'Pop 25+ by race &amp; gender'!AZ16)*100</f>
        <v>13.14524089123319</v>
      </c>
      <c r="W18" s="351">
        <f>('Attainment 25+ by race &amp; gender'!ZC17/'Pop 25+ by race &amp; gender'!DB16)*100</f>
        <v>17.083048632698482</v>
      </c>
      <c r="X18" s="352">
        <f>('Attainment 25+ by race &amp; gender'!XV17/'Pop 25+ by race &amp; gender'!BC16)*100</f>
        <v>10.51764948029227</v>
      </c>
      <c r="Y18" s="437">
        <f>('Attainment 25+ by race &amp; gender'!ZD17/'Pop 25+ by race &amp; gender'!DD16)*100</f>
        <v>11.20121529493133</v>
      </c>
      <c r="Z18" s="351">
        <f>('Attainment 25+ by race &amp; gender'!FS17/'Pop 25+ by race &amp; gender'!AT16)*100</f>
        <v>81.154747104822576</v>
      </c>
      <c r="AA18" s="445">
        <f>('Attainment 25+ by race &amp; gender'!HB17/'Pop 25+ by race &amp; gender'!DF16)*100</f>
        <v>89.164551605089514</v>
      </c>
      <c r="AB18" s="352">
        <f>('Attainment 25+ by race &amp; gender'!FT17/'Pop 25+ by race &amp; gender'!AZ16)*100</f>
        <v>70.725541220120235</v>
      </c>
      <c r="AC18" s="351">
        <f>('Attainment 25+ by race &amp; gender'!HC17/'Pop 25+ by race &amp; gender'!DG16)*100</f>
        <v>82.179773372015347</v>
      </c>
      <c r="AD18" s="352">
        <f>('Attainment 25+ by race &amp; gender'!FU17/'Pop 25+ by race &amp; gender'!BC16)*100</f>
        <v>44.506191897362015</v>
      </c>
      <c r="AE18" s="351">
        <f>('Attainment 25+ by race &amp; gender'!HD17/'Pop 25+ by race &amp; gender'!DI16)*100</f>
        <v>53.654182104394231</v>
      </c>
      <c r="AF18" s="352">
        <f>('Attainment 25+ by race &amp; gender'!XM17/'Pop 25+ by race &amp; gender'!AT16)*100</f>
        <v>25.021531274724047</v>
      </c>
      <c r="AG18" s="351">
        <f>('Attainment 25+ by race &amp; gender'!ZG17/'Pop 25+ by race &amp; gender'!DF16)*100</f>
        <v>31.30101066347412</v>
      </c>
      <c r="AH18" s="352">
        <f>('Attainment 25+ by race &amp; gender'!XS17/'Pop 25+ by race &amp; gender'!AZ16)*100</f>
        <v>13.14524089123319</v>
      </c>
      <c r="AI18" s="351">
        <f>('Attainment 25+ by race &amp; gender'!ZH17/'Pop 25+ by race &amp; gender'!DG16)*100</f>
        <v>17.723343049751172</v>
      </c>
      <c r="AJ18" s="352">
        <f>('Attainment 25+ by race &amp; gender'!XV17/'Pop 25+ by race &amp; gender'!BC16)*100</f>
        <v>10.51764948029227</v>
      </c>
      <c r="AK18" s="453">
        <f>('Attainment 25+ by race &amp; gender'!ZI17/'Pop 25+ by race &amp; gender'!DI16)*100</f>
        <v>11.75155017181471</v>
      </c>
      <c r="AL18" s="352">
        <f>('Attainment 25+ by race &amp; gender'!FS17/'Pop 25+ by race &amp; gender'!AT16)*100</f>
        <v>81.154747104822576</v>
      </c>
      <c r="AM18" s="453">
        <f>('Attainment 25+ by race &amp; gender'!HL17/'Pop 25+ by race &amp; gender'!DP16)*100</f>
        <v>90.305895979001065</v>
      </c>
      <c r="AN18" s="517">
        <v>70.725541220120235</v>
      </c>
      <c r="AO18" s="453">
        <f>('Attainment 25+ by race &amp; gender'!HM17/'Pop 25+ by race &amp; gender'!DQ16)*100</f>
        <v>84.4501542216926</v>
      </c>
      <c r="AP18" s="453">
        <f>('Attainment 25+ by race &amp; gender'!FU17/'Pop 25+ by race &amp; gender'!BC16)*100</f>
        <v>44.506191897362015</v>
      </c>
      <c r="AQ18" s="453">
        <f>('Attainment 25+ by race &amp; gender'!HN17/'Pop 25+ by race &amp; gender'!DS16)*100</f>
        <v>56.48726723256744</v>
      </c>
      <c r="AR18" s="453">
        <f>('Attainment 25+ by race &amp; gender'!XM17/'Pop 25+ by race &amp; gender'!AT16)*100</f>
        <v>25.021531274724047</v>
      </c>
      <c r="AS18" s="453">
        <f>('Attainment 25+ by race &amp; gender'!ZQ17/'Pop 25+ by race &amp; gender'!DP16)*100</f>
        <v>33.172660654048578</v>
      </c>
      <c r="AT18" s="453">
        <f>('Attainment 25+ by race &amp; gender'!XS17/'Pop 25+ by race &amp; gender'!AZ16)*100</f>
        <v>13.14524089123319</v>
      </c>
      <c r="AU18" s="453">
        <f>('Attainment 25+ by race &amp; gender'!ZR17/'Pop 25+ by race &amp; gender'!DQ16)*100</f>
        <v>19.524408576399608</v>
      </c>
      <c r="AV18" s="453">
        <f>('Attainment 25+ by race &amp; gender'!XV17/'Pop 25+ by race &amp; gender'!BC16)*100</f>
        <v>10.51764948029227</v>
      </c>
      <c r="AW18" s="453">
        <f>('Attainment 25+ by race &amp; gender'!ZS17/'Pop 25+ by race &amp; gender'!DS16)*100</f>
        <v>13.505844184702903</v>
      </c>
      <c r="AX18" s="352">
        <f>('Attainment 25+ by race &amp; gender'!GR17/'Pop 25+ by race &amp; gender'!CV16)*100</f>
        <v>87.1</v>
      </c>
      <c r="AY18" s="453">
        <f>('Attainment 25+ by race &amp; gender'!HQ17/'Pop 25+ by race &amp; gender'!DU16)*100</f>
        <v>90.955872791543612</v>
      </c>
      <c r="AZ18" s="517">
        <f>('Attainment 25+ by race &amp; gender'!GS17/'Pop 25+ by race &amp; gender'!CW16)*100</f>
        <v>80.7</v>
      </c>
      <c r="BA18" s="453">
        <f>('Attainment 25+ by race &amp; gender'!HR17/'Pop 25+ by race &amp; gender'!DV16)*100</f>
        <v>84.658020316862377</v>
      </c>
      <c r="BB18" s="453">
        <f>('Attainment 25+ by race &amp; gender'!GT17/'Pop 25+ by race &amp; gender'!CY16)*100</f>
        <v>53.400000000000006</v>
      </c>
      <c r="BC18" s="453">
        <f>('Attainment 25+ by race &amp; gender'!HS17/'Pop 25+ by race &amp; gender'!DX16)*100</f>
        <v>59.503394030582044</v>
      </c>
      <c r="BD18" s="453">
        <f>('Attainment 25+ by race &amp; gender'!YW17/'Pop 25+ by race &amp; gender'!CV16)*100</f>
        <v>29.4</v>
      </c>
      <c r="BE18" s="453">
        <f>('Attainment 25+ by race &amp; gender'!ZV17/'Pop 25+ by race &amp; gender'!DU16)*100</f>
        <v>34.136156918033464</v>
      </c>
      <c r="BF18" s="453">
        <f>('Attainment 25+ by race &amp; gender'!YX17/'Pop 25+ by race &amp; gender'!CW16)*100</f>
        <v>17.100000000000001</v>
      </c>
      <c r="BG18" s="453">
        <f>('Attainment 25+ by race &amp; gender'!ZW17/'Pop 25+ by race &amp; gender'!DV16)*100</f>
        <v>20.313240193665735</v>
      </c>
      <c r="BH18" s="453">
        <f>('Attainment 25+ by race &amp; gender'!YY17/'Pop 25+ by race &amp; gender'!CY16)*100</f>
        <v>11.1</v>
      </c>
      <c r="BI18" s="453">
        <f>('Attainment 25+ by race &amp; gender'!ZX17/'Pop 25+ by race &amp; gender'!DX16)*100</f>
        <v>14.794331069200933</v>
      </c>
      <c r="BJ18" s="352">
        <f>('Attainment 25+ by race &amp; gender'!GW17/'Pop 25+ by race &amp; gender'!DA16)*100</f>
        <v>88.854764181275414</v>
      </c>
      <c r="BK18" s="453">
        <f>('Attainment 25+ by race &amp; gender'!IA17/'Pop 25+ by race &amp; gender'!EE16)*100</f>
        <v>91.472897106023538</v>
      </c>
      <c r="BL18" s="517">
        <f>('Attainment 25+ by race &amp; gender'!GX17/'Pop 25+ by race &amp; gender'!DB16)*100</f>
        <v>81.507945576898706</v>
      </c>
      <c r="BM18" s="453">
        <f>('Attainment 25+ by race &amp; gender'!IB17/'Pop 25+ by race &amp; gender'!EF16)*100</f>
        <v>85.423043523568026</v>
      </c>
      <c r="BN18" s="453">
        <f>('Attainment 25+ by race &amp; gender'!GY17/'Pop 25+ by race &amp; gender'!DD16)*100</f>
        <v>53.74123110364588</v>
      </c>
      <c r="BO18" s="453">
        <f>('Attainment 25+ by race &amp; gender'!IC17/'Pop 25+ by race &amp; gender'!EH16)*100</f>
        <v>59.972729465812193</v>
      </c>
      <c r="BP18" s="453">
        <f>('Attainment 25+ by race &amp; gender'!ZB17/'Pop 25+ by race &amp; gender'!DA16)*100</f>
        <v>30.594297729913343</v>
      </c>
      <c r="BQ18" s="453">
        <f>('Attainment 25+ by race &amp; gender'!AAF17/'Pop 25+ by race &amp; gender'!EE16)*100</f>
        <v>35.108071516626268</v>
      </c>
      <c r="BR18" s="453">
        <f>('Attainment 25+ by race &amp; gender'!ZC17/'Pop 25+ by race &amp; gender'!DB16)*100</f>
        <v>17.083048632698482</v>
      </c>
      <c r="BS18" s="453">
        <f>('Attainment 25+ by race &amp; gender'!AAG17/'Pop 25+ by race &amp; gender'!EF16)*100</f>
        <v>21.164889367466742</v>
      </c>
      <c r="BT18" s="453">
        <f>('Attainment 25+ by race &amp; gender'!ZD17/'Pop 25+ by race &amp; gender'!DD16)*100</f>
        <v>11.20121529493133</v>
      </c>
      <c r="BU18" s="453">
        <f>('Attainment 25+ by race &amp; gender'!AAH17/'Pop 25+ by race &amp; gender'!EH16)*100</f>
        <v>15.052915324991348</v>
      </c>
      <c r="BV18" s="352">
        <f>('Attainment 25+ by race &amp; gender'!HN17/'Pop 25+ by race &amp; gender'!DR16)*100</f>
        <v>51.603813993711015</v>
      </c>
      <c r="BW18" s="453">
        <f>('Attainment 25+ by race &amp; gender'!JB17/'Pop 25+ by race &amp; gender'!EQ16)*100</f>
        <v>0.57520861022776981</v>
      </c>
      <c r="BX18" s="517">
        <f>('Attainment 25+ by race &amp; gender'!HO17/'Pop 25+ by race &amp; gender'!DS16)*100</f>
        <v>80.00288876049953</v>
      </c>
      <c r="BY18" s="453">
        <f>('Attainment 25+ by race &amp; gender'!JC17/'Pop 25+ by race &amp; gender'!ER16)*100</f>
        <v>0.81493277680653819</v>
      </c>
      <c r="BZ18" s="453">
        <f>('Attainment 25+ by race &amp; gender'!HP17/'Pop 25+ by race &amp; gender'!DU16)*100</f>
        <v>128.40931255967067</v>
      </c>
      <c r="CA18" s="453">
        <f>('Attainment 25+ by race &amp; gender'!JD17/'Pop 25+ by race &amp; gender'!ET16)*100</f>
        <v>21.169549994959784</v>
      </c>
      <c r="CB18" s="453">
        <f>('Attainment 25+ by race &amp; gender'!ZS17/'Pop 25+ by race &amp; gender'!DR16)*100</f>
        <v>12.338233114835964</v>
      </c>
      <c r="CC18" s="453">
        <f>('Attainment 25+ by race &amp; gender'!ABB17/'Pop 25+ by race &amp; gender'!EQ16)*100</f>
        <v>21.082425738812059</v>
      </c>
      <c r="CD18" s="453">
        <f>('Attainment 25+ by race &amp; gender'!ZT17/'Pop 25+ by race &amp; gender'!DS16)*100</f>
        <v>32.993644726901024</v>
      </c>
      <c r="CE18" s="453">
        <f>('Attainment 25+ by race &amp; gender'!ABC17/'Pop 25+ by race &amp; gender'!ER16)*100</f>
        <v>7.8637314031405863</v>
      </c>
      <c r="CF18" s="453">
        <f>('Attainment 25+ by race &amp; gender'!ZU17/'Pop 25+ by race &amp; gender'!DU16)*100</f>
        <v>44.723166591953571</v>
      </c>
      <c r="CG18" s="453">
        <f>('Attainment 25+ by race &amp; gender'!ABD17/'Pop 25+ by race &amp; gender'!ET16)*100</f>
        <v>7.9851189133036042</v>
      </c>
      <c r="CH18" s="352">
        <f>('Attainment 25+ by race &amp; gender'!HG17/'Pop 25+ by race &amp; gender'!DK16)*100</f>
        <v>90.316069551506658</v>
      </c>
      <c r="CI18" s="452">
        <f>('Attainment 25+ by race &amp; gender'!IK17/'Pop 25+ by race &amp; gender'!EO16)*100</f>
        <v>92.210483511987533</v>
      </c>
      <c r="CJ18" s="517">
        <f>('Attainment 25+ by race &amp; gender'!HH17/'Pop 25+ by race &amp; gender'!DL16)*100</f>
        <v>84.271764125364655</v>
      </c>
      <c r="CK18" s="453">
        <f>('Attainment 25+ by race &amp; gender'!IL17/'Pop 25+ by race &amp; gender'!EP16)*100</f>
        <v>86.442273870318402</v>
      </c>
      <c r="CL18" s="453">
        <f>('Attainment 25+ by race &amp; gender'!HI17/'Pop 25+ by race &amp; gender'!DN16)*100</f>
        <v>55.497291519962076</v>
      </c>
      <c r="CM18" s="453">
        <f>('Attainment 25+ by race &amp; gender'!IM17/'Pop 25+ by race &amp; gender'!ER16)*100</f>
        <v>62.818546047790178</v>
      </c>
      <c r="CN18" s="453">
        <f>('Attainment 25+ by race &amp; gender'!ZL17/'Pop 25+ by race &amp; gender'!DK16)*100</f>
        <v>32.290097231955151</v>
      </c>
      <c r="CO18" s="453">
        <f>('Attainment 25+ by race &amp; gender'!AAP17/'Pop 25+ by race &amp; gender'!EO16)*100</f>
        <v>36.030228421700386</v>
      </c>
      <c r="CP18" s="453">
        <f>('Attainment 25+ by race &amp; gender'!ZM17/'Pop 25+ by race &amp; gender'!DL16)*100</f>
        <v>19.589716738942272</v>
      </c>
      <c r="CQ18" s="453">
        <f>('Attainment 25+ by race &amp; gender'!AAQ17/'Pop 25+ by race &amp; gender'!EP16)*100</f>
        <v>22.404777325593518</v>
      </c>
      <c r="CR18" s="453">
        <f>('Attainment 25+ by race &amp; gender'!ZN17/'Pop 25+ by race &amp; gender'!DN16)*100</f>
        <v>12.613290125271476</v>
      </c>
      <c r="CS18" s="453">
        <f>('Attainment 25+ by race &amp; gender'!AAR17/'Pop 25+ by race &amp; gender'!ER16)*100</f>
        <v>16.987435317387696</v>
      </c>
      <c r="CT18" s="350">
        <f>IFERROR(('Attainment 25+ by race &amp; gender'!HQ17/'Pop 25+ by race &amp; gender'!DU16)*100,"-")</f>
        <v>90.955872791543612</v>
      </c>
      <c r="CU18" s="452">
        <f>IFERROR(('Attainment 25+ by race &amp; gender'!IP17/'Pop 25+ by race &amp; gender'!ET16)*100,"-")</f>
        <v>93.110611916257298</v>
      </c>
      <c r="CV18" s="350">
        <f>IFERROR(('Attainment 25+ by race &amp; gender'!HR17/'Pop 25+ by race &amp; gender'!DV16)*100,"-")</f>
        <v>84.658020316862377</v>
      </c>
      <c r="CW18" s="452">
        <f>IFERROR(('Attainment 25+ by race &amp; gender'!IQ17/'Pop 25+ by race &amp; gender'!EU16)*100, "-")</f>
        <v>88.399550714416321</v>
      </c>
      <c r="CX18" s="452">
        <f>IFERROR(('Attainment 25+ by race &amp; gender'!HS17/'Pop 25+ by race &amp; gender'!DX16)*100, "-")</f>
        <v>59.503394030582044</v>
      </c>
      <c r="CY18" s="452">
        <f>IFERROR(('Attainment 25+ by race &amp; gender'!IR17/'Pop 25+ by race &amp; gender'!EW16)*100, "-")</f>
        <v>64.469056557623105</v>
      </c>
      <c r="CZ18" s="452">
        <f>IFERROR(('Attainment 25+ by race &amp; gender'!HU17/'Pop 25+ by race &amp; gender'!DY16)*100, "-")</f>
        <v>87.000633765947484</v>
      </c>
      <c r="DA18" s="452">
        <f>IFERROR(('Attainment 25+ by race &amp; gender'!IT17/'Pop 25+ by race &amp; gender'!EX16)*100, "-")</f>
        <v>87.812247911510951</v>
      </c>
      <c r="DB18" s="452" t="str">
        <f>IFERROR(('Attainment 25+ by race &amp; gender'!HV17/'Pop 25+ by race &amp; gender'!DZ16)*100, "-")</f>
        <v>-</v>
      </c>
      <c r="DC18" s="452" t="str">
        <f>IFERROR(('Attainment 25+ by race &amp; gender'!IU17/'Pop 25+ by race &amp; gender'!EY16)*100, "-")</f>
        <v>-</v>
      </c>
      <c r="DD18" s="452">
        <f>IFERROR(('Attainment 25+ by race &amp; gender'!HW17/'Pop 25+ by race &amp; gender'!EA16)*100, "-")</f>
        <v>75.669854619112328</v>
      </c>
      <c r="DE18" s="452">
        <f>IFERROR(('Attainment 25+ by race &amp; gender'!IV17/'Pop 25+ by race &amp; gender'!EZ16)*100, "-")</f>
        <v>74.587428631019108</v>
      </c>
      <c r="DF18" s="452">
        <f>IFERROR(('Attainment 25+ by race &amp; gender'!HX17/'Pop 25+ by race &amp; gender'!EB16)*100, "-")</f>
        <v>88.865366145838706</v>
      </c>
      <c r="DG18" s="452">
        <f>IFERROR(('Attainment 25+ by race &amp; gender'!IW17/'Pop 25+ by race &amp; gender'!FA16)*100, "-")</f>
        <v>82.358727359066549</v>
      </c>
      <c r="DH18" s="452">
        <f>IFERROR(('Attainment 25+ by race &amp; gender'!HY17/'Pop 25+ by race &amp; gender'!EC16)*100, "-")</f>
        <v>53.518966699884821</v>
      </c>
      <c r="DI18" s="452">
        <f>IFERROR(('Attainment 25+ by race &amp; gender'!IX17/'Pop 25+ by race &amp; gender'!FB16)*100, "-")</f>
        <v>57.869427345644468</v>
      </c>
      <c r="DJ18" s="452">
        <f>IFERROR(('Attainment 25+ by race &amp; gender'!ZV17/'Pop 25+ by race &amp; gender'!DU16)*100, "-")</f>
        <v>34.136156918033464</v>
      </c>
      <c r="DK18" s="452">
        <f>IFERROR(('Attainment 25+ by race &amp; gender'!AAU17/'Pop 25+ by race &amp; gender'!ET16)*100, "-")</f>
        <v>38.922295859555476</v>
      </c>
      <c r="DL18" s="452">
        <f>IFERROR(('Attainment 25+ by race &amp; gender'!ZW17/'Pop 25+ by race &amp; gender'!DV16)*100, "-")</f>
        <v>20.313240193665735</v>
      </c>
      <c r="DM18" s="452">
        <f>IFERROR(('Attainment 25+ by race &amp; gender'!AAV17/'Pop 25+ by race &amp; gender'!EU16)*100, "-")</f>
        <v>24.661994491945123</v>
      </c>
      <c r="DN18" s="452">
        <f>IFERROR(('Attainment 25+ by race &amp; gender'!ZX17/'Pop 25+ by race &amp; gender'!DX16)*100, "-")</f>
        <v>14.794331069200933</v>
      </c>
      <c r="DO18" s="452">
        <f>IFERROR(('Attainment 25+ by race &amp; gender'!AAW17/'Pop 25+ by race &amp; gender'!EW16)*100, "-")</f>
        <v>18.275142589250308</v>
      </c>
      <c r="DP18" s="452">
        <f>IFERROR(('Attainment 25+ by race &amp; gender'!ZZ17/'Pop 25+ by race &amp; gender'!DY16)*100, "-")</f>
        <v>57.13482681656609</v>
      </c>
      <c r="DQ18" s="452">
        <f>IFERROR(('Attainment 25+ by race &amp; gender'!AAY17/'Pop 25+ by race &amp; gender'!EX16)*100, "-")</f>
        <v>63.112247455757753</v>
      </c>
      <c r="DR18" s="452" t="str">
        <f>IFERROR(('Attainment 25+ by race &amp; gender'!AAA17/'Pop 25+ by race &amp; gender'!DZ16)*100, "-")</f>
        <v>-</v>
      </c>
      <c r="DS18" s="452" t="str">
        <f>IFERROR(('Attainment 25+ by race &amp; gender'!AAZ17/'Pop 25+ by race &amp; gender'!EY16)*100, "-")</f>
        <v>-</v>
      </c>
      <c r="DT18" s="452">
        <f>IFERROR(('Attainment 25+ by race &amp; gender'!AAB17/'Pop 25+ by race &amp; gender'!EA16)*100, "-")</f>
        <v>13.867593138637471</v>
      </c>
      <c r="DU18" s="452">
        <f>IFERROR(('Attainment 25+ by race &amp; gender'!ABA17/'Pop 25+ by race &amp; gender'!EZ16)*100, "-")</f>
        <v>14.192976510154601</v>
      </c>
      <c r="DV18" s="452">
        <f>IFERROR(('Attainment 25+ by race &amp; gender'!AAC17/'Pop 25+ by race &amp; gender'!EB16)*100, "-")</f>
        <v>29.943304451994674</v>
      </c>
      <c r="DW18" s="452">
        <f>IFERROR(('Attainment 25+ by race &amp; gender'!ABB17/'Pop 25+ by race &amp; gender'!FA16)*100, "-")</f>
        <v>28.228749745607491</v>
      </c>
      <c r="DX18" s="452">
        <f>IFERROR(('Attainment 25+ by race &amp; gender'!AAD17/'Pop 25+ by race &amp; gender'!EC16)*100, "-")</f>
        <v>9.9072048869504457</v>
      </c>
      <c r="DY18" s="452">
        <f>IFERROR(('Attainment 25+ by race &amp; gender'!ABC17/'Pop 25+ by race &amp; gender'!FB16)*100, "-")</f>
        <v>15.069203506808432</v>
      </c>
    </row>
    <row r="19" spans="1:129">
      <c r="A19" s="38" t="s">
        <v>18</v>
      </c>
      <c r="B19" s="351">
        <f>('Attainment 25+ by race &amp; gender'!FS18/'Pop 25+ by race &amp; gender'!AT17)*100</f>
        <v>82.09458086023254</v>
      </c>
      <c r="C19" s="445">
        <f>('Attainment 25+ by race &amp; gender'!GR18/'Pop 25+ by race &amp; gender'!CV17)*100</f>
        <v>87.499999999999986</v>
      </c>
      <c r="D19" s="352">
        <f>('Attainment 25+ by race &amp; gender'!FT18/'Pop 25+ by race &amp; gender'!AZ17)*100</f>
        <v>78.496203425746074</v>
      </c>
      <c r="E19" s="351">
        <f>('Attainment 25+ by race &amp; gender'!GS18/'Pop 25+ by race &amp; gender'!CW17)*100</f>
        <v>85.2</v>
      </c>
      <c r="F19" s="352">
        <f>('Attainment 25+ by race &amp; gender'!FU18/'Pop 25+ by race &amp; gender'!BC17)*100</f>
        <v>50.888675168304964</v>
      </c>
      <c r="G19" s="351">
        <f>('Attainment 25+ by race &amp; gender'!GT18/'Pop 25+ by race &amp; gender'!CY17)*100</f>
        <v>57.9</v>
      </c>
      <c r="H19" s="352">
        <f>('Attainment 25+ by race &amp; gender'!XM18/'Pop 25+ by race &amp; gender'!AT17)*100</f>
        <v>21.54697536385072</v>
      </c>
      <c r="I19" s="351">
        <f>('Attainment 25+ by race &amp; gender'!YW18/'Pop 25+ by race &amp; gender'!CV17)*100</f>
        <v>24.5</v>
      </c>
      <c r="J19" s="352">
        <f>('Attainment 25+ by race &amp; gender'!XS18/'Pop 25+ by race &amp; gender'!AZ17)*100</f>
        <v>13.693801871799399</v>
      </c>
      <c r="K19" s="351">
        <f>('Attainment 25+ by race &amp; gender'!YX18/'Pop 25+ by race &amp; gender'!CW17)*100</f>
        <v>17.299999999999997</v>
      </c>
      <c r="L19" s="352">
        <f>('Attainment 25+ by race &amp; gender'!XV18/'Pop 25+ by race &amp; gender'!BC17)*100</f>
        <v>9.5699636536227715</v>
      </c>
      <c r="M19" s="437">
        <f>('Attainment 25+ by race &amp; gender'!YY18/'Pop 25+ by race &amp; gender'!CY17)*100</f>
        <v>9.8999999999999986</v>
      </c>
      <c r="N19" s="351">
        <f>('Attainment 25+ by race &amp; gender'!FS18/'Pop 25+ by race &amp; gender'!AT17)*100</f>
        <v>82.09458086023254</v>
      </c>
      <c r="O19" s="445">
        <f>('Attainment 25+ by race &amp; gender'!GW18/'Pop 25+ by race &amp; gender'!DA17)*100</f>
        <v>89.186182858976821</v>
      </c>
      <c r="P19" s="352">
        <f>('Attainment 25+ by race &amp; gender'!FT18/'Pop 25+ by race &amp; gender'!AZ17)*100</f>
        <v>78.496203425746074</v>
      </c>
      <c r="Q19" s="351">
        <f>('Attainment 25+ by race &amp; gender'!GX18/'Pop 25+ by race &amp; gender'!DB17)*100</f>
        <v>86.570318817849881</v>
      </c>
      <c r="R19" s="352">
        <f>('Attainment 25+ by race &amp; gender'!FU18/'Pop 25+ by race &amp; gender'!BC17)*100</f>
        <v>50.888675168304964</v>
      </c>
      <c r="S19" s="351">
        <f>('Attainment 25+ by race &amp; gender'!GY18/'Pop 25+ by race &amp; gender'!DD17)*100</f>
        <v>57.431158976869412</v>
      </c>
      <c r="T19" s="352">
        <f>('Attainment 25+ by race &amp; gender'!XM18/'Pop 25+ by race &amp; gender'!AT17)*100</f>
        <v>21.54697536385072</v>
      </c>
      <c r="U19" s="351">
        <f>('Attainment 25+ by race &amp; gender'!ZB18/'Pop 25+ by race &amp; gender'!DA17)*100</f>
        <v>25.728129550895268</v>
      </c>
      <c r="V19" s="352">
        <f>('Attainment 25+ by race &amp; gender'!XS18/'Pop 25+ by race &amp; gender'!AZ17)*100</f>
        <v>13.693801871799399</v>
      </c>
      <c r="W19" s="351">
        <f>('Attainment 25+ by race &amp; gender'!ZC18/'Pop 25+ by race &amp; gender'!DB17)*100</f>
        <v>17.688754380375915</v>
      </c>
      <c r="X19" s="352">
        <f>('Attainment 25+ by race &amp; gender'!XV18/'Pop 25+ by race &amp; gender'!BC17)*100</f>
        <v>9.5699636536227715</v>
      </c>
      <c r="Y19" s="437">
        <f>('Attainment 25+ by race &amp; gender'!ZD18/'Pop 25+ by race &amp; gender'!DD17)*100</f>
        <v>9.5324929629176349</v>
      </c>
      <c r="Z19" s="351">
        <f>('Attainment 25+ by race &amp; gender'!FS18/'Pop 25+ by race &amp; gender'!AT17)*100</f>
        <v>82.09458086023254</v>
      </c>
      <c r="AA19" s="445">
        <f>('Attainment 25+ by race &amp; gender'!HB18/'Pop 25+ by race &amp; gender'!DF17)*100</f>
        <v>89.438091966432737</v>
      </c>
      <c r="AB19" s="352">
        <f>('Attainment 25+ by race &amp; gender'!FT18/'Pop 25+ by race &amp; gender'!AZ17)*100</f>
        <v>78.496203425746074</v>
      </c>
      <c r="AC19" s="351">
        <f>('Attainment 25+ by race &amp; gender'!HC18/'Pop 25+ by race &amp; gender'!DG17)*100</f>
        <v>87.651771147136287</v>
      </c>
      <c r="AD19" s="352">
        <f>('Attainment 25+ by race &amp; gender'!FU18/'Pop 25+ by race &amp; gender'!BC17)*100</f>
        <v>50.888675168304964</v>
      </c>
      <c r="AE19" s="351">
        <f>('Attainment 25+ by race &amp; gender'!HD18/'Pop 25+ by race &amp; gender'!DI17)*100</f>
        <v>56.84209284074749</v>
      </c>
      <c r="AF19" s="352">
        <f>('Attainment 25+ by race &amp; gender'!XM18/'Pop 25+ by race &amp; gender'!AT17)*100</f>
        <v>21.54697536385072</v>
      </c>
      <c r="AG19" s="351">
        <f>('Attainment 25+ by race &amp; gender'!ZG18/'Pop 25+ by race &amp; gender'!DF17)*100</f>
        <v>26.116373034957714</v>
      </c>
      <c r="AH19" s="352">
        <f>('Attainment 25+ by race &amp; gender'!XS18/'Pop 25+ by race &amp; gender'!AZ17)*100</f>
        <v>13.693801871799399</v>
      </c>
      <c r="AI19" s="351">
        <f>('Attainment 25+ by race &amp; gender'!ZH18/'Pop 25+ by race &amp; gender'!DG17)*100</f>
        <v>17.814128847364209</v>
      </c>
      <c r="AJ19" s="352">
        <f>('Attainment 25+ by race &amp; gender'!XV18/'Pop 25+ by race &amp; gender'!BC17)*100</f>
        <v>9.5699636536227715</v>
      </c>
      <c r="AK19" s="453">
        <f>('Attainment 25+ by race &amp; gender'!ZI18/'Pop 25+ by race &amp; gender'!DI17)*100</f>
        <v>9.6516849291627569</v>
      </c>
      <c r="AL19" s="352">
        <f>('Attainment 25+ by race &amp; gender'!FS18/'Pop 25+ by race &amp; gender'!AT17)*100</f>
        <v>82.09458086023254</v>
      </c>
      <c r="AM19" s="453">
        <f>('Attainment 25+ by race &amp; gender'!HL18/'Pop 25+ by race &amp; gender'!DP17)*100</f>
        <v>90.25256860871302</v>
      </c>
      <c r="AN19" s="517">
        <v>78.496203425746074</v>
      </c>
      <c r="AO19" s="453">
        <f>('Attainment 25+ by race &amp; gender'!HM18/'Pop 25+ by race &amp; gender'!DQ17)*100</f>
        <v>88.087781421758933</v>
      </c>
      <c r="AP19" s="453">
        <f>('Attainment 25+ by race &amp; gender'!FU18/'Pop 25+ by race &amp; gender'!BC17)*100</f>
        <v>50.888675168304964</v>
      </c>
      <c r="AQ19" s="453">
        <f>('Attainment 25+ by race &amp; gender'!HN18/'Pop 25+ by race &amp; gender'!DS17)*100</f>
        <v>58.662049743622482</v>
      </c>
      <c r="AR19" s="453">
        <f>('Attainment 25+ by race &amp; gender'!XM18/'Pop 25+ by race &amp; gender'!AT17)*100</f>
        <v>21.54697536385072</v>
      </c>
      <c r="AS19" s="453">
        <f>('Attainment 25+ by race &amp; gender'!ZQ18/'Pop 25+ by race &amp; gender'!DP17)*100</f>
        <v>26.950333932630372</v>
      </c>
      <c r="AT19" s="453">
        <f>('Attainment 25+ by race &amp; gender'!XS18/'Pop 25+ by race &amp; gender'!AZ17)*100</f>
        <v>13.693801871799399</v>
      </c>
      <c r="AU19" s="453">
        <f>('Attainment 25+ by race &amp; gender'!ZR18/'Pop 25+ by race &amp; gender'!DQ17)*100</f>
        <v>18.268471100450729</v>
      </c>
      <c r="AV19" s="453">
        <f>('Attainment 25+ by race &amp; gender'!XV18/'Pop 25+ by race &amp; gender'!BC17)*100</f>
        <v>9.5699636536227715</v>
      </c>
      <c r="AW19" s="453">
        <f>('Attainment 25+ by race &amp; gender'!ZS18/'Pop 25+ by race &amp; gender'!DS17)*100</f>
        <v>11.596029871704857</v>
      </c>
      <c r="AX19" s="352">
        <f>('Attainment 25+ by race &amp; gender'!GR18/'Pop 25+ by race &amp; gender'!CV17)*100</f>
        <v>87.499999999999986</v>
      </c>
      <c r="AY19" s="453">
        <f>('Attainment 25+ by race &amp; gender'!HQ18/'Pop 25+ by race &amp; gender'!DU17)*100</f>
        <v>90.864605684348248</v>
      </c>
      <c r="AZ19" s="517">
        <f>('Attainment 25+ by race &amp; gender'!GS18/'Pop 25+ by race &amp; gender'!CW17)*100</f>
        <v>85.2</v>
      </c>
      <c r="BA19" s="453">
        <f>('Attainment 25+ by race &amp; gender'!HR18/'Pop 25+ by race &amp; gender'!DV17)*100</f>
        <v>88.255873501775142</v>
      </c>
      <c r="BB19" s="453">
        <f>('Attainment 25+ by race &amp; gender'!GT18/'Pop 25+ by race &amp; gender'!CY17)*100</f>
        <v>57.9</v>
      </c>
      <c r="BC19" s="453">
        <f>('Attainment 25+ by race &amp; gender'!HS18/'Pop 25+ by race &amp; gender'!DX17)*100</f>
        <v>61.155710867648914</v>
      </c>
      <c r="BD19" s="453">
        <f>('Attainment 25+ by race &amp; gender'!YW18/'Pop 25+ by race &amp; gender'!CV17)*100</f>
        <v>24.5</v>
      </c>
      <c r="BE19" s="453">
        <f>('Attainment 25+ by race &amp; gender'!ZV18/'Pop 25+ by race &amp; gender'!DU17)*100</f>
        <v>27.529055758518851</v>
      </c>
      <c r="BF19" s="453">
        <f>('Attainment 25+ by race &amp; gender'!YX18/'Pop 25+ by race &amp; gender'!CW17)*100</f>
        <v>17.299999999999997</v>
      </c>
      <c r="BG19" s="453">
        <f>('Attainment 25+ by race &amp; gender'!ZW18/'Pop 25+ by race &amp; gender'!DV17)*100</f>
        <v>19.242874980579899</v>
      </c>
      <c r="BH19" s="453">
        <f>('Attainment 25+ by race &amp; gender'!YY18/'Pop 25+ by race &amp; gender'!CY17)*100</f>
        <v>9.8999999999999986</v>
      </c>
      <c r="BI19" s="453">
        <f>('Attainment 25+ by race &amp; gender'!ZX18/'Pop 25+ by race &amp; gender'!DX17)*100</f>
        <v>11.516706544096042</v>
      </c>
      <c r="BJ19" s="352">
        <f>('Attainment 25+ by race &amp; gender'!GW18/'Pop 25+ by race &amp; gender'!DA17)*100</f>
        <v>89.186182858976821</v>
      </c>
      <c r="BK19" s="453">
        <f>('Attainment 25+ by race &amp; gender'!IA18/'Pop 25+ by race &amp; gender'!EE17)*100</f>
        <v>90.754695583613255</v>
      </c>
      <c r="BL19" s="517">
        <f>('Attainment 25+ by race &amp; gender'!GX18/'Pop 25+ by race &amp; gender'!DB17)*100</f>
        <v>86.570318817849881</v>
      </c>
      <c r="BM19" s="453">
        <f>('Attainment 25+ by race &amp; gender'!IB18/'Pop 25+ by race &amp; gender'!EF17)*100</f>
        <v>89.563804524434445</v>
      </c>
      <c r="BN19" s="453">
        <f>('Attainment 25+ by race &amp; gender'!GY18/'Pop 25+ by race &amp; gender'!DD17)*100</f>
        <v>57.431158976869412</v>
      </c>
      <c r="BO19" s="453">
        <f>('Attainment 25+ by race &amp; gender'!IC18/'Pop 25+ by race &amp; gender'!EH17)*100</f>
        <v>63.808734916938988</v>
      </c>
      <c r="BP19" s="453">
        <f>('Attainment 25+ by race &amp; gender'!ZB18/'Pop 25+ by race &amp; gender'!DA17)*100</f>
        <v>25.728129550895268</v>
      </c>
      <c r="BQ19" s="453">
        <f>('Attainment 25+ by race &amp; gender'!AAF18/'Pop 25+ by race &amp; gender'!EE17)*100</f>
        <v>28.111235918649484</v>
      </c>
      <c r="BR19" s="453">
        <f>('Attainment 25+ by race &amp; gender'!ZC18/'Pop 25+ by race &amp; gender'!DB17)*100</f>
        <v>17.688754380375915</v>
      </c>
      <c r="BS19" s="453">
        <f>('Attainment 25+ by race &amp; gender'!AAG18/'Pop 25+ by race &amp; gender'!EF17)*100</f>
        <v>19.756053220620153</v>
      </c>
      <c r="BT19" s="453">
        <f>('Attainment 25+ by race &amp; gender'!ZD18/'Pop 25+ by race &amp; gender'!DD17)*100</f>
        <v>9.5324929629176349</v>
      </c>
      <c r="BU19" s="453">
        <f>('Attainment 25+ by race &amp; gender'!AAH18/'Pop 25+ by race &amp; gender'!EH17)*100</f>
        <v>11.745215594963305</v>
      </c>
      <c r="BV19" s="352">
        <f>('Attainment 25+ by race &amp; gender'!HN18/'Pop 25+ by race &amp; gender'!DR17)*100</f>
        <v>26.967937871066816</v>
      </c>
      <c r="BW19" s="453">
        <f>('Attainment 25+ by race &amp; gender'!JB18/'Pop 25+ by race &amp; gender'!EQ17)*100</f>
        <v>0.78036549982352965</v>
      </c>
      <c r="BX19" s="517">
        <f>('Attainment 25+ by race &amp; gender'!HO18/'Pop 25+ by race &amp; gender'!DS17)*100</f>
        <v>177.73877151549965</v>
      </c>
      <c r="BY19" s="453">
        <f>('Attainment 25+ by race &amp; gender'!JC18/'Pop 25+ by race &amp; gender'!ER17)*100</f>
        <v>6.6697540869726302</v>
      </c>
      <c r="BZ19" s="453">
        <f>('Attainment 25+ by race &amp; gender'!HP18/'Pop 25+ by race &amp; gender'!DU17)*100</f>
        <v>121.61339216726211</v>
      </c>
      <c r="CA19" s="453">
        <f>('Attainment 25+ by race &amp; gender'!JD18/'Pop 25+ by race &amp; gender'!ET17)*100</f>
        <v>28.973043472988074</v>
      </c>
      <c r="CB19" s="453">
        <f>('Attainment 25+ by race &amp; gender'!ZS18/'Pop 25+ by race &amp; gender'!DR17)*100</f>
        <v>5.3308913428339482</v>
      </c>
      <c r="CC19" s="453">
        <f>('Attainment 25+ by race &amp; gender'!ABB18/'Pop 25+ by race &amp; gender'!EQ17)*100</f>
        <v>15.462008461408002</v>
      </c>
      <c r="CD19" s="453">
        <f>('Attainment 25+ by race &amp; gender'!ZT18/'Pop 25+ by race &amp; gender'!DS17)*100</f>
        <v>43.993744813940125</v>
      </c>
      <c r="CE19" s="453">
        <f>('Attainment 25+ by race &amp; gender'!ABC18/'Pop 25+ by race &amp; gender'!ER17)*100</f>
        <v>4.1189274301857086</v>
      </c>
      <c r="CF19" s="453">
        <f>('Attainment 25+ by race &amp; gender'!ZU18/'Pop 25+ by race &amp; gender'!DU17)*100</f>
        <v>34.926946675245865</v>
      </c>
      <c r="CG19" s="453">
        <f>('Attainment 25+ by race &amp; gender'!ABD18/'Pop 25+ by race &amp; gender'!ET17)*100</f>
        <v>8.2515604422985014</v>
      </c>
      <c r="CH19" s="352">
        <f>('Attainment 25+ by race &amp; gender'!HG18/'Pop 25+ by race &amp; gender'!DK17)*100</f>
        <v>90.256751781344079</v>
      </c>
      <c r="CI19" s="452">
        <f>('Attainment 25+ by race &amp; gender'!IK18/'Pop 25+ by race &amp; gender'!EO17)*100</f>
        <v>91.583197834906187</v>
      </c>
      <c r="CJ19" s="517">
        <f>('Attainment 25+ by race &amp; gender'!HH18/'Pop 25+ by race &amp; gender'!DL17)*100</f>
        <v>88.26595444277109</v>
      </c>
      <c r="CK19" s="453">
        <f>('Attainment 25+ by race &amp; gender'!IL18/'Pop 25+ by race &amp; gender'!EP17)*100</f>
        <v>89.452556964264986</v>
      </c>
      <c r="CL19" s="453">
        <f>('Attainment 25+ by race &amp; gender'!HI18/'Pop 25+ by race &amp; gender'!DN17)*100</f>
        <v>59.226192132786373</v>
      </c>
      <c r="CM19" s="453">
        <f>('Attainment 25+ by race &amp; gender'!IM18/'Pop 25+ by race &amp; gender'!ER17)*100</f>
        <v>63.178344833973973</v>
      </c>
      <c r="CN19" s="453">
        <f>('Attainment 25+ by race &amp; gender'!ZL18/'Pop 25+ by race &amp; gender'!DK17)*100</f>
        <v>26.303900547939275</v>
      </c>
      <c r="CO19" s="453">
        <f>('Attainment 25+ by race &amp; gender'!AAP18/'Pop 25+ by race &amp; gender'!EO17)*100</f>
        <v>28.987516138267814</v>
      </c>
      <c r="CP19" s="453">
        <f>('Attainment 25+ by race &amp; gender'!ZM18/'Pop 25+ by race &amp; gender'!DL17)*100</f>
        <v>18.022872740963855</v>
      </c>
      <c r="CQ19" s="453">
        <f>('Attainment 25+ by race &amp; gender'!AAQ18/'Pop 25+ by race &amp; gender'!EP17)*100</f>
        <v>19.757932975411784</v>
      </c>
      <c r="CR19" s="453">
        <f>('Attainment 25+ by race &amp; gender'!ZN18/'Pop 25+ by race &amp; gender'!DN17)*100</f>
        <v>10.179954023500336</v>
      </c>
      <c r="CS19" s="453">
        <f>('Attainment 25+ by race &amp; gender'!AAR18/'Pop 25+ by race &amp; gender'!ER17)*100</f>
        <v>12.032140045385079</v>
      </c>
      <c r="CT19" s="350">
        <f>IFERROR(('Attainment 25+ by race &amp; gender'!HQ18/'Pop 25+ by race &amp; gender'!DU17)*100,"-")</f>
        <v>90.864605684348248</v>
      </c>
      <c r="CU19" s="452">
        <f>IFERROR(('Attainment 25+ by race &amp; gender'!IP18/'Pop 25+ by race &amp; gender'!ET17)*100,"-")</f>
        <v>91.496740201172059</v>
      </c>
      <c r="CV19" s="350">
        <f>IFERROR(('Attainment 25+ by race &amp; gender'!HR18/'Pop 25+ by race &amp; gender'!DV17)*100,"-")</f>
        <v>88.255873501775142</v>
      </c>
      <c r="CW19" s="452">
        <f>IFERROR(('Attainment 25+ by race &amp; gender'!IQ18/'Pop 25+ by race &amp; gender'!EU17)*100, "-")</f>
        <v>89.731256293845945</v>
      </c>
      <c r="CX19" s="452">
        <f>IFERROR(('Attainment 25+ by race &amp; gender'!HS18/'Pop 25+ by race &amp; gender'!DX17)*100, "-")</f>
        <v>61.155710867648914</v>
      </c>
      <c r="CY19" s="452">
        <f>IFERROR(('Attainment 25+ by race &amp; gender'!IR18/'Pop 25+ by race &amp; gender'!EW17)*100, "-")</f>
        <v>66.321778490304652</v>
      </c>
      <c r="CZ19" s="452">
        <f>IFERROR(('Attainment 25+ by race &amp; gender'!HU18/'Pop 25+ by race &amp; gender'!DY17)*100, "-")</f>
        <v>84.941850202984952</v>
      </c>
      <c r="DA19" s="452">
        <f>IFERROR(('Attainment 25+ by race &amp; gender'!IT18/'Pop 25+ by race &amp; gender'!EX17)*100, "-")</f>
        <v>82.266056946192705</v>
      </c>
      <c r="DB19" s="452">
        <f>IFERROR(('Attainment 25+ by race &amp; gender'!HV18/'Pop 25+ by race &amp; gender'!DZ17)*100, "-")</f>
        <v>84.975433152314451</v>
      </c>
      <c r="DC19" s="452">
        <f>IFERROR(('Attainment 25+ by race &amp; gender'!IU18/'Pop 25+ by race &amp; gender'!EY17)*100, "-")</f>
        <v>0</v>
      </c>
      <c r="DD19" s="452">
        <f>IFERROR(('Attainment 25+ by race &amp; gender'!HW18/'Pop 25+ by race &amp; gender'!EA17)*100, "-")</f>
        <v>85.089810562236323</v>
      </c>
      <c r="DE19" s="452">
        <f>IFERROR(('Attainment 25+ by race &amp; gender'!IV18/'Pop 25+ by race &amp; gender'!EZ17)*100, "-")</f>
        <v>86.659875442780077</v>
      </c>
      <c r="DF19" s="452">
        <f>IFERROR(('Attainment 25+ by race &amp; gender'!HX18/'Pop 25+ by race &amp; gender'!EB17)*100, "-")</f>
        <v>86.714936019212161</v>
      </c>
      <c r="DG19" s="452">
        <f>IFERROR(('Attainment 25+ by race &amp; gender'!IW18/'Pop 25+ by race &amp; gender'!FA17)*100, "-")</f>
        <v>83.561026550698102</v>
      </c>
      <c r="DH19" s="452">
        <f>IFERROR(('Attainment 25+ by race &amp; gender'!HY18/'Pop 25+ by race &amp; gender'!EC17)*100, "-")</f>
        <v>55.301503094606538</v>
      </c>
      <c r="DI19" s="452">
        <f>IFERROR(('Attainment 25+ by race &amp; gender'!IX18/'Pop 25+ by race &amp; gender'!FB17)*100, "-")</f>
        <v>63.260154228730755</v>
      </c>
      <c r="DJ19" s="452">
        <f>IFERROR(('Attainment 25+ by race &amp; gender'!ZV18/'Pop 25+ by race &amp; gender'!DU17)*100, "-")</f>
        <v>27.529055758518851</v>
      </c>
      <c r="DK19" s="452">
        <f>IFERROR(('Attainment 25+ by race &amp; gender'!AAU18/'Pop 25+ by race &amp; gender'!ET17)*100, "-")</f>
        <v>30.390299376705077</v>
      </c>
      <c r="DL19" s="452">
        <f>IFERROR(('Attainment 25+ by race &amp; gender'!ZW18/'Pop 25+ by race &amp; gender'!DV17)*100, "-")</f>
        <v>19.242874980579899</v>
      </c>
      <c r="DM19" s="452">
        <f>IFERROR(('Attainment 25+ by race &amp; gender'!AAV18/'Pop 25+ by race &amp; gender'!EU17)*100, "-")</f>
        <v>23.053900637401338</v>
      </c>
      <c r="DN19" s="452">
        <f>IFERROR(('Attainment 25+ by race &amp; gender'!ZX18/'Pop 25+ by race &amp; gender'!DX17)*100, "-")</f>
        <v>11.516706544096042</v>
      </c>
      <c r="DO19" s="452">
        <f>IFERROR(('Attainment 25+ by race &amp; gender'!AAW18/'Pop 25+ by race &amp; gender'!EW17)*100, "-")</f>
        <v>14.426490897130384</v>
      </c>
      <c r="DP19" s="452">
        <f>IFERROR(('Attainment 25+ by race &amp; gender'!ZZ18/'Pop 25+ by race &amp; gender'!DY17)*100, "-")</f>
        <v>43.711388730902748</v>
      </c>
      <c r="DQ19" s="452">
        <f>IFERROR(('Attainment 25+ by race &amp; gender'!AAY18/'Pop 25+ by race &amp; gender'!EX17)*100, "-")</f>
        <v>43.617851850671599</v>
      </c>
      <c r="DR19" s="452">
        <f>IFERROR(('Attainment 25+ by race &amp; gender'!AAA18/'Pop 25+ by race &amp; gender'!DZ17)*100, "-")</f>
        <v>5.4047064908197573</v>
      </c>
      <c r="DS19" s="452">
        <f>IFERROR(('Attainment 25+ by race &amp; gender'!AAZ18/'Pop 25+ by race &amp; gender'!EY17)*100, "-")</f>
        <v>0</v>
      </c>
      <c r="DT19" s="452">
        <f>IFERROR(('Attainment 25+ by race &amp; gender'!AAB18/'Pop 25+ by race &amp; gender'!EA17)*100, "-")</f>
        <v>17.416938377216049</v>
      </c>
      <c r="DU19" s="452">
        <f>IFERROR(('Attainment 25+ by race &amp; gender'!ABA18/'Pop 25+ by race &amp; gender'!EZ17)*100, "-")</f>
        <v>18.915680781608131</v>
      </c>
      <c r="DV19" s="452">
        <f>IFERROR(('Attainment 25+ by race &amp; gender'!AAC18/'Pop 25+ by race &amp; gender'!EB17)*100, "-")</f>
        <v>22.557797770529408</v>
      </c>
      <c r="DW19" s="452">
        <f>IFERROR(('Attainment 25+ by race &amp; gender'!ABB18/'Pop 25+ by race &amp; gender'!FA17)*100, "-")</f>
        <v>24.128089951934083</v>
      </c>
      <c r="DX19" s="452">
        <f>IFERROR(('Attainment 25+ by race &amp; gender'!AAD18/'Pop 25+ by race &amp; gender'!EC17)*100, "-")</f>
        <v>6.9725906277630409</v>
      </c>
      <c r="DY19" s="452">
        <f>IFERROR(('Attainment 25+ by race &amp; gender'!ABC18/'Pop 25+ by race &amp; gender'!FB17)*100, "-")</f>
        <v>11.170279570972847</v>
      </c>
    </row>
    <row r="20" spans="1:129">
      <c r="A20" s="38" t="s">
        <v>19</v>
      </c>
      <c r="B20" s="351">
        <f>('Attainment 25+ by race &amp; gender'!FS19/'Pop 25+ by race &amp; gender'!AT18)*100</f>
        <v>80.855003876032029</v>
      </c>
      <c r="C20" s="445">
        <f>('Attainment 25+ by race &amp; gender'!GR19/'Pop 25+ by race &amp; gender'!CV18)*100</f>
        <v>87</v>
      </c>
      <c r="D20" s="352">
        <f>('Attainment 25+ by race &amp; gender'!FT19/'Pop 25+ by race &amp; gender'!AZ18)*100</f>
        <v>64.916946252087712</v>
      </c>
      <c r="E20" s="351">
        <f>('Attainment 25+ by race &amp; gender'!GS19/'Pop 25+ by race &amp; gender'!CW18)*100</f>
        <v>77.199999999999989</v>
      </c>
      <c r="F20" s="352">
        <f>('Attainment 25+ by race &amp; gender'!FU19/'Pop 25+ by race &amp; gender'!BC18)*100</f>
        <v>56.421927567781516</v>
      </c>
      <c r="G20" s="351">
        <f>('Attainment 25+ by race &amp; gender'!GT19/'Pop 25+ by race &amp; gender'!CY18)*100</f>
        <v>58.599999999999994</v>
      </c>
      <c r="H20" s="352">
        <f>('Attainment 25+ by race &amp; gender'!XM19/'Pop 25+ by race &amp; gender'!AT18)*100</f>
        <v>24.232247502263277</v>
      </c>
      <c r="I20" s="351">
        <f>('Attainment 25+ by race &amp; gender'!YW19/'Pop 25+ by race &amp; gender'!CV18)*100</f>
        <v>28.199999999999996</v>
      </c>
      <c r="J20" s="352">
        <f>('Attainment 25+ by race &amp; gender'!XS19/'Pop 25+ by race &amp; gender'!AZ18)*100</f>
        <v>9.8653293530936388</v>
      </c>
      <c r="K20" s="351">
        <f>('Attainment 25+ by race &amp; gender'!YX19/'Pop 25+ by race &amp; gender'!CW18)*100</f>
        <v>13.499999999999998</v>
      </c>
      <c r="L20" s="352">
        <f>('Attainment 25+ by race &amp; gender'!XV19/'Pop 25+ by race &amp; gender'!BC18)*100</f>
        <v>14.097235965433075</v>
      </c>
      <c r="M20" s="437">
        <f>('Attainment 25+ by race &amp; gender'!YY19/'Pop 25+ by race &amp; gender'!CY18)*100</f>
        <v>12.400000000000002</v>
      </c>
      <c r="N20" s="351">
        <f>('Attainment 25+ by race &amp; gender'!FS19/'Pop 25+ by race &amp; gender'!AT18)*100</f>
        <v>80.855003876032029</v>
      </c>
      <c r="O20" s="445">
        <f>('Attainment 25+ by race &amp; gender'!GW19/'Pop 25+ by race &amp; gender'!DA18)*100</f>
        <v>88.172228775505289</v>
      </c>
      <c r="P20" s="352">
        <f>('Attainment 25+ by race &amp; gender'!FT19/'Pop 25+ by race &amp; gender'!AZ18)*100</f>
        <v>64.916946252087712</v>
      </c>
      <c r="Q20" s="351">
        <f>('Attainment 25+ by race &amp; gender'!GX19/'Pop 25+ by race &amp; gender'!DB18)*100</f>
        <v>77.891217812381782</v>
      </c>
      <c r="R20" s="352">
        <f>('Attainment 25+ by race &amp; gender'!FU19/'Pop 25+ by race &amp; gender'!BC18)*100</f>
        <v>56.421927567781516</v>
      </c>
      <c r="S20" s="351">
        <f>('Attainment 25+ by race &amp; gender'!GY19/'Pop 25+ by race &amp; gender'!DD18)*100</f>
        <v>61.153004329557618</v>
      </c>
      <c r="T20" s="352">
        <f>('Attainment 25+ by race &amp; gender'!XM19/'Pop 25+ by race &amp; gender'!AT18)*100</f>
        <v>24.232247502263277</v>
      </c>
      <c r="U20" s="351">
        <f>('Attainment 25+ by race &amp; gender'!ZB19/'Pop 25+ by race &amp; gender'!DA18)*100</f>
        <v>28.934908198180722</v>
      </c>
      <c r="V20" s="352">
        <f>('Attainment 25+ by race &amp; gender'!XS19/'Pop 25+ by race &amp; gender'!AZ18)*100</f>
        <v>9.8653293530936388</v>
      </c>
      <c r="W20" s="351">
        <f>('Attainment 25+ by race &amp; gender'!ZC19/'Pop 25+ by race &amp; gender'!DB18)*100</f>
        <v>13.785406693170801</v>
      </c>
      <c r="X20" s="352">
        <f>('Attainment 25+ by race &amp; gender'!XV19/'Pop 25+ by race &amp; gender'!BC18)*100</f>
        <v>14.097235965433075</v>
      </c>
      <c r="Y20" s="437">
        <f>('Attainment 25+ by race &amp; gender'!ZD19/'Pop 25+ by race &amp; gender'!DD18)*100</f>
        <v>14.214049494352404</v>
      </c>
      <c r="Z20" s="351">
        <f>('Attainment 25+ by race &amp; gender'!FS19/'Pop 25+ by race &amp; gender'!AT18)*100</f>
        <v>80.855003876032029</v>
      </c>
      <c r="AA20" s="445">
        <f>('Attainment 25+ by race &amp; gender'!HB19/'Pop 25+ by race &amp; gender'!DF18)*100</f>
        <v>88.457358699569369</v>
      </c>
      <c r="AB20" s="352">
        <f>('Attainment 25+ by race &amp; gender'!FT19/'Pop 25+ by race &amp; gender'!AZ18)*100</f>
        <v>64.916946252087712</v>
      </c>
      <c r="AC20" s="351">
        <f>('Attainment 25+ by race &amp; gender'!HC19/'Pop 25+ by race &amp; gender'!DG18)*100</f>
        <v>79.157948525864199</v>
      </c>
      <c r="AD20" s="352">
        <f>('Attainment 25+ by race &amp; gender'!FU19/'Pop 25+ by race &amp; gender'!BC18)*100</f>
        <v>56.421927567781516</v>
      </c>
      <c r="AE20" s="351">
        <f>('Attainment 25+ by race &amp; gender'!HD19/'Pop 25+ by race &amp; gender'!DI18)*100</f>
        <v>62.790011720781493</v>
      </c>
      <c r="AF20" s="352">
        <f>('Attainment 25+ by race &amp; gender'!XM19/'Pop 25+ by race &amp; gender'!AT18)*100</f>
        <v>24.232247502263277</v>
      </c>
      <c r="AG20" s="351">
        <f>('Attainment 25+ by race &amp; gender'!ZG19/'Pop 25+ by race &amp; gender'!DF18)*100</f>
        <v>29.414424851663277</v>
      </c>
      <c r="AH20" s="352">
        <f>('Attainment 25+ by race &amp; gender'!XS19/'Pop 25+ by race &amp; gender'!AZ18)*100</f>
        <v>9.8653293530936388</v>
      </c>
      <c r="AI20" s="351">
        <f>('Attainment 25+ by race &amp; gender'!ZH19/'Pop 25+ by race &amp; gender'!DG18)*100</f>
        <v>14.335414111171332</v>
      </c>
      <c r="AJ20" s="352">
        <f>('Attainment 25+ by race &amp; gender'!XV19/'Pop 25+ by race &amp; gender'!BC18)*100</f>
        <v>14.097235965433075</v>
      </c>
      <c r="AK20" s="453">
        <f>('Attainment 25+ by race &amp; gender'!ZI19/'Pop 25+ by race &amp; gender'!DI18)*100</f>
        <v>14.356793007894062</v>
      </c>
      <c r="AL20" s="352">
        <f>('Attainment 25+ by race &amp; gender'!FS19/'Pop 25+ by race &amp; gender'!AT18)*100</f>
        <v>80.855003876032029</v>
      </c>
      <c r="AM20" s="453">
        <f>('Attainment 25+ by race &amp; gender'!HL19/'Pop 25+ by race &amp; gender'!DP18)*100</f>
        <v>89.839578616354999</v>
      </c>
      <c r="AN20" s="517">
        <v>64.916946252087712</v>
      </c>
      <c r="AO20" s="453">
        <f>('Attainment 25+ by race &amp; gender'!HM19/'Pop 25+ by race &amp; gender'!DQ18)*100</f>
        <v>80.983852293906139</v>
      </c>
      <c r="AP20" s="453">
        <f>('Attainment 25+ by race &amp; gender'!FU19/'Pop 25+ by race &amp; gender'!BC18)*100</f>
        <v>56.421927567781516</v>
      </c>
      <c r="AQ20" s="453">
        <f>('Attainment 25+ by race &amp; gender'!HN19/'Pop 25+ by race &amp; gender'!DS18)*100</f>
        <v>62.972846510403727</v>
      </c>
      <c r="AR20" s="453">
        <f>('Attainment 25+ by race &amp; gender'!XM19/'Pop 25+ by race &amp; gender'!AT18)*100</f>
        <v>24.232247502263277</v>
      </c>
      <c r="AS20" s="453">
        <f>('Attainment 25+ by race &amp; gender'!ZQ19/'Pop 25+ by race &amp; gender'!DP18)*100</f>
        <v>31.69039745190851</v>
      </c>
      <c r="AT20" s="453">
        <f>('Attainment 25+ by race &amp; gender'!XS19/'Pop 25+ by race &amp; gender'!AZ18)*100</f>
        <v>9.8653293530936388</v>
      </c>
      <c r="AU20" s="453">
        <f>('Attainment 25+ by race &amp; gender'!ZR19/'Pop 25+ by race &amp; gender'!DQ18)*100</f>
        <v>14.793317833543554</v>
      </c>
      <c r="AV20" s="453">
        <f>('Attainment 25+ by race &amp; gender'!XV19/'Pop 25+ by race &amp; gender'!BC18)*100</f>
        <v>14.097235965433075</v>
      </c>
      <c r="AW20" s="453">
        <f>('Attainment 25+ by race &amp; gender'!ZS19/'Pop 25+ by race &amp; gender'!DS18)*100</f>
        <v>15.15667724341634</v>
      </c>
      <c r="AX20" s="352">
        <f>('Attainment 25+ by race &amp; gender'!GR19/'Pop 25+ by race &amp; gender'!CV18)*100</f>
        <v>87</v>
      </c>
      <c r="AY20" s="453">
        <f>('Attainment 25+ by race &amp; gender'!HQ19/'Pop 25+ by race &amp; gender'!DU18)*100</f>
        <v>90.174933357993751</v>
      </c>
      <c r="AZ20" s="517">
        <f>('Attainment 25+ by race &amp; gender'!GS19/'Pop 25+ by race &amp; gender'!CW18)*100</f>
        <v>77.199999999999989</v>
      </c>
      <c r="BA20" s="453">
        <f>('Attainment 25+ by race &amp; gender'!HR19/'Pop 25+ by race &amp; gender'!DV18)*100</f>
        <v>81.301460391119321</v>
      </c>
      <c r="BB20" s="453">
        <f>('Attainment 25+ by race &amp; gender'!GT19/'Pop 25+ by race &amp; gender'!CY18)*100</f>
        <v>58.599999999999994</v>
      </c>
      <c r="BC20" s="453">
        <f>('Attainment 25+ by race &amp; gender'!HS19/'Pop 25+ by race &amp; gender'!DX18)*100</f>
        <v>60.938735107496633</v>
      </c>
      <c r="BD20" s="453">
        <f>('Attainment 25+ by race &amp; gender'!YW19/'Pop 25+ by race &amp; gender'!CV18)*100</f>
        <v>28.199999999999996</v>
      </c>
      <c r="BE20" s="453">
        <f>('Attainment 25+ by race &amp; gender'!ZV19/'Pop 25+ by race &amp; gender'!DU18)*100</f>
        <v>32.0344012775723</v>
      </c>
      <c r="BF20" s="453">
        <f>('Attainment 25+ by race &amp; gender'!YX19/'Pop 25+ by race &amp; gender'!CW18)*100</f>
        <v>13.499999999999998</v>
      </c>
      <c r="BG20" s="453">
        <f>('Attainment 25+ by race &amp; gender'!ZW19/'Pop 25+ by race &amp; gender'!DV18)*100</f>
        <v>15.691852010290045</v>
      </c>
      <c r="BH20" s="453">
        <f>('Attainment 25+ by race &amp; gender'!YY19/'Pop 25+ by race &amp; gender'!CY18)*100</f>
        <v>12.400000000000002</v>
      </c>
      <c r="BI20" s="453">
        <f>('Attainment 25+ by race &amp; gender'!ZX19/'Pop 25+ by race &amp; gender'!DX18)*100</f>
        <v>14.229150495289232</v>
      </c>
      <c r="BJ20" s="352">
        <f>('Attainment 25+ by race &amp; gender'!GW19/'Pop 25+ by race &amp; gender'!DA18)*100</f>
        <v>88.172228775505289</v>
      </c>
      <c r="BK20" s="453">
        <f>('Attainment 25+ by race &amp; gender'!IA19/'Pop 25+ by race &amp; gender'!EE18)*100</f>
        <v>90.730893653608462</v>
      </c>
      <c r="BL20" s="517">
        <f>('Attainment 25+ by race &amp; gender'!GX19/'Pop 25+ by race &amp; gender'!DB18)*100</f>
        <v>77.891217812381782</v>
      </c>
      <c r="BM20" s="453">
        <f>('Attainment 25+ by race &amp; gender'!IB19/'Pop 25+ by race &amp; gender'!EF18)*100</f>
        <v>81.775184898282888</v>
      </c>
      <c r="BN20" s="453">
        <f>('Attainment 25+ by race &amp; gender'!GY19/'Pop 25+ by race &amp; gender'!DD18)*100</f>
        <v>61.153004329557618</v>
      </c>
      <c r="BO20" s="453">
        <f>('Attainment 25+ by race &amp; gender'!IC19/'Pop 25+ by race &amp; gender'!EH18)*100</f>
        <v>67.839278879782512</v>
      </c>
      <c r="BP20" s="453">
        <f>('Attainment 25+ by race &amp; gender'!ZB19/'Pop 25+ by race &amp; gender'!DA18)*100</f>
        <v>28.934908198180722</v>
      </c>
      <c r="BQ20" s="453">
        <f>('Attainment 25+ by race &amp; gender'!AAF19/'Pop 25+ by race &amp; gender'!EE18)*100</f>
        <v>33.260293406416253</v>
      </c>
      <c r="BR20" s="453">
        <f>('Attainment 25+ by race &amp; gender'!ZC19/'Pop 25+ by race &amp; gender'!DB18)*100</f>
        <v>13.785406693170801</v>
      </c>
      <c r="BS20" s="453">
        <f>('Attainment 25+ by race &amp; gender'!AAG19/'Pop 25+ by race &amp; gender'!EF18)*100</f>
        <v>14.833706818642911</v>
      </c>
      <c r="BT20" s="453">
        <f>('Attainment 25+ by race &amp; gender'!ZD19/'Pop 25+ by race &amp; gender'!DD18)*100</f>
        <v>14.214049494352404</v>
      </c>
      <c r="BU20" s="453">
        <f>('Attainment 25+ by race &amp; gender'!AAH19/'Pop 25+ by race &amp; gender'!EH18)*100</f>
        <v>15.587757849309103</v>
      </c>
      <c r="BV20" s="352">
        <f>('Attainment 25+ by race &amp; gender'!HN19/'Pop 25+ by race &amp; gender'!DR18)*100</f>
        <v>65.536263201144351</v>
      </c>
      <c r="BW20" s="453">
        <f>('Attainment 25+ by race &amp; gender'!JB19/'Pop 25+ by race &amp; gender'!EQ18)*100</f>
        <v>1.0865426689624995</v>
      </c>
      <c r="BX20" s="517">
        <f>('Attainment 25+ by race &amp; gender'!HO19/'Pop 25+ by race &amp; gender'!DS18)*100</f>
        <v>72.485341209843696</v>
      </c>
      <c r="BY20" s="453">
        <f>('Attainment 25+ by race &amp; gender'!JC19/'Pop 25+ by race &amp; gender'!ER18)*100</f>
        <v>0.9916924290421486</v>
      </c>
      <c r="BZ20" s="453">
        <f>('Attainment 25+ by race &amp; gender'!HP19/'Pop 25+ by race &amp; gender'!DU18)*100</f>
        <v>128.01991561078364</v>
      </c>
      <c r="CA20" s="453">
        <f>('Attainment 25+ by race &amp; gender'!JD19/'Pop 25+ by race &amp; gender'!ET18)*100</f>
        <v>20.094626662035083</v>
      </c>
      <c r="CB20" s="453">
        <f>('Attainment 25+ by race &amp; gender'!ZS19/'Pop 25+ by race &amp; gender'!DR18)*100</f>
        <v>15.773655537632772</v>
      </c>
      <c r="CC20" s="453">
        <f>('Attainment 25+ by race &amp; gender'!ABB19/'Pop 25+ by race &amp; gender'!EQ18)*100</f>
        <v>26.907842769547251</v>
      </c>
      <c r="CD20" s="453">
        <f>('Attainment 25+ by race &amp; gender'!ZT19/'Pop 25+ by race &amp; gender'!DS18)*100</f>
        <v>27.613358873503046</v>
      </c>
      <c r="CE20" s="453">
        <f>('Attainment 25+ by race &amp; gender'!ABC19/'Pop 25+ by race &amp; gender'!ER18)*100</f>
        <v>9.1141559482462497</v>
      </c>
      <c r="CF20" s="453">
        <f>('Attainment 25+ by race &amp; gender'!ZU19/'Pop 25+ by race &amp; gender'!DU18)*100</f>
        <v>40.240648417669476</v>
      </c>
      <c r="CG20" s="453">
        <f>('Attainment 25+ by race &amp; gender'!ABD19/'Pop 25+ by race &amp; gender'!ET18)*100</f>
        <v>7.4717396490317611</v>
      </c>
      <c r="CH20" s="352">
        <f>('Attainment 25+ by race &amp; gender'!HG19/'Pop 25+ by race &amp; gender'!DK18)*100</f>
        <v>89.980370707138817</v>
      </c>
      <c r="CI20" s="452">
        <f>('Attainment 25+ by race &amp; gender'!IK19/'Pop 25+ by race &amp; gender'!EO18)*100</f>
        <v>91.512357011485818</v>
      </c>
      <c r="CJ20" s="517">
        <f>('Attainment 25+ by race &amp; gender'!HH19/'Pop 25+ by race &amp; gender'!DL18)*100</f>
        <v>80.098543221911939</v>
      </c>
      <c r="CK20" s="453">
        <f>('Attainment 25+ by race &amp; gender'!IL19/'Pop 25+ by race &amp; gender'!EP18)*100</f>
        <v>83.899621536211853</v>
      </c>
      <c r="CL20" s="453">
        <f>('Attainment 25+ by race &amp; gender'!HI19/'Pop 25+ by race &amp; gender'!DN18)*100</f>
        <v>60.27933987576727</v>
      </c>
      <c r="CM20" s="453">
        <f>('Attainment 25+ by race &amp; gender'!IM19/'Pop 25+ by race &amp; gender'!ER18)*100</f>
        <v>65.794562548503237</v>
      </c>
      <c r="CN20" s="453">
        <f>('Attainment 25+ by race &amp; gender'!ZL19/'Pop 25+ by race &amp; gender'!DK18)*100</f>
        <v>30.950466020322676</v>
      </c>
      <c r="CO20" s="453">
        <f>('Attainment 25+ by race &amp; gender'!AAP19/'Pop 25+ by race &amp; gender'!EO18)*100</f>
        <v>34.426226772189715</v>
      </c>
      <c r="CP20" s="453">
        <f>('Attainment 25+ by race &amp; gender'!ZM19/'Pop 25+ by race &amp; gender'!DL18)*100</f>
        <v>14.714971414301733</v>
      </c>
      <c r="CQ20" s="453">
        <f>('Attainment 25+ by race &amp; gender'!AAQ19/'Pop 25+ by race &amp; gender'!EP18)*100</f>
        <v>17.508783782282205</v>
      </c>
      <c r="CR20" s="453">
        <f>('Attainment 25+ by race &amp; gender'!ZN19/'Pop 25+ by race &amp; gender'!DN18)*100</f>
        <v>14.127981769397582</v>
      </c>
      <c r="CS20" s="453">
        <f>('Attainment 25+ by race &amp; gender'!AAR19/'Pop 25+ by race &amp; gender'!ER18)*100</f>
        <v>18.018396244418152</v>
      </c>
      <c r="CT20" s="350">
        <f>IFERROR(('Attainment 25+ by race &amp; gender'!HQ19/'Pop 25+ by race &amp; gender'!DU18)*100,"-")</f>
        <v>90.174933357993751</v>
      </c>
      <c r="CU20" s="452">
        <f>IFERROR(('Attainment 25+ by race &amp; gender'!IP19/'Pop 25+ by race &amp; gender'!ET18)*100,"-")</f>
        <v>92.441292547470283</v>
      </c>
      <c r="CV20" s="350">
        <f>IFERROR(('Attainment 25+ by race &amp; gender'!HR19/'Pop 25+ by race &amp; gender'!DV18)*100,"-")</f>
        <v>81.301460391119321</v>
      </c>
      <c r="CW20" s="452">
        <f>IFERROR(('Attainment 25+ by race &amp; gender'!IQ19/'Pop 25+ by race &amp; gender'!EU18)*100, "-")</f>
        <v>86.119539526183516</v>
      </c>
      <c r="CX20" s="452">
        <f>IFERROR(('Attainment 25+ by race &amp; gender'!HS19/'Pop 25+ by race &amp; gender'!DX18)*100, "-")</f>
        <v>60.938735107496633</v>
      </c>
      <c r="CY20" s="452">
        <f>IFERROR(('Attainment 25+ by race &amp; gender'!IR19/'Pop 25+ by race &amp; gender'!EW18)*100, "-")</f>
        <v>68.572216192002202</v>
      </c>
      <c r="CZ20" s="452">
        <f>IFERROR(('Attainment 25+ by race &amp; gender'!HU19/'Pop 25+ by race &amp; gender'!DY18)*100, "-")</f>
        <v>87.212064090480681</v>
      </c>
      <c r="DA20" s="452">
        <f>IFERROR(('Attainment 25+ by race &amp; gender'!IT19/'Pop 25+ by race &amp; gender'!EX18)*100, "-")</f>
        <v>87.977868879778683</v>
      </c>
      <c r="DB20" s="452" t="str">
        <f>IFERROR(('Attainment 25+ by race &amp; gender'!HV19/'Pop 25+ by race &amp; gender'!DZ18)*100, "-")</f>
        <v>-</v>
      </c>
      <c r="DC20" s="452" t="str">
        <f>IFERROR(('Attainment 25+ by race &amp; gender'!IU19/'Pop 25+ by race &amp; gender'!EY18)*100, "-")</f>
        <v>-</v>
      </c>
      <c r="DD20" s="452">
        <f>IFERROR(('Attainment 25+ by race &amp; gender'!HW19/'Pop 25+ by race &amp; gender'!EA18)*100, "-")</f>
        <v>81.214076837753353</v>
      </c>
      <c r="DE20" s="452">
        <f>IFERROR(('Attainment 25+ by race &amp; gender'!IV19/'Pop 25+ by race &amp; gender'!EZ18)*100, "-")</f>
        <v>64.348468675589132</v>
      </c>
      <c r="DF20" s="452">
        <f>IFERROR(('Attainment 25+ by race &amp; gender'!HX19/'Pop 25+ by race &amp; gender'!EB18)*100, "-")</f>
        <v>83.485101567972407</v>
      </c>
      <c r="DG20" s="452">
        <f>IFERROR(('Attainment 25+ by race &amp; gender'!IW19/'Pop 25+ by race &amp; gender'!FA18)*100, "-")</f>
        <v>81.007834491333711</v>
      </c>
      <c r="DH20" s="452">
        <f>IFERROR(('Attainment 25+ by race &amp; gender'!HY19/'Pop 25+ by race &amp; gender'!EC18)*100, "-")</f>
        <v>60.692412815710881</v>
      </c>
      <c r="DI20" s="452">
        <f>IFERROR(('Attainment 25+ by race &amp; gender'!IX19/'Pop 25+ by race &amp; gender'!FB18)*100, "-")</f>
        <v>67.319960702871427</v>
      </c>
      <c r="DJ20" s="452">
        <f>IFERROR(('Attainment 25+ by race &amp; gender'!ZV19/'Pop 25+ by race &amp; gender'!DU18)*100, "-")</f>
        <v>32.0344012775723</v>
      </c>
      <c r="DK20" s="452">
        <f>IFERROR(('Attainment 25+ by race &amp; gender'!AAU19/'Pop 25+ by race &amp; gender'!ET18)*100, "-")</f>
        <v>35.771891570651924</v>
      </c>
      <c r="DL20" s="452">
        <f>IFERROR(('Attainment 25+ by race &amp; gender'!ZW19/'Pop 25+ by race &amp; gender'!DV18)*100, "-")</f>
        <v>15.691852010290045</v>
      </c>
      <c r="DM20" s="452">
        <f>IFERROR(('Attainment 25+ by race &amp; gender'!AAV19/'Pop 25+ by race &amp; gender'!EU18)*100, "-")</f>
        <v>20.801471198187642</v>
      </c>
      <c r="DN20" s="452">
        <f>IFERROR(('Attainment 25+ by race &amp; gender'!ZX19/'Pop 25+ by race &amp; gender'!DX18)*100, "-")</f>
        <v>14.229150495289232</v>
      </c>
      <c r="DO20" s="452">
        <f>IFERROR(('Attainment 25+ by race &amp; gender'!AAW19/'Pop 25+ by race &amp; gender'!EW18)*100, "-")</f>
        <v>20.800813218242279</v>
      </c>
      <c r="DP20" s="452">
        <f>IFERROR(('Attainment 25+ by race &amp; gender'!ZZ19/'Pop 25+ by race &amp; gender'!DY18)*100, "-")</f>
        <v>44.390197926484447</v>
      </c>
      <c r="DQ20" s="452">
        <f>IFERROR(('Attainment 25+ by race &amp; gender'!AAY19/'Pop 25+ by race &amp; gender'!EX18)*100, "-")</f>
        <v>51.896477018964774</v>
      </c>
      <c r="DR20" s="452" t="str">
        <f>IFERROR(('Attainment 25+ by race &amp; gender'!AAA19/'Pop 25+ by race &amp; gender'!DZ18)*100, "-")</f>
        <v>-</v>
      </c>
      <c r="DS20" s="452" t="str">
        <f>IFERROR(('Attainment 25+ by race &amp; gender'!AAZ19/'Pop 25+ by race &amp; gender'!EY18)*100, "-")</f>
        <v>-</v>
      </c>
      <c r="DT20" s="452">
        <f>IFERROR(('Attainment 25+ by race &amp; gender'!AAB19/'Pop 25+ by race &amp; gender'!EA18)*100, "-")</f>
        <v>14.460018150650397</v>
      </c>
      <c r="DU20" s="452">
        <f>IFERROR(('Attainment 25+ by race &amp; gender'!ABA19/'Pop 25+ by race &amp; gender'!EZ18)*100, "-")</f>
        <v>12.349125543969128</v>
      </c>
      <c r="DV20" s="452">
        <f>IFERROR(('Attainment 25+ by race &amp; gender'!AAC19/'Pop 25+ by race &amp; gender'!EB18)*100, "-")</f>
        <v>21.453203297591465</v>
      </c>
      <c r="DW20" s="452">
        <f>IFERROR(('Attainment 25+ by race &amp; gender'!ABB19/'Pop 25+ by race &amp; gender'!FA18)*100, "-")</f>
        <v>27.256661620202742</v>
      </c>
      <c r="DX20" s="452">
        <f>IFERROR(('Attainment 25+ by race &amp; gender'!AAD19/'Pop 25+ by race &amp; gender'!EC18)*100, "-")</f>
        <v>14.336690793136611</v>
      </c>
      <c r="DY20" s="452">
        <f>IFERROR(('Attainment 25+ by race &amp; gender'!ABC19/'Pop 25+ by race &amp; gender'!FB18)*100, "-")</f>
        <v>17.818014500143011</v>
      </c>
    </row>
    <row r="21" spans="1:129">
      <c r="A21" s="38" t="s">
        <v>20</v>
      </c>
      <c r="B21" s="351">
        <f>('Attainment 25+ by race &amp; gender'!FS20/'Pop 25+ by race &amp; gender'!AT19)*100</f>
        <v>76.991927685637691</v>
      </c>
      <c r="C21" s="445">
        <f>('Attainment 25+ by race &amp; gender'!GR20/'Pop 25+ by race &amp; gender'!CV19)*100</f>
        <v>84.6</v>
      </c>
      <c r="D21" s="352">
        <f>('Attainment 25+ by race &amp; gender'!FT20/'Pop 25+ by race &amp; gender'!AZ19)*100</f>
        <v>70.829922381905291</v>
      </c>
      <c r="E21" s="351">
        <f>('Attainment 25+ by race &amp; gender'!GS20/'Pop 25+ by race &amp; gender'!CW19)*100</f>
        <v>80.899999999999991</v>
      </c>
      <c r="F21" s="352">
        <f>('Attainment 25+ by race &amp; gender'!FU20/'Pop 25+ by race &amp; gender'!BC19)*100</f>
        <v>55.393488247325898</v>
      </c>
      <c r="G21" s="351">
        <f>('Attainment 25+ by race &amp; gender'!GT20/'Pop 25+ by race &amp; gender'!CY19)*100</f>
        <v>60.4</v>
      </c>
      <c r="H21" s="352">
        <f>('Attainment 25+ by race &amp; gender'!XM20/'Pop 25+ by race &amp; gender'!AT19)*100</f>
        <v>20.482031476209343</v>
      </c>
      <c r="I21" s="351">
        <f>('Attainment 25+ by race &amp; gender'!YW20/'Pop 25+ by race &amp; gender'!CV19)*100</f>
        <v>24.2</v>
      </c>
      <c r="J21" s="352">
        <f>('Attainment 25+ by race &amp; gender'!XS20/'Pop 25+ by race &amp; gender'!AZ19)*100</f>
        <v>12.936222788187496</v>
      </c>
      <c r="K21" s="351">
        <f>('Attainment 25+ by race &amp; gender'!YX20/'Pop 25+ by race &amp; gender'!CW19)*100</f>
        <v>16.7</v>
      </c>
      <c r="L21" s="352">
        <f>('Attainment 25+ by race &amp; gender'!XV20/'Pop 25+ by race &amp; gender'!BC19)*100</f>
        <v>14.071354323844012</v>
      </c>
      <c r="M21" s="437">
        <f>('Attainment 25+ by race &amp; gender'!YY20/'Pop 25+ by race &amp; gender'!CY19)*100</f>
        <v>12.5</v>
      </c>
      <c r="N21" s="351">
        <f>('Attainment 25+ by race &amp; gender'!FS20/'Pop 25+ by race &amp; gender'!AT19)*100</f>
        <v>76.991927685637691</v>
      </c>
      <c r="O21" s="445">
        <f>('Attainment 25+ by race &amp; gender'!GW20/'Pop 25+ by race &amp; gender'!DA19)*100</f>
        <v>85.829026431230886</v>
      </c>
      <c r="P21" s="352">
        <f>('Attainment 25+ by race &amp; gender'!FT20/'Pop 25+ by race &amp; gender'!AZ19)*100</f>
        <v>70.829922381905291</v>
      </c>
      <c r="Q21" s="351">
        <f>('Attainment 25+ by race &amp; gender'!GX20/'Pop 25+ by race &amp; gender'!DB19)*100</f>
        <v>81.998415441337016</v>
      </c>
      <c r="R21" s="352">
        <f>('Attainment 25+ by race &amp; gender'!FU20/'Pop 25+ by race &amp; gender'!BC19)*100</f>
        <v>55.393488247325898</v>
      </c>
      <c r="S21" s="351">
        <f>('Attainment 25+ by race &amp; gender'!GY20/'Pop 25+ by race &amp; gender'!DD19)*100</f>
        <v>61.231254510946563</v>
      </c>
      <c r="T21" s="352">
        <f>('Attainment 25+ by race &amp; gender'!XM20/'Pop 25+ by race &amp; gender'!AT19)*100</f>
        <v>20.482031476209343</v>
      </c>
      <c r="U21" s="351">
        <f>('Attainment 25+ by race &amp; gender'!ZB20/'Pop 25+ by race &amp; gender'!DA19)*100</f>
        <v>24.95995871272164</v>
      </c>
      <c r="V21" s="352">
        <f>('Attainment 25+ by race &amp; gender'!XS20/'Pop 25+ by race &amp; gender'!AZ19)*100</f>
        <v>12.936222788187496</v>
      </c>
      <c r="W21" s="351">
        <f>('Attainment 25+ by race &amp; gender'!ZC20/'Pop 25+ by race &amp; gender'!DB19)*100</f>
        <v>17.054436452335352</v>
      </c>
      <c r="X21" s="352">
        <f>('Attainment 25+ by race &amp; gender'!XV20/'Pop 25+ by race &amp; gender'!BC19)*100</f>
        <v>14.071354323844012</v>
      </c>
      <c r="Y21" s="437">
        <f>('Attainment 25+ by race &amp; gender'!ZD20/'Pop 25+ by race &amp; gender'!DD19)*100</f>
        <v>12.822449143254296</v>
      </c>
      <c r="Z21" s="351">
        <f>('Attainment 25+ by race &amp; gender'!FS20/'Pop 25+ by race &amp; gender'!AT19)*100</f>
        <v>76.991927685637691</v>
      </c>
      <c r="AA21" s="445">
        <f>('Attainment 25+ by race &amp; gender'!HB20/'Pop 25+ by race &amp; gender'!DF19)*100</f>
        <v>86.614564120849451</v>
      </c>
      <c r="AB21" s="352">
        <f>('Attainment 25+ by race &amp; gender'!FT20/'Pop 25+ by race &amp; gender'!AZ19)*100</f>
        <v>70.829922381905291</v>
      </c>
      <c r="AC21" s="351">
        <f>('Attainment 25+ by race &amp; gender'!HC20/'Pop 25+ by race &amp; gender'!DG19)*100</f>
        <v>82.42507837375797</v>
      </c>
      <c r="AD21" s="352">
        <f>('Attainment 25+ by race &amp; gender'!FU20/'Pop 25+ by race &amp; gender'!BC19)*100</f>
        <v>55.393488247325898</v>
      </c>
      <c r="AE21" s="351">
        <f>('Attainment 25+ by race &amp; gender'!HD20/'Pop 25+ by race &amp; gender'!DI19)*100</f>
        <v>59.972642892037129</v>
      </c>
      <c r="AF21" s="352">
        <f>('Attainment 25+ by race &amp; gender'!XM20/'Pop 25+ by race &amp; gender'!AT19)*100</f>
        <v>20.482031476209343</v>
      </c>
      <c r="AG21" s="351">
        <f>('Attainment 25+ by race &amp; gender'!ZG20/'Pop 25+ by race &amp; gender'!DF19)*100</f>
        <v>25.524627264372967</v>
      </c>
      <c r="AH21" s="352">
        <f>('Attainment 25+ by race &amp; gender'!XS20/'Pop 25+ by race &amp; gender'!AZ19)*100</f>
        <v>12.936222788187496</v>
      </c>
      <c r="AI21" s="351">
        <f>('Attainment 25+ by race &amp; gender'!ZH20/'Pop 25+ by race &amp; gender'!DG19)*100</f>
        <v>17.689506287564491</v>
      </c>
      <c r="AJ21" s="352">
        <f>('Attainment 25+ by race &amp; gender'!XV20/'Pop 25+ by race &amp; gender'!BC19)*100</f>
        <v>14.071354323844012</v>
      </c>
      <c r="AK21" s="453">
        <f>('Attainment 25+ by race &amp; gender'!ZI20/'Pop 25+ by race &amp; gender'!DI19)*100</f>
        <v>12.947728382999513</v>
      </c>
      <c r="AL21" s="352">
        <f>('Attainment 25+ by race &amp; gender'!FS20/'Pop 25+ by race &amp; gender'!AT19)*100</f>
        <v>76.991927685637691</v>
      </c>
      <c r="AM21" s="453">
        <f>('Attainment 25+ by race &amp; gender'!HL20/'Pop 25+ by race &amp; gender'!DP19)*100</f>
        <v>87.720162440173596</v>
      </c>
      <c r="AN21" s="517">
        <v>70.829922381905291</v>
      </c>
      <c r="AO21" s="453">
        <f>('Attainment 25+ by race &amp; gender'!HM20/'Pop 25+ by race &amp; gender'!DQ19)*100</f>
        <v>84.040307547575225</v>
      </c>
      <c r="AP21" s="453">
        <f>('Attainment 25+ by race &amp; gender'!FU20/'Pop 25+ by race &amp; gender'!BC19)*100</f>
        <v>55.393488247325898</v>
      </c>
      <c r="AQ21" s="453">
        <f>('Attainment 25+ by race &amp; gender'!HN20/'Pop 25+ by race &amp; gender'!DS19)*100</f>
        <v>59.446421654077085</v>
      </c>
      <c r="AR21" s="453">
        <f>('Attainment 25+ by race &amp; gender'!XM20/'Pop 25+ by race &amp; gender'!AT19)*100</f>
        <v>20.482031476209343</v>
      </c>
      <c r="AS21" s="453">
        <f>('Attainment 25+ by race &amp; gender'!ZQ20/'Pop 25+ by race &amp; gender'!DP19)*100</f>
        <v>27.152666722355846</v>
      </c>
      <c r="AT21" s="453">
        <f>('Attainment 25+ by race &amp; gender'!XS20/'Pop 25+ by race &amp; gender'!AZ19)*100</f>
        <v>12.936222788187496</v>
      </c>
      <c r="AU21" s="453">
        <f>('Attainment 25+ by race &amp; gender'!ZR20/'Pop 25+ by race &amp; gender'!DQ19)*100</f>
        <v>18.379539027067207</v>
      </c>
      <c r="AV21" s="453">
        <f>('Attainment 25+ by race &amp; gender'!XV20/'Pop 25+ by race &amp; gender'!BC19)*100</f>
        <v>14.071354323844012</v>
      </c>
      <c r="AW21" s="453">
        <f>('Attainment 25+ by race &amp; gender'!ZS20/'Pop 25+ by race &amp; gender'!DS19)*100</f>
        <v>13.176689908967653</v>
      </c>
      <c r="AX21" s="352">
        <f>('Attainment 25+ by race &amp; gender'!GR20/'Pop 25+ by race &amp; gender'!CV19)*100</f>
        <v>84.6</v>
      </c>
      <c r="AY21" s="453">
        <f>('Attainment 25+ by race &amp; gender'!HQ20/'Pop 25+ by race &amp; gender'!DU19)*100</f>
        <v>88.484700497727147</v>
      </c>
      <c r="AZ21" s="517">
        <f>('Attainment 25+ by race &amp; gender'!GS20/'Pop 25+ by race &amp; gender'!CW19)*100</f>
        <v>80.899999999999991</v>
      </c>
      <c r="BA21" s="453">
        <f>('Attainment 25+ by race &amp; gender'!HR20/'Pop 25+ by race &amp; gender'!DV19)*100</f>
        <v>84.851686248053227</v>
      </c>
      <c r="BB21" s="453">
        <f>('Attainment 25+ by race &amp; gender'!GT20/'Pop 25+ by race &amp; gender'!CY19)*100</f>
        <v>60.4</v>
      </c>
      <c r="BC21" s="453">
        <f>('Attainment 25+ by race &amp; gender'!HS20/'Pop 25+ by race &amp; gender'!DX19)*100</f>
        <v>63.510961734875657</v>
      </c>
      <c r="BD21" s="453">
        <f>('Attainment 25+ by race &amp; gender'!YW20/'Pop 25+ by race &amp; gender'!CV19)*100</f>
        <v>24.2</v>
      </c>
      <c r="BE21" s="453">
        <f>('Attainment 25+ by race &amp; gender'!ZV20/'Pop 25+ by race &amp; gender'!DU19)*100</f>
        <v>27.33166572496955</v>
      </c>
      <c r="BF21" s="453">
        <f>('Attainment 25+ by race &amp; gender'!YX20/'Pop 25+ by race &amp; gender'!CW19)*100</f>
        <v>16.7</v>
      </c>
      <c r="BG21" s="453">
        <f>('Attainment 25+ by race &amp; gender'!ZW20/'Pop 25+ by race &amp; gender'!DV19)*100</f>
        <v>19.437462769049688</v>
      </c>
      <c r="BH21" s="453">
        <f>('Attainment 25+ by race &amp; gender'!YY20/'Pop 25+ by race &amp; gender'!CY19)*100</f>
        <v>12.5</v>
      </c>
      <c r="BI21" s="453">
        <f>('Attainment 25+ by race &amp; gender'!ZX20/'Pop 25+ by race &amp; gender'!DX19)*100</f>
        <v>14.880287879147764</v>
      </c>
      <c r="BJ21" s="352">
        <f>('Attainment 25+ by race &amp; gender'!GW20/'Pop 25+ by race &amp; gender'!DA19)*100</f>
        <v>85.829026431230886</v>
      </c>
      <c r="BK21" s="453">
        <f>('Attainment 25+ by race &amp; gender'!IA20/'Pop 25+ by race &amp; gender'!EE19)*100</f>
        <v>89.151135225070647</v>
      </c>
      <c r="BL21" s="517">
        <f>('Attainment 25+ by race &amp; gender'!GX20/'Pop 25+ by race &amp; gender'!DB19)*100</f>
        <v>81.998415441337016</v>
      </c>
      <c r="BM21" s="453">
        <f>('Attainment 25+ by race &amp; gender'!IB20/'Pop 25+ by race &amp; gender'!EF19)*100</f>
        <v>87.084677549951351</v>
      </c>
      <c r="BN21" s="453">
        <f>('Attainment 25+ by race &amp; gender'!GY20/'Pop 25+ by race &amp; gender'!DD19)*100</f>
        <v>61.231254510946563</v>
      </c>
      <c r="BO21" s="453">
        <f>('Attainment 25+ by race &amp; gender'!IC20/'Pop 25+ by race &amp; gender'!EH19)*100</f>
        <v>62.498722302354373</v>
      </c>
      <c r="BP21" s="453">
        <f>('Attainment 25+ by race &amp; gender'!ZB20/'Pop 25+ by race &amp; gender'!DA19)*100</f>
        <v>24.95995871272164</v>
      </c>
      <c r="BQ21" s="453">
        <f>('Attainment 25+ by race &amp; gender'!AAF20/'Pop 25+ by race &amp; gender'!EE19)*100</f>
        <v>28.627064125426315</v>
      </c>
      <c r="BR21" s="453">
        <f>('Attainment 25+ by race &amp; gender'!ZC20/'Pop 25+ by race &amp; gender'!DB19)*100</f>
        <v>17.054436452335352</v>
      </c>
      <c r="BS21" s="453">
        <f>('Attainment 25+ by race &amp; gender'!AAG20/'Pop 25+ by race &amp; gender'!EF19)*100</f>
        <v>20.085166185306861</v>
      </c>
      <c r="BT21" s="453">
        <f>('Attainment 25+ by race &amp; gender'!ZD20/'Pop 25+ by race &amp; gender'!DD19)*100</f>
        <v>12.822449143254296</v>
      </c>
      <c r="BU21" s="453">
        <f>('Attainment 25+ by race &amp; gender'!AAH20/'Pop 25+ by race &amp; gender'!EH19)*100</f>
        <v>15.24378471078604</v>
      </c>
      <c r="BV21" s="352">
        <f>('Attainment 25+ by race &amp; gender'!HN20/'Pop 25+ by race &amp; gender'!DR19)*100</f>
        <v>52.866862599446648</v>
      </c>
      <c r="BW21" s="453">
        <f>('Attainment 25+ by race &amp; gender'!JB20/'Pop 25+ by race &amp; gender'!EQ19)*100</f>
        <v>0.91219581613775447</v>
      </c>
      <c r="BX21" s="517">
        <f>('Attainment 25+ by race &amp; gender'!HO20/'Pop 25+ by race &amp; gender'!DS19)*100</f>
        <v>86.861441991090445</v>
      </c>
      <c r="BY21" s="453">
        <f>('Attainment 25+ by race &amp; gender'!JC20/'Pop 25+ by race &amp; gender'!ER19)*100</f>
        <v>0.95209869225354715</v>
      </c>
      <c r="BZ21" s="453">
        <f>('Attainment 25+ by race &amp; gender'!HP20/'Pop 25+ by race &amp; gender'!DU19)*100</f>
        <v>111.77949523141615</v>
      </c>
      <c r="CA21" s="453">
        <f>('Attainment 25+ by race &amp; gender'!JD20/'Pop 25+ by race &amp; gender'!ET19)*100</f>
        <v>18.149980732854161</v>
      </c>
      <c r="CB21" s="453">
        <f>('Attainment 25+ by race &amp; gender'!ZS20/'Pop 25+ by race &amp; gender'!DR19)*100</f>
        <v>11.718287418316486</v>
      </c>
      <c r="CC21" s="453">
        <f>('Attainment 25+ by race &amp; gender'!ABB20/'Pop 25+ by race &amp; gender'!EQ19)*100</f>
        <v>30.435937574118878</v>
      </c>
      <c r="CD21" s="453">
        <f>('Attainment 25+ by race &amp; gender'!ZT20/'Pop 25+ by race &amp; gender'!DS19)*100</f>
        <v>37.183444702692228</v>
      </c>
      <c r="CE21" s="453">
        <f>('Attainment 25+ by race &amp; gender'!ABC20/'Pop 25+ by race &amp; gender'!ER19)*100</f>
        <v>8.6080518229593928</v>
      </c>
      <c r="CF21" s="453">
        <f>('Attainment 25+ by race &amp; gender'!ZU20/'Pop 25+ by race &amp; gender'!DU19)*100</f>
        <v>33.584657624481473</v>
      </c>
      <c r="CG21" s="453">
        <f>('Attainment 25+ by race &amp; gender'!ABD20/'Pop 25+ by race &amp; gender'!ET19)*100</f>
        <v>6.9774788473086922</v>
      </c>
      <c r="CH21" s="352">
        <f>('Attainment 25+ by race &amp; gender'!HG20/'Pop 25+ by race &amp; gender'!DK19)*100</f>
        <v>87.245051863784724</v>
      </c>
      <c r="CI21" s="452">
        <f>('Attainment 25+ by race &amp; gender'!IK20/'Pop 25+ by race &amp; gender'!EO19)*100</f>
        <v>89.553047653974161</v>
      </c>
      <c r="CJ21" s="517">
        <f>('Attainment 25+ by race &amp; gender'!HH20/'Pop 25+ by race &amp; gender'!DL19)*100</f>
        <v>84.705679242610259</v>
      </c>
      <c r="CK21" s="453">
        <f>('Attainment 25+ by race &amp; gender'!IL20/'Pop 25+ by race &amp; gender'!EP19)*100</f>
        <v>87.188824547788187</v>
      </c>
      <c r="CL21" s="453">
        <f>('Attainment 25+ by race &amp; gender'!HI20/'Pop 25+ by race &amp; gender'!DN19)*100</f>
        <v>59.830106999918321</v>
      </c>
      <c r="CM21" s="453">
        <f>('Attainment 25+ by race &amp; gender'!IM20/'Pop 25+ by race &amp; gender'!ER19)*100</f>
        <v>63.076141433493341</v>
      </c>
      <c r="CN21" s="453">
        <f>('Attainment 25+ by race &amp; gender'!ZL20/'Pop 25+ by race &amp; gender'!DK19)*100</f>
        <v>26.718099036474563</v>
      </c>
      <c r="CO21" s="453">
        <f>('Attainment 25+ by race &amp; gender'!AAP20/'Pop 25+ by race &amp; gender'!EO19)*100</f>
        <v>30.127635430145101</v>
      </c>
      <c r="CP21" s="453">
        <f>('Attainment 25+ by race &amp; gender'!ZM20/'Pop 25+ by race &amp; gender'!DL19)*100</f>
        <v>18.198425252620645</v>
      </c>
      <c r="CQ21" s="453">
        <f>('Attainment 25+ by race &amp; gender'!AAQ20/'Pop 25+ by race &amp; gender'!EP19)*100</f>
        <v>21.714714453953903</v>
      </c>
      <c r="CR21" s="453">
        <f>('Attainment 25+ by race &amp; gender'!ZN20/'Pop 25+ by race &amp; gender'!DN19)*100</f>
        <v>14.031880069615918</v>
      </c>
      <c r="CS21" s="453">
        <f>('Attainment 25+ by race &amp; gender'!AAR20/'Pop 25+ by race &amp; gender'!ER19)*100</f>
        <v>18.517499245836223</v>
      </c>
      <c r="CT21" s="350">
        <f>IFERROR(('Attainment 25+ by race &amp; gender'!HQ20/'Pop 25+ by race &amp; gender'!DU19)*100,"-")</f>
        <v>88.484700497727147</v>
      </c>
      <c r="CU21" s="452">
        <f>IFERROR(('Attainment 25+ by race &amp; gender'!IP20/'Pop 25+ by race &amp; gender'!ET19)*100,"-")</f>
        <v>91.374000002195686</v>
      </c>
      <c r="CV21" s="350">
        <f>IFERROR(('Attainment 25+ by race &amp; gender'!HR20/'Pop 25+ by race &amp; gender'!DV19)*100,"-")</f>
        <v>84.851686248053227</v>
      </c>
      <c r="CW21" s="452">
        <f>IFERROR(('Attainment 25+ by race &amp; gender'!IQ20/'Pop 25+ by race &amp; gender'!EU19)*100, "-")</f>
        <v>88.226683277648789</v>
      </c>
      <c r="CX21" s="452">
        <f>IFERROR(('Attainment 25+ by race &amp; gender'!HS20/'Pop 25+ by race &amp; gender'!DX19)*100, "-")</f>
        <v>63.510961734875657</v>
      </c>
      <c r="CY21" s="452">
        <f>IFERROR(('Attainment 25+ by race &amp; gender'!IR20/'Pop 25+ by race &amp; gender'!EW19)*100, "-")</f>
        <v>67.214883738540692</v>
      </c>
      <c r="CZ21" s="452">
        <f>IFERROR(('Attainment 25+ by race &amp; gender'!HU20/'Pop 25+ by race &amp; gender'!DY19)*100, "-")</f>
        <v>86.27484331863559</v>
      </c>
      <c r="DA21" s="452">
        <f>IFERROR(('Attainment 25+ by race &amp; gender'!IT20/'Pop 25+ by race &amp; gender'!EX19)*100, "-")</f>
        <v>86.954569177924242</v>
      </c>
      <c r="DB21" s="452" t="str">
        <f>IFERROR(('Attainment 25+ by race &amp; gender'!HV20/'Pop 25+ by race &amp; gender'!DZ19)*100, "-")</f>
        <v>-</v>
      </c>
      <c r="DC21" s="452" t="str">
        <f>IFERROR(('Attainment 25+ by race &amp; gender'!IU20/'Pop 25+ by race &amp; gender'!EY19)*100, "-")</f>
        <v>-</v>
      </c>
      <c r="DD21" s="452">
        <f>IFERROR(('Attainment 25+ by race &amp; gender'!HW20/'Pop 25+ by race &amp; gender'!EA19)*100, "-")</f>
        <v>79.443781688040559</v>
      </c>
      <c r="DE21" s="452">
        <f>IFERROR(('Attainment 25+ by race &amp; gender'!IV20/'Pop 25+ by race &amp; gender'!EZ19)*100, "-")</f>
        <v>79.076896874733876</v>
      </c>
      <c r="DF21" s="452">
        <f>IFERROR(('Attainment 25+ by race &amp; gender'!HX20/'Pop 25+ by race &amp; gender'!EB19)*100, "-")</f>
        <v>87.090205287200291</v>
      </c>
      <c r="DG21" s="452">
        <f>IFERROR(('Attainment 25+ by race &amp; gender'!IW20/'Pop 25+ by race &amp; gender'!FA19)*100, "-")</f>
        <v>83.932042060499342</v>
      </c>
      <c r="DH21" s="452">
        <f>IFERROR(('Attainment 25+ by race &amp; gender'!HY20/'Pop 25+ by race &amp; gender'!EC19)*100, "-")</f>
        <v>56.299542786029278</v>
      </c>
      <c r="DI21" s="452">
        <f>IFERROR(('Attainment 25+ by race &amp; gender'!IX20/'Pop 25+ by race &amp; gender'!FB19)*100, "-")</f>
        <v>60.674656977059492</v>
      </c>
      <c r="DJ21" s="452">
        <f>IFERROR(('Attainment 25+ by race &amp; gender'!ZV20/'Pop 25+ by race &amp; gender'!DU19)*100, "-")</f>
        <v>27.33166572496955</v>
      </c>
      <c r="DK21" s="452">
        <f>IFERROR(('Attainment 25+ by race &amp; gender'!AAU20/'Pop 25+ by race &amp; gender'!ET19)*100, "-")</f>
        <v>32.22191360633763</v>
      </c>
      <c r="DL21" s="452">
        <f>IFERROR(('Attainment 25+ by race &amp; gender'!ZW20/'Pop 25+ by race &amp; gender'!DV19)*100, "-")</f>
        <v>19.437462769049688</v>
      </c>
      <c r="DM21" s="452">
        <f>IFERROR(('Attainment 25+ by race &amp; gender'!AAV20/'Pop 25+ by race &amp; gender'!EU19)*100, "-")</f>
        <v>22.173254431168242</v>
      </c>
      <c r="DN21" s="452">
        <f>IFERROR(('Attainment 25+ by race &amp; gender'!ZX20/'Pop 25+ by race &amp; gender'!DX19)*100, "-")</f>
        <v>14.880287879147764</v>
      </c>
      <c r="DO21" s="452">
        <f>IFERROR(('Attainment 25+ by race &amp; gender'!AAW20/'Pop 25+ by race &amp; gender'!EW19)*100, "-")</f>
        <v>20.125798069960386</v>
      </c>
      <c r="DP21" s="452">
        <f>IFERROR(('Attainment 25+ by race &amp; gender'!ZZ20/'Pop 25+ by race &amp; gender'!DY19)*100, "-")</f>
        <v>55.066794017977472</v>
      </c>
      <c r="DQ21" s="452">
        <f>IFERROR(('Attainment 25+ by race &amp; gender'!AAY20/'Pop 25+ by race &amp; gender'!EX19)*100, "-")</f>
        <v>55.151779970627146</v>
      </c>
      <c r="DR21" s="452" t="str">
        <f>IFERROR(('Attainment 25+ by race &amp; gender'!AAA20/'Pop 25+ by race &amp; gender'!DZ19)*100, "-")</f>
        <v>-</v>
      </c>
      <c r="DS21" s="452" t="str">
        <f>IFERROR(('Attainment 25+ by race &amp; gender'!AAZ20/'Pop 25+ by race &amp; gender'!EY19)*100, "-")</f>
        <v>-</v>
      </c>
      <c r="DT21" s="452">
        <f>IFERROR(('Attainment 25+ by race &amp; gender'!AAB20/'Pop 25+ by race &amp; gender'!EA19)*100, "-")</f>
        <v>14.636146734267818</v>
      </c>
      <c r="DU21" s="452">
        <f>IFERROR(('Attainment 25+ by race &amp; gender'!ABA20/'Pop 25+ by race &amp; gender'!EZ19)*100, "-")</f>
        <v>17.048454398364985</v>
      </c>
      <c r="DV21" s="452">
        <f>IFERROR(('Attainment 25+ by race &amp; gender'!AAC20/'Pop 25+ by race &amp; gender'!EB19)*100, "-")</f>
        <v>27.422994367902547</v>
      </c>
      <c r="DW21" s="452">
        <f>IFERROR(('Attainment 25+ by race &amp; gender'!ABB20/'Pop 25+ by race &amp; gender'!FA19)*100, "-")</f>
        <v>26.645791458329871</v>
      </c>
      <c r="DX21" s="452">
        <f>IFERROR(('Attainment 25+ by race &amp; gender'!AAD20/'Pop 25+ by race &amp; gender'!EC19)*100, "-")</f>
        <v>11.611611611611613</v>
      </c>
      <c r="DY21" s="452">
        <f>IFERROR(('Attainment 25+ by race &amp; gender'!ABC20/'Pop 25+ by race &amp; gender'!FB19)*100, "-")</f>
        <v>17.641954552849938</v>
      </c>
    </row>
    <row r="22" spans="1:129">
      <c r="A22" s="38" t="s">
        <v>21</v>
      </c>
      <c r="B22" s="351">
        <f>('Attainment 25+ by race &amp; gender'!FS21/'Pop 25+ by race &amp; gender'!AT20)*100</f>
        <v>79.532424412341001</v>
      </c>
      <c r="C22" s="445">
        <f>('Attainment 25+ by race &amp; gender'!GR21/'Pop 25+ by race &amp; gender'!CV20)*100</f>
        <v>81.899999999999991</v>
      </c>
      <c r="D22" s="352">
        <f>('Attainment 25+ by race &amp; gender'!FT21/'Pop 25+ by race &amp; gender'!AZ20)*100</f>
        <v>75.81100462707218</v>
      </c>
      <c r="E22" s="351">
        <f>('Attainment 25+ by race &amp; gender'!GS21/'Pop 25+ by race &amp; gender'!CW20)*100</f>
        <v>85.899999999999991</v>
      </c>
      <c r="F22" s="352">
        <f>('Attainment 25+ by race &amp; gender'!FU21/'Pop 25+ by race &amp; gender'!BC20)*100</f>
        <v>49.254111035170787</v>
      </c>
      <c r="G22" s="351">
        <f>('Attainment 25+ by race &amp; gender'!GT21/'Pop 25+ by race &amp; gender'!CY20)*100</f>
        <v>59.4</v>
      </c>
      <c r="H22" s="352">
        <f>('Attainment 25+ by race &amp; gender'!XM21/'Pop 25+ by race &amp; gender'!AT20)*100</f>
        <v>25.790769663711831</v>
      </c>
      <c r="I22" s="351">
        <f>('Attainment 25+ by race &amp; gender'!YW21/'Pop 25+ by race &amp; gender'!CV20)*100</f>
        <v>27.199999999999996</v>
      </c>
      <c r="J22" s="352">
        <f>('Attainment 25+ by race &amp; gender'!XS21/'Pop 25+ by race &amp; gender'!AZ20)*100</f>
        <v>15.347167972638662</v>
      </c>
      <c r="K22" s="351">
        <f>('Attainment 25+ by race &amp; gender'!YX21/'Pop 25+ by race &amp; gender'!CW20)*100</f>
        <v>19.599999999999998</v>
      </c>
      <c r="L22" s="352">
        <f>('Attainment 25+ by race &amp; gender'!XV21/'Pop 25+ by race &amp; gender'!BC20)*100</f>
        <v>8.9311777484176602</v>
      </c>
      <c r="M22" s="437">
        <f>('Attainment 25+ by race &amp; gender'!YY21/'Pop 25+ by race &amp; gender'!CY20)*100</f>
        <v>11.600000000000001</v>
      </c>
      <c r="N22" s="351">
        <f>('Attainment 25+ by race &amp; gender'!FS21/'Pop 25+ by race &amp; gender'!AT20)*100</f>
        <v>79.532424412341001</v>
      </c>
      <c r="O22" s="445">
        <f>('Attainment 25+ by race &amp; gender'!GW21/'Pop 25+ by race &amp; gender'!DA20)*100</f>
        <v>92.405965826044749</v>
      </c>
      <c r="P22" s="352">
        <f>('Attainment 25+ by race &amp; gender'!FT21/'Pop 25+ by race &amp; gender'!AZ20)*100</f>
        <v>75.81100462707218</v>
      </c>
      <c r="Q22" s="351">
        <f>('Attainment 25+ by race &amp; gender'!GX21/'Pop 25+ by race &amp; gender'!DB20)*100</f>
        <v>86.357226599776425</v>
      </c>
      <c r="R22" s="352">
        <f>('Attainment 25+ by race &amp; gender'!FU21/'Pop 25+ by race &amp; gender'!BC20)*100</f>
        <v>49.254111035170787</v>
      </c>
      <c r="S22" s="351">
        <f>('Attainment 25+ by race &amp; gender'!GY21/'Pop 25+ by race &amp; gender'!DD20)*100</f>
        <v>60.534414231415788</v>
      </c>
      <c r="T22" s="352">
        <f>('Attainment 25+ by race &amp; gender'!XM21/'Pop 25+ by race &amp; gender'!AT20)*100</f>
        <v>25.790769663711831</v>
      </c>
      <c r="U22" s="351">
        <f>('Attainment 25+ by race &amp; gender'!ZB21/'Pop 25+ by race &amp; gender'!DA20)*100</f>
        <v>34.758563525568306</v>
      </c>
      <c r="V22" s="352">
        <f>('Attainment 25+ by race &amp; gender'!XS21/'Pop 25+ by race &amp; gender'!AZ20)*100</f>
        <v>15.347167972638662</v>
      </c>
      <c r="W22" s="351">
        <f>('Attainment 25+ by race &amp; gender'!ZC21/'Pop 25+ by race &amp; gender'!DB20)*100</f>
        <v>20.281429778880497</v>
      </c>
      <c r="X22" s="352">
        <f>('Attainment 25+ by race &amp; gender'!XV21/'Pop 25+ by race &amp; gender'!BC20)*100</f>
        <v>8.9311777484176602</v>
      </c>
      <c r="Y22" s="437">
        <f>('Attainment 25+ by race &amp; gender'!ZD21/'Pop 25+ by race &amp; gender'!DD20)*100</f>
        <v>11.940948580851595</v>
      </c>
      <c r="Z22" s="351">
        <f>('Attainment 25+ by race &amp; gender'!FS21/'Pop 25+ by race &amp; gender'!AT20)*100</f>
        <v>79.532424412341001</v>
      </c>
      <c r="AA22" s="445">
        <f>('Attainment 25+ by race &amp; gender'!HB21/'Pop 25+ by race &amp; gender'!DF20)*100</f>
        <v>92.776175191971717</v>
      </c>
      <c r="AB22" s="352">
        <f>('Attainment 25+ by race &amp; gender'!FT21/'Pop 25+ by race &amp; gender'!AZ20)*100</f>
        <v>75.81100462707218</v>
      </c>
      <c r="AC22" s="351">
        <f>('Attainment 25+ by race &amp; gender'!HC21/'Pop 25+ by race &amp; gender'!DG20)*100</f>
        <v>86.78109513515237</v>
      </c>
      <c r="AD22" s="352">
        <f>('Attainment 25+ by race &amp; gender'!FU21/'Pop 25+ by race &amp; gender'!BC20)*100</f>
        <v>49.254111035170787</v>
      </c>
      <c r="AE22" s="351">
        <f>('Attainment 25+ by race &amp; gender'!HD21/'Pop 25+ by race &amp; gender'!DI20)*100</f>
        <v>61.244655697199413</v>
      </c>
      <c r="AF22" s="352">
        <f>('Attainment 25+ by race &amp; gender'!XM21/'Pop 25+ by race &amp; gender'!AT20)*100</f>
        <v>25.790769663711831</v>
      </c>
      <c r="AG22" s="351">
        <f>('Attainment 25+ by race &amp; gender'!ZG21/'Pop 25+ by race &amp; gender'!DF20)*100</f>
        <v>35.329503702387591</v>
      </c>
      <c r="AH22" s="352">
        <f>('Attainment 25+ by race &amp; gender'!XS21/'Pop 25+ by race &amp; gender'!AZ20)*100</f>
        <v>15.347167972638662</v>
      </c>
      <c r="AI22" s="351">
        <f>('Attainment 25+ by race &amp; gender'!ZH21/'Pop 25+ by race &amp; gender'!DG20)*100</f>
        <v>21.093435456713532</v>
      </c>
      <c r="AJ22" s="352">
        <f>('Attainment 25+ by race &amp; gender'!XV21/'Pop 25+ by race &amp; gender'!BC20)*100</f>
        <v>8.9311777484176602</v>
      </c>
      <c r="AK22" s="453">
        <f>('Attainment 25+ by race &amp; gender'!ZI21/'Pop 25+ by race &amp; gender'!DI20)*100</f>
        <v>12.237748926473964</v>
      </c>
      <c r="AL22" s="352">
        <f>('Attainment 25+ by race &amp; gender'!FS21/'Pop 25+ by race &amp; gender'!AT20)*100</f>
        <v>79.532424412341001</v>
      </c>
      <c r="AM22" s="453">
        <f>('Attainment 25+ by race &amp; gender'!HL21/'Pop 25+ by race &amp; gender'!DP20)*100</f>
        <v>93.342203206698727</v>
      </c>
      <c r="AN22" s="517">
        <v>75.81100462707218</v>
      </c>
      <c r="AO22" s="453">
        <f>('Attainment 25+ by race &amp; gender'!HM21/'Pop 25+ by race &amp; gender'!DQ20)*100</f>
        <v>88.237924102648108</v>
      </c>
      <c r="AP22" s="453">
        <f>('Attainment 25+ by race &amp; gender'!FU21/'Pop 25+ by race &amp; gender'!BC20)*100</f>
        <v>49.254111035170787</v>
      </c>
      <c r="AQ22" s="453">
        <f>('Attainment 25+ by race &amp; gender'!HN21/'Pop 25+ by race &amp; gender'!DS20)*100</f>
        <v>63.50100785641677</v>
      </c>
      <c r="AR22" s="453">
        <f>('Attainment 25+ by race &amp; gender'!XM21/'Pop 25+ by race &amp; gender'!AT20)*100</f>
        <v>25.790769663711831</v>
      </c>
      <c r="AS22" s="453">
        <f>('Attainment 25+ by race &amp; gender'!ZQ21/'Pop 25+ by race &amp; gender'!DP20)*100</f>
        <v>37.201626922130352</v>
      </c>
      <c r="AT22" s="453">
        <f>('Attainment 25+ by race &amp; gender'!XS21/'Pop 25+ by race &amp; gender'!AZ20)*100</f>
        <v>15.347167972638662</v>
      </c>
      <c r="AU22" s="453">
        <f>('Attainment 25+ by race &amp; gender'!ZR21/'Pop 25+ by race &amp; gender'!DQ20)*100</f>
        <v>22.37676419436891</v>
      </c>
      <c r="AV22" s="453">
        <f>('Attainment 25+ by race &amp; gender'!XV21/'Pop 25+ by race &amp; gender'!BC20)*100</f>
        <v>8.9311777484176602</v>
      </c>
      <c r="AW22" s="453">
        <f>('Attainment 25+ by race &amp; gender'!ZS21/'Pop 25+ by race &amp; gender'!DS20)*100</f>
        <v>13.212339549836605</v>
      </c>
      <c r="AX22" s="352">
        <f>('Attainment 25+ by race &amp; gender'!GR21/'Pop 25+ by race &amp; gender'!CV20)*100</f>
        <v>81.899999999999991</v>
      </c>
      <c r="AY22" s="453">
        <f>('Attainment 25+ by race &amp; gender'!HQ21/'Pop 25+ by race &amp; gender'!DU20)*100</f>
        <v>93.386665810873353</v>
      </c>
      <c r="AZ22" s="517">
        <f>('Attainment 25+ by race &amp; gender'!GS21/'Pop 25+ by race &amp; gender'!CW20)*100</f>
        <v>85.899999999999991</v>
      </c>
      <c r="BA22" s="453">
        <f>('Attainment 25+ by race &amp; gender'!HR21/'Pop 25+ by race &amp; gender'!DV20)*100</f>
        <v>89.083310847467644</v>
      </c>
      <c r="BB22" s="453">
        <f>('Attainment 25+ by race &amp; gender'!GT21/'Pop 25+ by race &amp; gender'!CY20)*100</f>
        <v>59.4</v>
      </c>
      <c r="BC22" s="453">
        <f>('Attainment 25+ by race &amp; gender'!HS21/'Pop 25+ by race &amp; gender'!DX20)*100</f>
        <v>64.899277191307434</v>
      </c>
      <c r="BD22" s="453">
        <f>('Attainment 25+ by race &amp; gender'!YW21/'Pop 25+ by race &amp; gender'!CV20)*100</f>
        <v>27.199999999999996</v>
      </c>
      <c r="BE22" s="453">
        <f>('Attainment 25+ by race &amp; gender'!ZV21/'Pop 25+ by race &amp; gender'!DU20)*100</f>
        <v>37.58646606590132</v>
      </c>
      <c r="BF22" s="453">
        <f>('Attainment 25+ by race &amp; gender'!YX21/'Pop 25+ by race &amp; gender'!CW20)*100</f>
        <v>19.599999999999998</v>
      </c>
      <c r="BG22" s="453">
        <f>('Attainment 25+ by race &amp; gender'!ZW21/'Pop 25+ by race &amp; gender'!DV20)*100</f>
        <v>23.127563031139189</v>
      </c>
      <c r="BH22" s="453">
        <f>('Attainment 25+ by race &amp; gender'!YY21/'Pop 25+ by race &amp; gender'!CY20)*100</f>
        <v>11.600000000000001</v>
      </c>
      <c r="BI22" s="453">
        <f>('Attainment 25+ by race &amp; gender'!ZX21/'Pop 25+ by race &amp; gender'!DX20)*100</f>
        <v>14.199258567522177</v>
      </c>
      <c r="BJ22" s="352">
        <f>('Attainment 25+ by race &amp; gender'!GW21/'Pop 25+ by race &amp; gender'!DA20)*100</f>
        <v>92.405965826044749</v>
      </c>
      <c r="BK22" s="453">
        <f>('Attainment 25+ by race &amp; gender'!IA21/'Pop 25+ by race &amp; gender'!EE20)*100</f>
        <v>94.014849997127058</v>
      </c>
      <c r="BL22" s="517">
        <f>('Attainment 25+ by race &amp; gender'!GX21/'Pop 25+ by race &amp; gender'!DB20)*100</f>
        <v>86.357226599776425</v>
      </c>
      <c r="BM22" s="453">
        <f>('Attainment 25+ by race &amp; gender'!IB21/'Pop 25+ by race &amp; gender'!EF20)*100</f>
        <v>89.460952848153653</v>
      </c>
      <c r="BN22" s="453">
        <f>('Attainment 25+ by race &amp; gender'!GY21/'Pop 25+ by race &amp; gender'!DD20)*100</f>
        <v>60.534414231415788</v>
      </c>
      <c r="BO22" s="453">
        <f>('Attainment 25+ by race &amp; gender'!IC21/'Pop 25+ by race &amp; gender'!EH20)*100</f>
        <v>66.199027763488473</v>
      </c>
      <c r="BP22" s="453">
        <f>('Attainment 25+ by race &amp; gender'!ZB21/'Pop 25+ by race &amp; gender'!DA20)*100</f>
        <v>34.758563525568306</v>
      </c>
      <c r="BQ22" s="453">
        <f>('Attainment 25+ by race &amp; gender'!AAF21/'Pop 25+ by race &amp; gender'!EE20)*100</f>
        <v>38.561403177526891</v>
      </c>
      <c r="BR22" s="453">
        <f>('Attainment 25+ by race &amp; gender'!ZC21/'Pop 25+ by race &amp; gender'!DB20)*100</f>
        <v>20.281429778880497</v>
      </c>
      <c r="BS22" s="453">
        <f>('Attainment 25+ by race &amp; gender'!AAG21/'Pop 25+ by race &amp; gender'!EF20)*100</f>
        <v>24.224085448550642</v>
      </c>
      <c r="BT22" s="453">
        <f>('Attainment 25+ by race &amp; gender'!ZD21/'Pop 25+ by race &amp; gender'!DD20)*100</f>
        <v>11.940948580851595</v>
      </c>
      <c r="BU22" s="453">
        <f>('Attainment 25+ by race &amp; gender'!AAH21/'Pop 25+ by race &amp; gender'!EH20)*100</f>
        <v>14.464036445948617</v>
      </c>
      <c r="BV22" s="352">
        <f>('Attainment 25+ by race &amp; gender'!HN21/'Pop 25+ by race &amp; gender'!DR20)*100</f>
        <v>177.51984305247163</v>
      </c>
      <c r="BW22" s="453">
        <f>('Attainment 25+ by race &amp; gender'!JB21/'Pop 25+ by race &amp; gender'!EQ20)*100</f>
        <v>4.9906274902262657</v>
      </c>
      <c r="BX22" s="517">
        <f>('Attainment 25+ by race &amp; gender'!HO21/'Pop 25+ by race &amp; gender'!DS20)*100</f>
        <v>26.838738552148879</v>
      </c>
      <c r="BY22" s="453">
        <f>('Attainment 25+ by race &amp; gender'!JC21/'Pop 25+ by race &amp; gender'!ER20)*100</f>
        <v>0.25285528890253711</v>
      </c>
      <c r="BZ22" s="453">
        <f>('Attainment 25+ by race &amp; gender'!HP21/'Pop 25+ by race &amp; gender'!DU20)*100</f>
        <v>172.63372073207341</v>
      </c>
      <c r="CA22" s="453">
        <f>('Attainment 25+ by race &amp; gender'!JD21/'Pop 25+ by race &amp; gender'!ET20)*100</f>
        <v>31.844417546587106</v>
      </c>
      <c r="CB22" s="453">
        <f>('Attainment 25+ by race &amp; gender'!ZS21/'Pop 25+ by race &amp; gender'!DR20)*100</f>
        <v>36.935672714774867</v>
      </c>
      <c r="CC22" s="453">
        <f>('Attainment 25+ by race &amp; gender'!ABB21/'Pop 25+ by race &amp; gender'!EQ20)*100</f>
        <v>36.159568820744333</v>
      </c>
      <c r="CD22" s="453">
        <f>('Attainment 25+ by race &amp; gender'!ZT21/'Pop 25+ by race &amp; gender'!DS20)*100</f>
        <v>11.500565059367792</v>
      </c>
      <c r="CE22" s="453">
        <f>('Attainment 25+ by race &amp; gender'!ABC21/'Pop 25+ by race &amp; gender'!ER20)*100</f>
        <v>3.6251104540537136</v>
      </c>
      <c r="CF22" s="453">
        <f>('Attainment 25+ by race &amp; gender'!ZU21/'Pop 25+ by race &amp; gender'!DU20)*100</f>
        <v>60.151733092742965</v>
      </c>
      <c r="CG22" s="453">
        <f>('Attainment 25+ by race &amp; gender'!ABD21/'Pop 25+ by race &amp; gender'!ET20)*100</f>
        <v>11.498987167648554</v>
      </c>
      <c r="CH22" s="352">
        <f>('Attainment 25+ by race &amp; gender'!HG21/'Pop 25+ by race &amp; gender'!DK20)*100</f>
        <v>93.382884694561056</v>
      </c>
      <c r="CI22" s="452">
        <f>('Attainment 25+ by race &amp; gender'!IK21/'Pop 25+ by race &amp; gender'!EO20)*100</f>
        <v>94.40894172549558</v>
      </c>
      <c r="CJ22" s="517">
        <f>('Attainment 25+ by race &amp; gender'!HH21/'Pop 25+ by race &amp; gender'!DL20)*100</f>
        <v>87.932548011478843</v>
      </c>
      <c r="CK22" s="453">
        <f>('Attainment 25+ by race &amp; gender'!IL21/'Pop 25+ by race &amp; gender'!EP20)*100</f>
        <v>91.193750248416791</v>
      </c>
      <c r="CL22" s="453">
        <f>('Attainment 25+ by race &amp; gender'!HI21/'Pop 25+ by race &amp; gender'!DN20)*100</f>
        <v>62.543876299241106</v>
      </c>
      <c r="CM22" s="453">
        <f>('Attainment 25+ by race &amp; gender'!IM21/'Pop 25+ by race &amp; gender'!ER20)*100</f>
        <v>68.285379935946594</v>
      </c>
      <c r="CN22" s="453">
        <f>('Attainment 25+ by race &amp; gender'!ZL21/'Pop 25+ by race &amp; gender'!DK20)*100</f>
        <v>36.287948439342863</v>
      </c>
      <c r="CO22" s="453">
        <f>('Attainment 25+ by race &amp; gender'!AAP21/'Pop 25+ by race &amp; gender'!EO20)*100</f>
        <v>39.434815681583963</v>
      </c>
      <c r="CP22" s="453">
        <f>('Attainment 25+ by race &amp; gender'!ZM21/'Pop 25+ by race &amp; gender'!DL20)*100</f>
        <v>21.76441650834105</v>
      </c>
      <c r="CQ22" s="453">
        <f>('Attainment 25+ by race &amp; gender'!AAQ21/'Pop 25+ by race &amp; gender'!EP20)*100</f>
        <v>25.688240090954395</v>
      </c>
      <c r="CR22" s="453">
        <f>('Attainment 25+ by race &amp; gender'!ZN21/'Pop 25+ by race &amp; gender'!DN20)*100</f>
        <v>12.979229717427144</v>
      </c>
      <c r="CS22" s="453">
        <f>('Attainment 25+ by race &amp; gender'!AAR21/'Pop 25+ by race &amp; gender'!ER20)*100</f>
        <v>16.135498258274534</v>
      </c>
      <c r="CT22" s="350">
        <f>IFERROR(('Attainment 25+ by race &amp; gender'!HQ21/'Pop 25+ by race &amp; gender'!DU20)*100,"-")</f>
        <v>93.386665810873353</v>
      </c>
      <c r="CU22" s="452">
        <f>IFERROR(('Attainment 25+ by race &amp; gender'!IP21/'Pop 25+ by race &amp; gender'!ET20)*100,"-")</f>
        <v>94.976342111842044</v>
      </c>
      <c r="CV22" s="350">
        <f>IFERROR(('Attainment 25+ by race &amp; gender'!HR21/'Pop 25+ by race &amp; gender'!DV20)*100,"-")</f>
        <v>89.083310847467644</v>
      </c>
      <c r="CW22" s="452">
        <f>IFERROR(('Attainment 25+ by race &amp; gender'!IQ21/'Pop 25+ by race &amp; gender'!EU20)*100, "-")</f>
        <v>91.310528007267678</v>
      </c>
      <c r="CX22" s="452">
        <f>IFERROR(('Attainment 25+ by race &amp; gender'!HS21/'Pop 25+ by race &amp; gender'!DX20)*100, "-")</f>
        <v>64.899277191307434</v>
      </c>
      <c r="CY22" s="452">
        <f>IFERROR(('Attainment 25+ by race &amp; gender'!IR21/'Pop 25+ by race &amp; gender'!EW20)*100, "-")</f>
        <v>70.43163978070487</v>
      </c>
      <c r="CZ22" s="452">
        <f>IFERROR(('Attainment 25+ by race &amp; gender'!HU21/'Pop 25+ by race &amp; gender'!DY20)*100, "-")</f>
        <v>87.590869768052798</v>
      </c>
      <c r="DA22" s="452">
        <f>IFERROR(('Attainment 25+ by race &amp; gender'!IT21/'Pop 25+ by race &amp; gender'!EX20)*100, "-")</f>
        <v>88.598017676369039</v>
      </c>
      <c r="DB22" s="452">
        <f>IFERROR(('Attainment 25+ by race &amp; gender'!HV21/'Pop 25+ by race &amp; gender'!DZ20)*100, "-")</f>
        <v>86.604381443298976</v>
      </c>
      <c r="DC22" s="452">
        <f>IFERROR(('Attainment 25+ by race &amp; gender'!IU21/'Pop 25+ by race &amp; gender'!EY20)*100, "-")</f>
        <v>90.11110464778082</v>
      </c>
      <c r="DD22" s="452">
        <f>IFERROR(('Attainment 25+ by race &amp; gender'!HW21/'Pop 25+ by race &amp; gender'!EA20)*100, "-")</f>
        <v>76.562517981471885</v>
      </c>
      <c r="DE22" s="452">
        <f>IFERROR(('Attainment 25+ by race &amp; gender'!IV21/'Pop 25+ by race &amp; gender'!EZ20)*100, "-")</f>
        <v>71.532307186903282</v>
      </c>
      <c r="DF22" s="452">
        <f>IFERROR(('Attainment 25+ by race &amp; gender'!HX21/'Pop 25+ by race &amp; gender'!EB20)*100, "-")</f>
        <v>86.511303367915531</v>
      </c>
      <c r="DG22" s="452">
        <f>IFERROR(('Attainment 25+ by race &amp; gender'!IW21/'Pop 25+ by race &amp; gender'!FA20)*100, "-")</f>
        <v>73.919014791778196</v>
      </c>
      <c r="DH22" s="452">
        <f>IFERROR(('Attainment 25+ by race &amp; gender'!HY21/'Pop 25+ by race &amp; gender'!EC20)*100, "-")</f>
        <v>60.514284270883323</v>
      </c>
      <c r="DI22" s="452">
        <f>IFERROR(('Attainment 25+ by race &amp; gender'!IX21/'Pop 25+ by race &amp; gender'!FB20)*100, "-")</f>
        <v>63.964815885763137</v>
      </c>
      <c r="DJ22" s="452">
        <f>IFERROR(('Attainment 25+ by race &amp; gender'!ZV21/'Pop 25+ by race &amp; gender'!DU20)*100, "-")</f>
        <v>37.58646606590132</v>
      </c>
      <c r="DK22" s="452">
        <f>IFERROR(('Attainment 25+ by race &amp; gender'!AAU21/'Pop 25+ by race &amp; gender'!ET20)*100, "-")</f>
        <v>42.428179854143657</v>
      </c>
      <c r="DL22" s="452">
        <f>IFERROR(('Attainment 25+ by race &amp; gender'!ZW21/'Pop 25+ by race &amp; gender'!DV20)*100, "-")</f>
        <v>23.127563031139189</v>
      </c>
      <c r="DM22" s="452">
        <f>IFERROR(('Attainment 25+ by race &amp; gender'!AAV21/'Pop 25+ by race &amp; gender'!EU20)*100, "-")</f>
        <v>28.746399810942119</v>
      </c>
      <c r="DN22" s="452">
        <f>IFERROR(('Attainment 25+ by race &amp; gender'!ZX21/'Pop 25+ by race &amp; gender'!DX20)*100, "-")</f>
        <v>14.199258567522177</v>
      </c>
      <c r="DO22" s="452">
        <f>IFERROR(('Attainment 25+ by race &amp; gender'!AAW21/'Pop 25+ by race &amp; gender'!EW20)*100, "-")</f>
        <v>18.0923176905386</v>
      </c>
      <c r="DP22" s="452">
        <f>IFERROR(('Attainment 25+ by race &amp; gender'!ZZ21/'Pop 25+ by race &amp; gender'!DY20)*100, "-")</f>
        <v>56.698432397421904</v>
      </c>
      <c r="DQ22" s="452">
        <f>IFERROR(('Attainment 25+ by race &amp; gender'!AAY21/'Pop 25+ by race &amp; gender'!EX20)*100, "-")</f>
        <v>61.609890446626395</v>
      </c>
      <c r="DR22" s="452">
        <f>IFERROR(('Attainment 25+ by race &amp; gender'!AAA21/'Pop 25+ by race &amp; gender'!DZ20)*100, "-")</f>
        <v>10.315721649484535</v>
      </c>
      <c r="DS22" s="452">
        <f>IFERROR(('Attainment 25+ by race &amp; gender'!AAZ21/'Pop 25+ by race &amp; gender'!EY20)*100, "-")</f>
        <v>29.974986911756151</v>
      </c>
      <c r="DT22" s="452">
        <f>IFERROR(('Attainment 25+ by race &amp; gender'!AAB21/'Pop 25+ by race &amp; gender'!EA20)*100, "-")</f>
        <v>17.446343287876172</v>
      </c>
      <c r="DU22" s="452">
        <f>IFERROR(('Attainment 25+ by race &amp; gender'!ABA21/'Pop 25+ by race &amp; gender'!EZ20)*100, "-")</f>
        <v>20.647033460403936</v>
      </c>
      <c r="DV22" s="452">
        <f>IFERROR(('Attainment 25+ by race &amp; gender'!AAC21/'Pop 25+ by race &amp; gender'!EB20)*100, "-")</f>
        <v>31.512171471812827</v>
      </c>
      <c r="DW22" s="452">
        <f>IFERROR(('Attainment 25+ by race &amp; gender'!ABB21/'Pop 25+ by race &amp; gender'!FA20)*100, "-")</f>
        <v>22.461036641537103</v>
      </c>
      <c r="DX22" s="452">
        <f>IFERROR(('Attainment 25+ by race &amp; gender'!AAD21/'Pop 25+ by race &amp; gender'!EC20)*100, "-")</f>
        <v>10.905175680113164</v>
      </c>
      <c r="DY22" s="452">
        <f>IFERROR(('Attainment 25+ by race &amp; gender'!ABC21/'Pop 25+ by race &amp; gender'!FB20)*100, "-")</f>
        <v>12.956978609011829</v>
      </c>
    </row>
    <row r="23" spans="1:129">
      <c r="A23" s="38" t="s">
        <v>22</v>
      </c>
      <c r="B23" s="351">
        <f>('Attainment 25+ by race &amp; gender'!FS22/'Pop 25+ by race &amp; gender'!AT21)*100</f>
        <v>84.275976912708174</v>
      </c>
      <c r="C23" s="445">
        <f>('Attainment 25+ by race &amp; gender'!GR22/'Pop 25+ by race &amp; gender'!CV21)*100</f>
        <v>88.8</v>
      </c>
      <c r="D23" s="352">
        <f>('Attainment 25+ by race &amp; gender'!FT22/'Pop 25+ by race &amp; gender'!AZ21)*100</f>
        <v>71.575814145447211</v>
      </c>
      <c r="E23" s="351">
        <f>('Attainment 25+ by race &amp; gender'!GS22/'Pop 25+ by race &amp; gender'!CW21)*100</f>
        <v>81.199999999999989</v>
      </c>
      <c r="F23" s="352">
        <f>('Attainment 25+ by race &amp; gender'!FU22/'Pop 25+ by race &amp; gender'!BC21)*100</f>
        <v>62.927255291458316</v>
      </c>
      <c r="G23" s="351">
        <f>('Attainment 25+ by race &amp; gender'!GT22/'Pop 25+ by race &amp; gender'!CY21)*100</f>
        <v>68.399999999999991</v>
      </c>
      <c r="H23" s="352">
        <f>('Attainment 25+ by race &amp; gender'!XM22/'Pop 25+ by race &amp; gender'!AT21)*100</f>
        <v>32.281719060483724</v>
      </c>
      <c r="I23" s="351">
        <f>('Attainment 25+ by race &amp; gender'!YW22/'Pop 25+ by race &amp; gender'!CV21)*100</f>
        <v>36.9</v>
      </c>
      <c r="J23" s="352">
        <f>('Attainment 25+ by race &amp; gender'!XS22/'Pop 25+ by race &amp; gender'!AZ21)*100</f>
        <v>15.116519018322471</v>
      </c>
      <c r="K23" s="351">
        <f>('Attainment 25+ by race &amp; gender'!YX22/'Pop 25+ by race &amp; gender'!CW21)*100</f>
        <v>19.5</v>
      </c>
      <c r="L23" s="352">
        <f>('Attainment 25+ by race &amp; gender'!XV22/'Pop 25+ by race &amp; gender'!BC21)*100</f>
        <v>20.66294495056739</v>
      </c>
      <c r="M23" s="437">
        <f>('Attainment 25+ by race &amp; gender'!YY22/'Pop 25+ by race &amp; gender'!CY21)*100</f>
        <v>22.1</v>
      </c>
      <c r="N23" s="351">
        <f>('Attainment 25+ by race &amp; gender'!FS22/'Pop 25+ by race &amp; gender'!AT21)*100</f>
        <v>84.275976912708174</v>
      </c>
      <c r="O23" s="445">
        <f>('Attainment 25+ by race &amp; gender'!GW22/'Pop 25+ by race &amp; gender'!DA21)*100</f>
        <v>90.413625647268958</v>
      </c>
      <c r="P23" s="352">
        <f>('Attainment 25+ by race &amp; gender'!FT22/'Pop 25+ by race &amp; gender'!AZ21)*100</f>
        <v>71.575814145447211</v>
      </c>
      <c r="Q23" s="351">
        <f>('Attainment 25+ by race &amp; gender'!GX22/'Pop 25+ by race &amp; gender'!DB21)*100</f>
        <v>82.035005316816765</v>
      </c>
      <c r="R23" s="352">
        <f>('Attainment 25+ by race &amp; gender'!FU22/'Pop 25+ by race &amp; gender'!BC21)*100</f>
        <v>62.927255291458316</v>
      </c>
      <c r="S23" s="351">
        <f>('Attainment 25+ by race &amp; gender'!GY22/'Pop 25+ by race &amp; gender'!DD21)*100</f>
        <v>68.659988680758943</v>
      </c>
      <c r="T23" s="352">
        <f>('Attainment 25+ by race &amp; gender'!XM22/'Pop 25+ by race &amp; gender'!AT21)*100</f>
        <v>32.281719060483724</v>
      </c>
      <c r="U23" s="351">
        <f>('Attainment 25+ by race &amp; gender'!ZB22/'Pop 25+ by race &amp; gender'!DA21)*100</f>
        <v>38.170921585160436</v>
      </c>
      <c r="V23" s="352">
        <f>('Attainment 25+ by race &amp; gender'!XS22/'Pop 25+ by race &amp; gender'!AZ21)*100</f>
        <v>15.116519018322471</v>
      </c>
      <c r="W23" s="351">
        <f>('Attainment 25+ by race &amp; gender'!ZC22/'Pop 25+ by race &amp; gender'!DB21)*100</f>
        <v>20.271535627711952</v>
      </c>
      <c r="X23" s="352">
        <f>('Attainment 25+ by race &amp; gender'!XV22/'Pop 25+ by race &amp; gender'!BC21)*100</f>
        <v>20.66294495056739</v>
      </c>
      <c r="Y23" s="437">
        <f>('Attainment 25+ by race &amp; gender'!ZD22/'Pop 25+ by race &amp; gender'!DD21)*100</f>
        <v>22.327752471276053</v>
      </c>
      <c r="Z23" s="351">
        <f>('Attainment 25+ by race &amp; gender'!FS22/'Pop 25+ by race &amp; gender'!AT21)*100</f>
        <v>84.275976912708174</v>
      </c>
      <c r="AA23" s="445">
        <f>('Attainment 25+ by race &amp; gender'!HB22/'Pop 25+ by race &amp; gender'!DF21)*100</f>
        <v>90.878702170732367</v>
      </c>
      <c r="AB23" s="352">
        <f>('Attainment 25+ by race &amp; gender'!FT22/'Pop 25+ by race &amp; gender'!AZ21)*100</f>
        <v>71.575814145447211</v>
      </c>
      <c r="AC23" s="351">
        <f>('Attainment 25+ by race &amp; gender'!HC22/'Pop 25+ by race &amp; gender'!DG21)*100</f>
        <v>82.766486666327992</v>
      </c>
      <c r="AD23" s="352">
        <f>('Attainment 25+ by race &amp; gender'!FU22/'Pop 25+ by race &amp; gender'!BC21)*100</f>
        <v>62.927255291458316</v>
      </c>
      <c r="AE23" s="351">
        <f>('Attainment 25+ by race &amp; gender'!HD22/'Pop 25+ by race &amp; gender'!DI21)*100</f>
        <v>70.766312315752415</v>
      </c>
      <c r="AF23" s="352">
        <f>('Attainment 25+ by race &amp; gender'!XM22/'Pop 25+ by race &amp; gender'!AT21)*100</f>
        <v>32.281719060483724</v>
      </c>
      <c r="AG23" s="351">
        <f>('Attainment 25+ by race &amp; gender'!ZG22/'Pop 25+ by race &amp; gender'!DF21)*100</f>
        <v>38.751388773185873</v>
      </c>
      <c r="AH23" s="352">
        <f>('Attainment 25+ by race &amp; gender'!XS22/'Pop 25+ by race &amp; gender'!AZ21)*100</f>
        <v>15.116519018322471</v>
      </c>
      <c r="AI23" s="351">
        <f>('Attainment 25+ by race &amp; gender'!ZH22/'Pop 25+ by race &amp; gender'!DG21)*100</f>
        <v>20.76269540296866</v>
      </c>
      <c r="AJ23" s="352">
        <f>('Attainment 25+ by race &amp; gender'!XV22/'Pop 25+ by race &amp; gender'!BC21)*100</f>
        <v>20.66294495056739</v>
      </c>
      <c r="AK23" s="453">
        <f>('Attainment 25+ by race &amp; gender'!ZI22/'Pop 25+ by race &amp; gender'!DI21)*100</f>
        <v>22.565041697100909</v>
      </c>
      <c r="AL23" s="352">
        <f>('Attainment 25+ by race &amp; gender'!FS22/'Pop 25+ by race &amp; gender'!AT21)*100</f>
        <v>84.275976912708174</v>
      </c>
      <c r="AM23" s="453">
        <f>('Attainment 25+ by race &amp; gender'!HL22/'Pop 25+ by race &amp; gender'!DP21)*100</f>
        <v>92.007657423536983</v>
      </c>
      <c r="AN23" s="517">
        <v>71.575814145447211</v>
      </c>
      <c r="AO23" s="453">
        <f>('Attainment 25+ by race &amp; gender'!HM22/'Pop 25+ by race &amp; gender'!DQ21)*100</f>
        <v>84.358604206500956</v>
      </c>
      <c r="AP23" s="453">
        <f>('Attainment 25+ by race &amp; gender'!FU22/'Pop 25+ by race &amp; gender'!BC21)*100</f>
        <v>62.927255291458316</v>
      </c>
      <c r="AQ23" s="453">
        <f>('Attainment 25+ by race &amp; gender'!HN22/'Pop 25+ by race &amp; gender'!DS21)*100</f>
        <v>71.050400196814195</v>
      </c>
      <c r="AR23" s="453">
        <f>('Attainment 25+ by race &amp; gender'!XM22/'Pop 25+ by race &amp; gender'!AT21)*100</f>
        <v>32.281719060483724</v>
      </c>
      <c r="AS23" s="453">
        <f>('Attainment 25+ by race &amp; gender'!ZQ22/'Pop 25+ by race &amp; gender'!DP21)*100</f>
        <v>40.290717824848429</v>
      </c>
      <c r="AT23" s="453">
        <f>('Attainment 25+ by race &amp; gender'!XS22/'Pop 25+ by race &amp; gender'!AZ21)*100</f>
        <v>15.116519018322471</v>
      </c>
      <c r="AU23" s="453">
        <f>('Attainment 25+ by race &amp; gender'!ZR22/'Pop 25+ by race &amp; gender'!DQ21)*100</f>
        <v>22.817973231357552</v>
      </c>
      <c r="AV23" s="453">
        <f>('Attainment 25+ by race &amp; gender'!XV22/'Pop 25+ by race &amp; gender'!BC21)*100</f>
        <v>20.66294495056739</v>
      </c>
      <c r="AW23" s="453">
        <f>('Attainment 25+ by race &amp; gender'!ZS22/'Pop 25+ by race &amp; gender'!DS21)*100</f>
        <v>23.015078737618499</v>
      </c>
      <c r="AX23" s="352">
        <f>('Attainment 25+ by race &amp; gender'!GR22/'Pop 25+ by race &amp; gender'!CV21)*100</f>
        <v>88.8</v>
      </c>
      <c r="AY23" s="453">
        <f>('Attainment 25+ by race &amp; gender'!HQ22/'Pop 25+ by race &amp; gender'!DU21)*100</f>
        <v>92.213489939601416</v>
      </c>
      <c r="AZ23" s="517">
        <f>('Attainment 25+ by race &amp; gender'!GS22/'Pop 25+ by race &amp; gender'!CW21)*100</f>
        <v>81.199999999999989</v>
      </c>
      <c r="BA23" s="453">
        <f>('Attainment 25+ by race &amp; gender'!HR22/'Pop 25+ by race &amp; gender'!DV21)*100</f>
        <v>85.928967080332058</v>
      </c>
      <c r="BB23" s="453">
        <f>('Attainment 25+ by race &amp; gender'!GT22/'Pop 25+ by race &amp; gender'!CY21)*100</f>
        <v>68.399999999999991</v>
      </c>
      <c r="BC23" s="453">
        <f>('Attainment 25+ by race &amp; gender'!HS22/'Pop 25+ by race &amp; gender'!DX21)*100</f>
        <v>71.761217122227947</v>
      </c>
      <c r="BD23" s="453">
        <f>('Attainment 25+ by race &amp; gender'!YW22/'Pop 25+ by race &amp; gender'!CV21)*100</f>
        <v>36.9</v>
      </c>
      <c r="BE23" s="453">
        <f>('Attainment 25+ by race &amp; gender'!ZV22/'Pop 25+ by race &amp; gender'!DU21)*100</f>
        <v>41.610249237300224</v>
      </c>
      <c r="BF23" s="453">
        <f>('Attainment 25+ by race &amp; gender'!YX22/'Pop 25+ by race &amp; gender'!CW21)*100</f>
        <v>19.5</v>
      </c>
      <c r="BG23" s="453">
        <f>('Attainment 25+ by race &amp; gender'!ZW22/'Pop 25+ by race &amp; gender'!DV21)*100</f>
        <v>23.294784427244611</v>
      </c>
      <c r="BH23" s="453">
        <f>('Attainment 25+ by race &amp; gender'!YY22/'Pop 25+ by race &amp; gender'!CY21)*100</f>
        <v>22.1</v>
      </c>
      <c r="BI23" s="453">
        <f>('Attainment 25+ by race &amp; gender'!ZX22/'Pop 25+ by race &amp; gender'!DX21)*100</f>
        <v>23.609873880632005</v>
      </c>
      <c r="BJ23" s="352">
        <f>('Attainment 25+ by race &amp; gender'!GW22/'Pop 25+ by race &amp; gender'!DA21)*100</f>
        <v>90.413625647268958</v>
      </c>
      <c r="BK23" s="453">
        <f>('Attainment 25+ by race &amp; gender'!IA22/'Pop 25+ by race &amp; gender'!EE21)*100</f>
        <v>92.649648109175416</v>
      </c>
      <c r="BL23" s="517">
        <f>('Attainment 25+ by race &amp; gender'!GX22/'Pop 25+ by race &amp; gender'!DB21)*100</f>
        <v>82.035005316816765</v>
      </c>
      <c r="BM23" s="453">
        <f>('Attainment 25+ by race &amp; gender'!IB22/'Pop 25+ by race &amp; gender'!EF21)*100</f>
        <v>86.176934641203871</v>
      </c>
      <c r="BN23" s="453">
        <f>('Attainment 25+ by race &amp; gender'!GY22/'Pop 25+ by race &amp; gender'!DD21)*100</f>
        <v>68.659988680758943</v>
      </c>
      <c r="BO23" s="453">
        <f>('Attainment 25+ by race &amp; gender'!IC22/'Pop 25+ by race &amp; gender'!EH21)*100</f>
        <v>71.170937250882588</v>
      </c>
      <c r="BP23" s="453">
        <f>('Attainment 25+ by race &amp; gender'!ZB22/'Pop 25+ by race &amp; gender'!DA21)*100</f>
        <v>38.170921585160436</v>
      </c>
      <c r="BQ23" s="453">
        <f>('Attainment 25+ by race &amp; gender'!AAF22/'Pop 25+ by race &amp; gender'!EE21)*100</f>
        <v>42.011989410777524</v>
      </c>
      <c r="BR23" s="453">
        <f>('Attainment 25+ by race &amp; gender'!ZC22/'Pop 25+ by race &amp; gender'!DB21)*100</f>
        <v>20.271535627711952</v>
      </c>
      <c r="BS23" s="453">
        <f>('Attainment 25+ by race &amp; gender'!AAG22/'Pop 25+ by race &amp; gender'!EF21)*100</f>
        <v>24.775333789798015</v>
      </c>
      <c r="BT23" s="453">
        <f>('Attainment 25+ by race &amp; gender'!ZD22/'Pop 25+ by race &amp; gender'!DD21)*100</f>
        <v>22.327752471276053</v>
      </c>
      <c r="BU23" s="453">
        <f>('Attainment 25+ by race &amp; gender'!AAH22/'Pop 25+ by race &amp; gender'!EH21)*100</f>
        <v>24.856622252590821</v>
      </c>
      <c r="BV23" s="352">
        <f>('Attainment 25+ by race &amp; gender'!HN22/'Pop 25+ by race &amp; gender'!DR21)*100</f>
        <v>48.70583226905066</v>
      </c>
      <c r="BW23" s="453">
        <f>('Attainment 25+ by race &amp; gender'!JB22/'Pop 25+ by race &amp; gender'!EQ21)*100</f>
        <v>1.1005974796274232</v>
      </c>
      <c r="BX23" s="517">
        <f>('Attainment 25+ by race &amp; gender'!HO22/'Pop 25+ by race &amp; gender'!DS21)*100</f>
        <v>98.455343003661596</v>
      </c>
      <c r="BY23" s="453">
        <f>('Attainment 25+ by race &amp; gender'!JC22/'Pop 25+ by race &amp; gender'!ER21)*100</f>
        <v>1.6754081755283534</v>
      </c>
      <c r="BZ23" s="453">
        <f>('Attainment 25+ by race &amp; gender'!HP22/'Pop 25+ by race &amp; gender'!DU21)*100</f>
        <v>135.90370609286947</v>
      </c>
      <c r="CA23" s="453">
        <f>('Attainment 25+ by race &amp; gender'!JD22/'Pop 25+ by race &amp; gender'!ET21)*100</f>
        <v>25.609126593806437</v>
      </c>
      <c r="CB23" s="453">
        <f>('Attainment 25+ by race &amp; gender'!ZS22/'Pop 25+ by race &amp; gender'!DR21)*100</f>
        <v>15.777090087434914</v>
      </c>
      <c r="CC23" s="453">
        <f>('Attainment 25+ by race &amp; gender'!ABB22/'Pop 25+ by race &amp; gender'!EQ21)*100</f>
        <v>24.084139974315043</v>
      </c>
      <c r="CD23" s="453">
        <f>('Attainment 25+ by race &amp; gender'!ZT22/'Pop 25+ by race &amp; gender'!DS21)*100</f>
        <v>55.916487726581146</v>
      </c>
      <c r="CE23" s="453">
        <f>('Attainment 25+ by race &amp; gender'!ABC22/'Pop 25+ by race &amp; gender'!ER21)*100</f>
        <v>10.132710697546655</v>
      </c>
      <c r="CF23" s="453">
        <f>('Attainment 25+ by race &amp; gender'!ZU22/'Pop 25+ by race &amp; gender'!DU21)*100</f>
        <v>57.979154292089</v>
      </c>
      <c r="CG23" s="453">
        <f>('Attainment 25+ by race &amp; gender'!ABD22/'Pop 25+ by race &amp; gender'!ET21)*100</f>
        <v>14.472086711860809</v>
      </c>
      <c r="CH23" s="352">
        <f>('Attainment 25+ by race &amp; gender'!HG22/'Pop 25+ by race &amp; gender'!DK21)*100</f>
        <v>91.59353649000299</v>
      </c>
      <c r="CI23" s="452">
        <f>('Attainment 25+ by race &amp; gender'!IK22/'Pop 25+ by race &amp; gender'!EO21)*100</f>
        <v>93.047096290131464</v>
      </c>
      <c r="CJ23" s="517">
        <f>('Attainment 25+ by race &amp; gender'!HH22/'Pop 25+ by race &amp; gender'!DL21)*100</f>
        <v>84.521776321864778</v>
      </c>
      <c r="CK23" s="453">
        <f>('Attainment 25+ by race &amp; gender'!IL22/'Pop 25+ by race &amp; gender'!EP21)*100</f>
        <v>86.208847236184525</v>
      </c>
      <c r="CL23" s="453">
        <f>('Attainment 25+ by race &amp; gender'!HI22/'Pop 25+ by race &amp; gender'!DN21)*100</f>
        <v>69.57733019700089</v>
      </c>
      <c r="CM23" s="453">
        <f>('Attainment 25+ by race &amp; gender'!IM22/'Pop 25+ by race &amp; gender'!ER21)*100</f>
        <v>73.322660394526764</v>
      </c>
      <c r="CN23" s="453">
        <f>('Attainment 25+ by race &amp; gender'!ZL22/'Pop 25+ by race &amp; gender'!DK21)*100</f>
        <v>40.315128349111511</v>
      </c>
      <c r="CO23" s="453">
        <f>('Attainment 25+ by race &amp; gender'!AAP22/'Pop 25+ by race &amp; gender'!EO21)*100</f>
        <v>42.958557104734268</v>
      </c>
      <c r="CP23" s="453">
        <f>('Attainment 25+ by race &amp; gender'!ZM22/'Pop 25+ by race &amp; gender'!DL21)*100</f>
        <v>21.735495817760302</v>
      </c>
      <c r="CQ23" s="453">
        <f>('Attainment 25+ by race &amp; gender'!AAQ22/'Pop 25+ by race &amp; gender'!EP21)*100</f>
        <v>25.21051550626412</v>
      </c>
      <c r="CR23" s="453">
        <f>('Attainment 25+ by race &amp; gender'!ZN22/'Pop 25+ by race &amp; gender'!DN21)*100</f>
        <v>22.525237675193573</v>
      </c>
      <c r="CS23" s="453">
        <f>('Attainment 25+ by race &amp; gender'!AAR22/'Pop 25+ by race &amp; gender'!ER21)*100</f>
        <v>26.29277044311295</v>
      </c>
      <c r="CT23" s="350">
        <f>IFERROR(('Attainment 25+ by race &amp; gender'!HQ22/'Pop 25+ by race &amp; gender'!DU21)*100,"-")</f>
        <v>92.213489939601416</v>
      </c>
      <c r="CU23" s="452">
        <f>IFERROR(('Attainment 25+ by race &amp; gender'!IP22/'Pop 25+ by race &amp; gender'!ET21)*100,"-")</f>
        <v>93.973110789614594</v>
      </c>
      <c r="CV23" s="350">
        <f>IFERROR(('Attainment 25+ by race &amp; gender'!HR22/'Pop 25+ by race &amp; gender'!DV21)*100,"-")</f>
        <v>85.928967080332058</v>
      </c>
      <c r="CW23" s="452">
        <f>IFERROR(('Attainment 25+ by race &amp; gender'!IQ22/'Pop 25+ by race &amp; gender'!EU21)*100, "-")</f>
        <v>88.84692510868183</v>
      </c>
      <c r="CX23" s="452">
        <f>IFERROR(('Attainment 25+ by race &amp; gender'!HS22/'Pop 25+ by race &amp; gender'!DX21)*100, "-")</f>
        <v>71.761217122227947</v>
      </c>
      <c r="CY23" s="452">
        <f>IFERROR(('Attainment 25+ by race &amp; gender'!IR22/'Pop 25+ by race &amp; gender'!EW21)*100, "-")</f>
        <v>76.142056525319887</v>
      </c>
      <c r="CZ23" s="452">
        <f>IFERROR(('Attainment 25+ by race &amp; gender'!HU22/'Pop 25+ by race &amp; gender'!DY21)*100, "-")</f>
        <v>88.533589272313989</v>
      </c>
      <c r="DA23" s="452">
        <f>IFERROR(('Attainment 25+ by race &amp; gender'!IT22/'Pop 25+ by race &amp; gender'!EX21)*100, "-")</f>
        <v>91.690708227138089</v>
      </c>
      <c r="DB23" s="452">
        <f>IFERROR(('Attainment 25+ by race &amp; gender'!HV22/'Pop 25+ by race &amp; gender'!DZ21)*100, "-")</f>
        <v>83.682688832670763</v>
      </c>
      <c r="DC23" s="452" t="str">
        <f>IFERROR(('Attainment 25+ by race &amp; gender'!IU22/'Pop 25+ by race &amp; gender'!EY21)*100, "-")</f>
        <v>-</v>
      </c>
      <c r="DD23" s="452">
        <f>IFERROR(('Attainment 25+ by race &amp; gender'!HW22/'Pop 25+ by race &amp; gender'!EA21)*100, "-")</f>
        <v>87.487934362934368</v>
      </c>
      <c r="DE23" s="452">
        <f>IFERROR(('Attainment 25+ by race &amp; gender'!IV22/'Pop 25+ by race &amp; gender'!EZ21)*100, "-")</f>
        <v>77.260959234718513</v>
      </c>
      <c r="DF23" s="452">
        <f>IFERROR(('Attainment 25+ by race &amp; gender'!HX22/'Pop 25+ by race &amp; gender'!EB21)*100, "-")</f>
        <v>0</v>
      </c>
      <c r="DG23" s="452">
        <f>IFERROR(('Attainment 25+ by race &amp; gender'!IW22/'Pop 25+ by race &amp; gender'!FA21)*100, "-")</f>
        <v>86.349290643859206</v>
      </c>
      <c r="DH23" s="452">
        <f>IFERROR(('Attainment 25+ by race &amp; gender'!HY22/'Pop 25+ by race &amp; gender'!EC21)*100, "-")</f>
        <v>62.606175154453567</v>
      </c>
      <c r="DI23" s="452">
        <f>IFERROR(('Attainment 25+ by race &amp; gender'!IX22/'Pop 25+ by race &amp; gender'!FB21)*100, "-")</f>
        <v>70.143543075492104</v>
      </c>
      <c r="DJ23" s="452">
        <f>IFERROR(('Attainment 25+ by race &amp; gender'!ZV22/'Pop 25+ by race &amp; gender'!DU21)*100, "-")</f>
        <v>41.610249237300224</v>
      </c>
      <c r="DK23" s="452">
        <f>IFERROR(('Attainment 25+ by race &amp; gender'!AAU22/'Pop 25+ by race &amp; gender'!ET21)*100, "-")</f>
        <v>44.808266164803349</v>
      </c>
      <c r="DL23" s="452">
        <f>IFERROR(('Attainment 25+ by race &amp; gender'!ZW22/'Pop 25+ by race &amp; gender'!DV21)*100, "-")</f>
        <v>23.294784427244611</v>
      </c>
      <c r="DM23" s="452">
        <f>IFERROR(('Attainment 25+ by race &amp; gender'!AAV22/'Pop 25+ by race &amp; gender'!EU21)*100, "-")</f>
        <v>27.627069818252558</v>
      </c>
      <c r="DN23" s="452">
        <f>IFERROR(('Attainment 25+ by race &amp; gender'!ZX22/'Pop 25+ by race &amp; gender'!DX21)*100, "-")</f>
        <v>23.609873880632005</v>
      </c>
      <c r="DO23" s="452">
        <f>IFERROR(('Attainment 25+ by race &amp; gender'!AAW22/'Pop 25+ by race &amp; gender'!EW21)*100, "-")</f>
        <v>29.188879738063196</v>
      </c>
      <c r="DP23" s="452">
        <f>IFERROR(('Attainment 25+ by race &amp; gender'!ZZ22/'Pop 25+ by race &amp; gender'!DY21)*100, "-")</f>
        <v>59.518591828078605</v>
      </c>
      <c r="DQ23" s="452">
        <f>IFERROR(('Attainment 25+ by race &amp; gender'!AAY22/'Pop 25+ by race &amp; gender'!EX21)*100, "-")</f>
        <v>65.450295825296124</v>
      </c>
      <c r="DR23" s="452">
        <f>IFERROR(('Attainment 25+ by race &amp; gender'!AAA22/'Pop 25+ by race &amp; gender'!DZ21)*100, "-")</f>
        <v>15.486086013733285</v>
      </c>
      <c r="DS23" s="452" t="str">
        <f>IFERROR(('Attainment 25+ by race &amp; gender'!AAZ22/'Pop 25+ by race &amp; gender'!EY21)*100, "-")</f>
        <v>-</v>
      </c>
      <c r="DT23" s="452">
        <f>IFERROR(('Attainment 25+ by race &amp; gender'!AAB22/'Pop 25+ by race &amp; gender'!EA21)*100, "-")</f>
        <v>26.321187258687257</v>
      </c>
      <c r="DU23" s="452">
        <f>IFERROR(('Attainment 25+ by race &amp; gender'!ABA22/'Pop 25+ by race &amp; gender'!EZ21)*100, "-")</f>
        <v>20.953091403747422</v>
      </c>
      <c r="DV23" s="452">
        <f>IFERROR(('Attainment 25+ by race &amp; gender'!AAC22/'Pop 25+ by race &amp; gender'!EB21)*100, "-")</f>
        <v>0</v>
      </c>
      <c r="DW23" s="452">
        <f>IFERROR(('Attainment 25+ by race &amp; gender'!ABB22/'Pop 25+ by race &amp; gender'!FA21)*100, "-")</f>
        <v>38.700961724349163</v>
      </c>
      <c r="DX23" s="452">
        <f>IFERROR(('Attainment 25+ by race &amp; gender'!AAD22/'Pop 25+ by race &amp; gender'!EC21)*100, "-")</f>
        <v>16.907342801007029</v>
      </c>
      <c r="DY23" s="452">
        <f>IFERROR(('Attainment 25+ by race &amp; gender'!ABC22/'Pop 25+ by race &amp; gender'!FB21)*100, "-")</f>
        <v>23.739158852660953</v>
      </c>
    </row>
    <row r="24" spans="1:129">
      <c r="A24" s="140" t="s">
        <v>23</v>
      </c>
      <c r="B24" s="353">
        <f>('Attainment 25+ by race &amp; gender'!FS23/'Pop 25+ by race &amp; gender'!AT22)*100</f>
        <v>75.124121319372762</v>
      </c>
      <c r="C24" s="450">
        <f>('Attainment 25+ by race &amp; gender'!GR23/'Pop 25+ by race &amp; gender'!CV22)*100</f>
        <v>83.3</v>
      </c>
      <c r="D24" s="354">
        <f>('Attainment 25+ by race &amp; gender'!FT23/'Pop 25+ by race &amp; gender'!AZ22)*100</f>
        <v>76.616872710622701</v>
      </c>
      <c r="E24" s="353">
        <f>('Attainment 25+ by race &amp; gender'!GS23/'Pop 25+ by race &amp; gender'!CW22)*100</f>
        <v>85.000000000000014</v>
      </c>
      <c r="F24" s="354">
        <f>('Attainment 25+ by race &amp; gender'!FU23/'Pop 25+ by race &amp; gender'!BC22)*100</f>
        <v>74.229867083659101</v>
      </c>
      <c r="G24" s="353">
        <f>('Attainment 25+ by race &amp; gender'!GT23/'Pop 25+ by race &amp; gender'!CY22)*100</f>
        <v>77.2</v>
      </c>
      <c r="H24" s="354">
        <f>('Attainment 25+ by race &amp; gender'!XM23/'Pop 25+ by race &amp; gender'!AT22)*100</f>
        <v>14.662842594334746</v>
      </c>
      <c r="I24" s="353">
        <f>('Attainment 25+ by race &amp; gender'!YW23/'Pop 25+ by race &amp; gender'!CV22)*100</f>
        <v>17.700000000000003</v>
      </c>
      <c r="J24" s="354">
        <f>('Attainment 25+ by race &amp; gender'!XS23/'Pop 25+ by race &amp; gender'!AZ22)*100</f>
        <v>11.515567765567765</v>
      </c>
      <c r="K24" s="353">
        <f>('Attainment 25+ by race &amp; gender'!YX23/'Pop 25+ by race &amp; gender'!CW22)*100</f>
        <v>14.6</v>
      </c>
      <c r="L24" s="354">
        <f>('Attainment 25+ by race &amp; gender'!XV23/'Pop 25+ by race &amp; gender'!BC22)*100</f>
        <v>19.655981235340107</v>
      </c>
      <c r="M24" s="438">
        <f>('Attainment 25+ by race &amp; gender'!YY23/'Pop 25+ by race &amp; gender'!CY22)*100</f>
        <v>21.200000000000003</v>
      </c>
      <c r="N24" s="353">
        <f>('Attainment 25+ by race &amp; gender'!FS23/'Pop 25+ by race &amp; gender'!AT22)*100</f>
        <v>75.124121319372762</v>
      </c>
      <c r="O24" s="450">
        <f>('Attainment 25+ by race &amp; gender'!GW23/'Pop 25+ by race &amp; gender'!DA22)*100</f>
        <v>84.045125096850754</v>
      </c>
      <c r="P24" s="354">
        <f>('Attainment 25+ by race &amp; gender'!FT23/'Pop 25+ by race &amp; gender'!AZ22)*100</f>
        <v>76.616872710622701</v>
      </c>
      <c r="Q24" s="431">
        <f>('Attainment 25+ by race &amp; gender'!GX23/'Pop 25+ by race &amp; gender'!DB22)*100</f>
        <v>85.160179680985564</v>
      </c>
      <c r="R24" s="354">
        <f>('Attainment 25+ by race &amp; gender'!FU23/'Pop 25+ by race &amp; gender'!BC22)*100</f>
        <v>74.229867083659101</v>
      </c>
      <c r="S24" s="431">
        <f>('Attainment 25+ by race &amp; gender'!GY23/'Pop 25+ by race &amp; gender'!DD22)*100</f>
        <v>77.319587628865989</v>
      </c>
      <c r="T24" s="354">
        <f>('Attainment 25+ by race &amp; gender'!XM23/'Pop 25+ by race &amp; gender'!AT22)*100</f>
        <v>14.662842594334746</v>
      </c>
      <c r="U24" s="431">
        <f>('Attainment 25+ by race &amp; gender'!ZB23/'Pop 25+ by race &amp; gender'!DA22)*100</f>
        <v>18.148687570083986</v>
      </c>
      <c r="V24" s="354">
        <f>('Attainment 25+ by race &amp; gender'!XS23/'Pop 25+ by race &amp; gender'!AZ22)*100</f>
        <v>11.515567765567765</v>
      </c>
      <c r="W24" s="431">
        <f>('Attainment 25+ by race &amp; gender'!ZC23/'Pop 25+ by race &amp; gender'!DB22)*100</f>
        <v>14.842510154127552</v>
      </c>
      <c r="X24" s="354">
        <f>('Attainment 25+ by race &amp; gender'!XV23/'Pop 25+ by race &amp; gender'!BC22)*100</f>
        <v>19.655981235340107</v>
      </c>
      <c r="Y24" s="438">
        <f>('Attainment 25+ by race &amp; gender'!ZD23/'Pop 25+ by race &amp; gender'!DD22)*100</f>
        <v>23.03560599497531</v>
      </c>
      <c r="Z24" s="514">
        <f>('Attainment 25+ by race &amp; gender'!FS23/'Pop 25+ by race &amp; gender'!AT22)*100</f>
        <v>75.124121319372762</v>
      </c>
      <c r="AA24" s="450">
        <f>('Attainment 25+ by race &amp; gender'!HB23/'Pop 25+ by race &amp; gender'!DF22)*100</f>
        <v>84.434277131890738</v>
      </c>
      <c r="AB24" s="354">
        <f>('Attainment 25+ by race &amp; gender'!FT23/'Pop 25+ by race &amp; gender'!AZ22)*100</f>
        <v>76.616872710622701</v>
      </c>
      <c r="AC24" s="431">
        <f>('Attainment 25+ by race &amp; gender'!HC23/'Pop 25+ by race &amp; gender'!DG22)*100</f>
        <v>86.673941394086171</v>
      </c>
      <c r="AD24" s="354">
        <f>('Attainment 25+ by race &amp; gender'!FU23/'Pop 25+ by race &amp; gender'!BC22)*100</f>
        <v>74.229867083659101</v>
      </c>
      <c r="AE24" s="431">
        <f>('Attainment 25+ by race &amp; gender'!HD23/'Pop 25+ by race &amp; gender'!DI22)*100</f>
        <v>77.082996278919268</v>
      </c>
      <c r="AF24" s="354">
        <f>('Attainment 25+ by race &amp; gender'!XM23/'Pop 25+ by race &amp; gender'!AT22)*100</f>
        <v>14.662842594334746</v>
      </c>
      <c r="AG24" s="431">
        <f>('Attainment 25+ by race &amp; gender'!ZG23/'Pop 25+ by race &amp; gender'!DF22)*100</f>
        <v>18.667316734782023</v>
      </c>
      <c r="AH24" s="354">
        <f>('Attainment 25+ by race &amp; gender'!XS23/'Pop 25+ by race &amp; gender'!AZ22)*100</f>
        <v>11.515567765567765</v>
      </c>
      <c r="AI24" s="431">
        <f>('Attainment 25+ by race &amp; gender'!ZH23/'Pop 25+ by race &amp; gender'!DG22)*100</f>
        <v>15.38870997790967</v>
      </c>
      <c r="AJ24" s="354">
        <f>('Attainment 25+ by race &amp; gender'!XV23/'Pop 25+ by race &amp; gender'!BC22)*100</f>
        <v>19.655981235340107</v>
      </c>
      <c r="AK24" s="431">
        <f>('Attainment 25+ by race &amp; gender'!ZI23/'Pop 25+ by race &amp; gender'!DI22)*100</f>
        <v>22.706681766704417</v>
      </c>
      <c r="AL24" s="354">
        <f>('Attainment 25+ by race &amp; gender'!FS23/'Pop 25+ by race &amp; gender'!AT22)*100</f>
        <v>75.124121319372762</v>
      </c>
      <c r="AM24" s="431">
        <f>('Attainment 25+ by race &amp; gender'!HL23/'Pop 25+ by race &amp; gender'!DP22)*100</f>
        <v>85.795177443085876</v>
      </c>
      <c r="AN24" s="518">
        <v>76.616872710622701</v>
      </c>
      <c r="AO24" s="431">
        <f>('Attainment 25+ by race &amp; gender'!HM23/'Pop 25+ by race &amp; gender'!DQ22)*100</f>
        <v>89.197125076693837</v>
      </c>
      <c r="AP24" s="431">
        <f>('Attainment 25+ by race &amp; gender'!FU23/'Pop 25+ by race &amp; gender'!BC22)*100</f>
        <v>74.229867083659101</v>
      </c>
      <c r="AQ24" s="431">
        <f>('Attainment 25+ by race &amp; gender'!HN23/'Pop 25+ by race &amp; gender'!DS22)*100</f>
        <v>89.901922828752106</v>
      </c>
      <c r="AR24" s="431">
        <f>('Attainment 25+ by race &amp; gender'!XM23/'Pop 25+ by race &amp; gender'!AT22)*100</f>
        <v>14.662842594334746</v>
      </c>
      <c r="AS24" s="431">
        <f>('Attainment 25+ by race &amp; gender'!ZQ23/'Pop 25+ by race &amp; gender'!DP22)*100</f>
        <v>19.213495066661952</v>
      </c>
      <c r="AT24" s="431">
        <f>('Attainment 25+ by race &amp; gender'!XS23/'Pop 25+ by race &amp; gender'!AZ22)*100</f>
        <v>11.515567765567765</v>
      </c>
      <c r="AU24" s="431">
        <f>('Attainment 25+ by race &amp; gender'!ZR23/'Pop 25+ by race &amp; gender'!DQ22)*100</f>
        <v>12.384959242703129</v>
      </c>
      <c r="AV24" s="431">
        <f>('Attainment 25+ by race &amp; gender'!XV23/'Pop 25+ by race &amp; gender'!BC22)*100</f>
        <v>19.655981235340107</v>
      </c>
      <c r="AW24" s="431">
        <f>('Attainment 25+ by race &amp; gender'!ZS23/'Pop 25+ by race &amp; gender'!DS22)*100</f>
        <v>26.842173183636596</v>
      </c>
      <c r="AX24" s="354">
        <f>('Attainment 25+ by race &amp; gender'!GR23/'Pop 25+ by race &amp; gender'!CV22)*100</f>
        <v>83.3</v>
      </c>
      <c r="AY24" s="431">
        <f>('Attainment 25+ by race &amp; gender'!HQ23/'Pop 25+ by race &amp; gender'!DU22)*100</f>
        <v>85.999807948927668</v>
      </c>
      <c r="AZ24" s="518">
        <f>('Attainment 25+ by race &amp; gender'!GS23/'Pop 25+ by race &amp; gender'!CW22)*100</f>
        <v>85.000000000000014</v>
      </c>
      <c r="BA24" s="431">
        <f>('Attainment 25+ by race &amp; gender'!HR23/'Pop 25+ by race &amp; gender'!DV22)*100</f>
        <v>88.09209658266262</v>
      </c>
      <c r="BB24" s="431">
        <f>('Attainment 25+ by race &amp; gender'!GT23/'Pop 25+ by race &amp; gender'!CY22)*100</f>
        <v>77.2</v>
      </c>
      <c r="BC24" s="431">
        <f>('Attainment 25+ by race &amp; gender'!HS23/'Pop 25+ by race &amp; gender'!DX22)*100</f>
        <v>75.129013761467888</v>
      </c>
      <c r="BD24" s="431">
        <f>('Attainment 25+ by race &amp; gender'!YW23/'Pop 25+ by race &amp; gender'!CV22)*100</f>
        <v>17.700000000000003</v>
      </c>
      <c r="BE24" s="431">
        <f>('Attainment 25+ by race &amp; gender'!ZV23/'Pop 25+ by race &amp; gender'!DU22)*100</f>
        <v>20.502279778677696</v>
      </c>
      <c r="BF24" s="431">
        <f>('Attainment 25+ by race &amp; gender'!YX23/'Pop 25+ by race &amp; gender'!CW22)*100</f>
        <v>14.6</v>
      </c>
      <c r="BG24" s="431">
        <f>('Attainment 25+ by race &amp; gender'!ZW23/'Pop 25+ by race &amp; gender'!DV22)*100</f>
        <v>19.162598407881426</v>
      </c>
      <c r="BH24" s="431">
        <f>('Attainment 25+ by race &amp; gender'!YY23/'Pop 25+ by race &amp; gender'!CY22)*100</f>
        <v>21.200000000000003</v>
      </c>
      <c r="BI24" s="431">
        <f>('Attainment 25+ by race &amp; gender'!ZX23/'Pop 25+ by race &amp; gender'!DX22)*100</f>
        <v>17.07282110091743</v>
      </c>
      <c r="BJ24" s="354">
        <f>('Attainment 25+ by race &amp; gender'!GW23/'Pop 25+ by race &amp; gender'!DA22)*100</f>
        <v>84.045125096850754</v>
      </c>
      <c r="BK24" s="431">
        <f>('Attainment 25+ by race &amp; gender'!IA23/'Pop 25+ by race &amp; gender'!EE22)*100</f>
        <v>87.065926229535506</v>
      </c>
      <c r="BL24" s="518">
        <f>('Attainment 25+ by race &amp; gender'!GX23/'Pop 25+ by race &amp; gender'!DB22)*100</f>
        <v>85.160179680985564</v>
      </c>
      <c r="BM24" s="431">
        <f>('Attainment 25+ by race &amp; gender'!IB23/'Pop 25+ by race &amp; gender'!EF22)*100</f>
        <v>90.021777003484317</v>
      </c>
      <c r="BN24" s="431">
        <f>('Attainment 25+ by race &amp; gender'!GY23/'Pop 25+ by race &amp; gender'!DD22)*100</f>
        <v>77.319587628865989</v>
      </c>
      <c r="BO24" s="431">
        <f>('Attainment 25+ by race &amp; gender'!IC23/'Pop 25+ by race &amp; gender'!EH22)*100</f>
        <v>82.016547696301103</v>
      </c>
      <c r="BP24" s="431">
        <f>('Attainment 25+ by race &amp; gender'!ZB23/'Pop 25+ by race &amp; gender'!DA22)*100</f>
        <v>18.148687570083986</v>
      </c>
      <c r="BQ24" s="431">
        <f>('Attainment 25+ by race &amp; gender'!AAF23/'Pop 25+ by race &amp; gender'!EE22)*100</f>
        <v>20.004798512461136</v>
      </c>
      <c r="BR24" s="431">
        <f>('Attainment 25+ by race &amp; gender'!ZC23/'Pop 25+ by race &amp; gender'!DB22)*100</f>
        <v>14.842510154127552</v>
      </c>
      <c r="BS24" s="431">
        <f>('Attainment 25+ by race &amp; gender'!AAG23/'Pop 25+ by race &amp; gender'!EF22)*100</f>
        <v>15.44425087108014</v>
      </c>
      <c r="BT24" s="431">
        <f>('Attainment 25+ by race &amp; gender'!ZD23/'Pop 25+ by race &amp; gender'!DD22)*100</f>
        <v>23.03560599497531</v>
      </c>
      <c r="BU24" s="431">
        <f>('Attainment 25+ by race &amp; gender'!AAH23/'Pop 25+ by race &amp; gender'!EH22)*100</f>
        <v>24.407852044127189</v>
      </c>
      <c r="BV24" s="354">
        <f>('Attainment 25+ by race &amp; gender'!HN23/'Pop 25+ by race &amp; gender'!DR22)*100</f>
        <v>65.619554467103086</v>
      </c>
      <c r="BW24" s="431">
        <f>('Attainment 25+ by race &amp; gender'!JB23/'Pop 25+ by race &amp; gender'!EQ22)*100</f>
        <v>2.8547683357573241</v>
      </c>
      <c r="BX24" s="518">
        <f>('Attainment 25+ by race &amp; gender'!HO23/'Pop 25+ by race &amp; gender'!DS22)*100</f>
        <v>123.71273712737127</v>
      </c>
      <c r="BY24" s="431">
        <f>('Attainment 25+ by race &amp; gender'!JC23/'Pop 25+ by race &amp; gender'!ER22)*100</f>
        <v>3.2681128597759819</v>
      </c>
      <c r="BZ24" s="431">
        <f>('Attainment 25+ by race &amp; gender'!HP23/'Pop 25+ by race &amp; gender'!DU22)*100</f>
        <v>91.924252408088662</v>
      </c>
      <c r="CA24" s="431">
        <f>('Attainment 25+ by race &amp; gender'!JD23/'Pop 25+ by race &amp; gender'!ET22)*100</f>
        <v>17.173502293838471</v>
      </c>
      <c r="CB24" s="431">
        <f>('Attainment 25+ by race &amp; gender'!ZS23/'Pop 25+ by race &amp; gender'!DR22)*100</f>
        <v>19.592144303678236</v>
      </c>
      <c r="CC24" s="431">
        <f>('Attainment 25+ by race &amp; gender'!ABB23/'Pop 25+ by race &amp; gender'!EQ22)*100</f>
        <v>38.961146893829209</v>
      </c>
      <c r="CD24" s="431">
        <f>('Attainment 25+ by race &amp; gender'!ZT23/'Pop 25+ by race &amp; gender'!DS22)*100</f>
        <v>65.343915343915342</v>
      </c>
      <c r="CE24" s="431">
        <f>('Attainment 25+ by race &amp; gender'!ABC23/'Pop 25+ by race &amp; gender'!ER22)*100</f>
        <v>0</v>
      </c>
      <c r="CF24" s="431">
        <f>('Attainment 25+ by race &amp; gender'!ZU23/'Pop 25+ by race &amp; gender'!DU22)*100</f>
        <v>22.247875021109063</v>
      </c>
      <c r="CG24" s="431">
        <f>('Attainment 25+ by race &amp; gender'!ABD23/'Pop 25+ by race &amp; gender'!ET22)*100</f>
        <v>6.3075395527961433</v>
      </c>
      <c r="CH24" s="354">
        <f>('Attainment 25+ by race &amp; gender'!HG23/'Pop 25+ by race &amp; gender'!DK22)*100</f>
        <v>85.057846093340331</v>
      </c>
      <c r="CI24" s="452">
        <f>('Attainment 25+ by race &amp; gender'!IK23/'Pop 25+ by race &amp; gender'!EO22)*100</f>
        <v>86.90789286449693</v>
      </c>
      <c r="CJ24" s="518">
        <f>('Attainment 25+ by race &amp; gender'!HH23/'Pop 25+ by race &amp; gender'!DL22)*100</f>
        <v>87.513028976443607</v>
      </c>
      <c r="CK24" s="431">
        <f>('Attainment 25+ by race &amp; gender'!IL23/'Pop 25+ by race &amp; gender'!EP22)*100</f>
        <v>92.144019179724296</v>
      </c>
      <c r="CL24" s="431">
        <f>('Attainment 25+ by race &amp; gender'!HI23/'Pop 25+ by race &amp; gender'!DN22)*100</f>
        <v>83.223304175606543</v>
      </c>
      <c r="CM24" s="431">
        <f>('Attainment 25+ by race &amp; gender'!IM23/'Pop 25+ by race &amp; gender'!ER22)*100</f>
        <v>86.452573373032749</v>
      </c>
      <c r="CN24" s="431">
        <f>('Attainment 25+ by race &amp; gender'!ZL23/'Pop 25+ by race &amp; gender'!DK22)*100</f>
        <v>18.869215390665968</v>
      </c>
      <c r="CO24" s="431">
        <f>('Attainment 25+ by race &amp; gender'!AAP23/'Pop 25+ by race &amp; gender'!EO22)*100</f>
        <v>20.885446573709647</v>
      </c>
      <c r="CP24" s="431">
        <f>('Attainment 25+ by race &amp; gender'!ZM23/'Pop 25+ by race &amp; gender'!DL22)*100</f>
        <v>18.238250758575962</v>
      </c>
      <c r="CQ24" s="431">
        <f>('Attainment 25+ by race &amp; gender'!AAQ23/'Pop 25+ by race &amp; gender'!EP22)*100</f>
        <v>13.746896138368012</v>
      </c>
      <c r="CR24" s="431">
        <f>('Attainment 25+ by race &amp; gender'!ZN23/'Pop 25+ by race &amp; gender'!DN22)*100</f>
        <v>22.396435055289651</v>
      </c>
      <c r="CS24" s="431">
        <f>('Attainment 25+ by race &amp; gender'!AAR23/'Pop 25+ by race &amp; gender'!ER22)*100</f>
        <v>22.543598468736707</v>
      </c>
      <c r="CT24" s="350">
        <f>IFERROR(('Attainment 25+ by race &amp; gender'!HQ23/'Pop 25+ by race &amp; gender'!DU22)*100,"-")</f>
        <v>85.999807948927668</v>
      </c>
      <c r="CU24" s="452">
        <f>IFERROR(('Attainment 25+ by race &amp; gender'!IP23/'Pop 25+ by race &amp; gender'!ET22)*100,"-")</f>
        <v>88.855438272858365</v>
      </c>
      <c r="CV24" s="350">
        <f>IFERROR(('Attainment 25+ by race &amp; gender'!HR23/'Pop 25+ by race &amp; gender'!DV22)*100,"-")</f>
        <v>88.09209658266262</v>
      </c>
      <c r="CW24" s="452">
        <f>IFERROR(('Attainment 25+ by race &amp; gender'!IQ23/'Pop 25+ by race &amp; gender'!EU22)*100, "-")</f>
        <v>90.045248868778287</v>
      </c>
      <c r="CX24" s="452">
        <f>IFERROR(('Attainment 25+ by race &amp; gender'!HS23/'Pop 25+ by race &amp; gender'!DX22)*100, "-")</f>
        <v>75.129013761467888</v>
      </c>
      <c r="CY24" s="452">
        <f>IFERROR(('Attainment 25+ by race &amp; gender'!IR23/'Pop 25+ by race &amp; gender'!EW22)*100, "-")</f>
        <v>83.142741826987759</v>
      </c>
      <c r="CZ24" s="452">
        <f>IFERROR(('Attainment 25+ by race &amp; gender'!HU23/'Pop 25+ by race &amp; gender'!DY22)*100, "-")</f>
        <v>96.901585967860512</v>
      </c>
      <c r="DA24" s="452">
        <f>IFERROR(('Attainment 25+ by race &amp; gender'!IT23/'Pop 25+ by race &amp; gender'!EX22)*100, "-")</f>
        <v>89.329209356272955</v>
      </c>
      <c r="DB24" s="452" t="str">
        <f>IFERROR(('Attainment 25+ by race &amp; gender'!HV23/'Pop 25+ by race &amp; gender'!DZ22)*100, "-")</f>
        <v>-</v>
      </c>
      <c r="DC24" s="452" t="str">
        <f>IFERROR(('Attainment 25+ by race &amp; gender'!IU23/'Pop 25+ by race &amp; gender'!EY22)*100, "-")</f>
        <v>-</v>
      </c>
      <c r="DD24" s="452" t="str">
        <f>IFERROR(('Attainment 25+ by race &amp; gender'!HW23/'Pop 25+ by race &amp; gender'!EA22)*100, "-")</f>
        <v>-</v>
      </c>
      <c r="DE24" s="452" t="str">
        <f>IFERROR(('Attainment 25+ by race &amp; gender'!IV23/'Pop 25+ by race &amp; gender'!EZ22)*100, "-")</f>
        <v>-</v>
      </c>
      <c r="DF24" s="452">
        <f>IFERROR(('Attainment 25+ by race &amp; gender'!HX23/'Pop 25+ by race &amp; gender'!EB22)*100, "-")</f>
        <v>84.693259496409098</v>
      </c>
      <c r="DG24" s="452">
        <f>IFERROR(('Attainment 25+ by race &amp; gender'!IW23/'Pop 25+ by race &amp; gender'!FA22)*100, "-")</f>
        <v>89.253664036076657</v>
      </c>
      <c r="DH24" s="452">
        <f>IFERROR(('Attainment 25+ by race &amp; gender'!HY23/'Pop 25+ by race &amp; gender'!EC22)*100, "-")</f>
        <v>77.690176859151933</v>
      </c>
      <c r="DI24" s="452">
        <f>IFERROR(('Attainment 25+ by race &amp; gender'!IX23/'Pop 25+ by race &amp; gender'!FB22)*100, "-")</f>
        <v>0</v>
      </c>
      <c r="DJ24" s="452">
        <f>IFERROR(('Attainment 25+ by race &amp; gender'!ZV23/'Pop 25+ by race &amp; gender'!DU22)*100, "-")</f>
        <v>20.502279778677696</v>
      </c>
      <c r="DK24" s="452">
        <f>IFERROR(('Attainment 25+ by race &amp; gender'!AAU23/'Pop 25+ by race &amp; gender'!ET22)*100, "-")</f>
        <v>24.251017858556377</v>
      </c>
      <c r="DL24" s="452">
        <f>IFERROR(('Attainment 25+ by race &amp; gender'!ZW23/'Pop 25+ by race &amp; gender'!DV22)*100, "-")</f>
        <v>19.162598407881426</v>
      </c>
      <c r="DM24" s="452">
        <f>IFERROR(('Attainment 25+ by race &amp; gender'!AAV23/'Pop 25+ by race &amp; gender'!EU22)*100, "-")</f>
        <v>15.427202555230238</v>
      </c>
      <c r="DN24" s="452">
        <f>IFERROR(('Attainment 25+ by race &amp; gender'!ZX23/'Pop 25+ by race &amp; gender'!DX22)*100, "-")</f>
        <v>17.07282110091743</v>
      </c>
      <c r="DO24" s="452">
        <f>IFERROR(('Attainment 25+ by race &amp; gender'!AAW23/'Pop 25+ by race &amp; gender'!EW22)*100, "-")</f>
        <v>23.974169245257634</v>
      </c>
      <c r="DP24" s="452">
        <f>IFERROR(('Attainment 25+ by race &amp; gender'!ZZ23/'Pop 25+ by race &amp; gender'!DY22)*100, "-")</f>
        <v>66.978258586282962</v>
      </c>
      <c r="DQ24" s="452">
        <f>IFERROR(('Attainment 25+ by race &amp; gender'!AAY23/'Pop 25+ by race &amp; gender'!EX22)*100, "-")</f>
        <v>61.415039628842059</v>
      </c>
      <c r="DR24" s="452" t="str">
        <f>IFERROR(('Attainment 25+ by race &amp; gender'!AAA23/'Pop 25+ by race &amp; gender'!DZ22)*100, "-")</f>
        <v>-</v>
      </c>
      <c r="DS24" s="452" t="str">
        <f>IFERROR(('Attainment 25+ by race &amp; gender'!AAZ23/'Pop 25+ by race &amp; gender'!EY22)*100, "-")</f>
        <v>-</v>
      </c>
      <c r="DT24" s="452" t="str">
        <f>IFERROR(('Attainment 25+ by race &amp; gender'!AAB23/'Pop 25+ by race &amp; gender'!EA22)*100, "-")</f>
        <v>-</v>
      </c>
      <c r="DU24" s="452" t="str">
        <f>IFERROR(('Attainment 25+ by race &amp; gender'!ABA23/'Pop 25+ by race &amp; gender'!EZ22)*100, "-")</f>
        <v>-</v>
      </c>
      <c r="DV24" s="452">
        <f>IFERROR(('Attainment 25+ by race &amp; gender'!AAC23/'Pop 25+ by race &amp; gender'!EB22)*100, "-")</f>
        <v>24.824781517694902</v>
      </c>
      <c r="DW24" s="452">
        <f>IFERROR(('Attainment 25+ by race &amp; gender'!ABB23/'Pop 25+ by race &amp; gender'!FA22)*100, "-")</f>
        <v>21.140924464487036</v>
      </c>
      <c r="DX24" s="452">
        <f>IFERROR(('Attainment 25+ by race &amp; gender'!AAD23/'Pop 25+ by race &amp; gender'!EC22)*100, "-")</f>
        <v>24.56850628595781</v>
      </c>
      <c r="DY24" s="452">
        <f>IFERROR(('Attainment 25+ by race &amp; gender'!ABC23/'Pop 25+ by race &amp; gender'!FB22)*100, "-")</f>
        <v>0</v>
      </c>
    </row>
    <row r="25" spans="1:129">
      <c r="A25" s="141" t="s">
        <v>24</v>
      </c>
      <c r="B25" s="351">
        <f>('Attainment 25+ by race &amp; gender'!FS24/'Pop 25+ by race &amp; gender'!AT23)*100</f>
        <v>85.586409945913047</v>
      </c>
      <c r="C25" s="447">
        <f>('Attainment 25+ by race &amp; gender'!GR24/'Pop 25+ by race &amp; gender'!CV23)*100</f>
        <v>87.093901050742701</v>
      </c>
      <c r="D25" s="352">
        <f>('Attainment 25+ by race &amp; gender'!FT24/'Pop 25+ by race &amp; gender'!AZ23)*100</f>
        <v>81.076930465599133</v>
      </c>
      <c r="E25" s="351">
        <f>('Attainment 25+ by race &amp; gender'!GS24/'Pop 25+ by race &amp; gender'!CW23)*100</f>
        <v>87.74883843512626</v>
      </c>
      <c r="F25" s="352">
        <f>('Attainment 25+ by race &amp; gender'!FU24/'Pop 25+ by race &amp; gender'!BC23)*100</f>
        <v>48.119530901142973</v>
      </c>
      <c r="G25" s="351">
        <f>('Attainment 25+ by race &amp; gender'!GT24/'Pop 25+ by race &amp; gender'!CY23)*100</f>
        <v>59.685910880283565</v>
      </c>
      <c r="H25" s="352">
        <f>('Attainment 25+ by race &amp; gender'!XM24/'Pop 25+ by race &amp; gender'!AT23)*100</f>
        <v>28.62246386688259</v>
      </c>
      <c r="I25" s="351">
        <f>('Attainment 25+ by race &amp; gender'!YW24/'Pop 25+ by race &amp; gender'!CV23)*100</f>
        <v>30.728390386524513</v>
      </c>
      <c r="J25" s="352">
        <f>('Attainment 25+ by race &amp; gender'!XS24/'Pop 25+ by race &amp; gender'!AZ23)*100</f>
        <v>17.397337997478054</v>
      </c>
      <c r="K25" s="351">
        <f>('Attainment 25+ by race &amp; gender'!YX24/'Pop 25+ by race &amp; gender'!CW23)*100</f>
        <v>21.411595386523238</v>
      </c>
      <c r="L25" s="352">
        <f>('Attainment 25+ by race &amp; gender'!XV24/'Pop 25+ by race &amp; gender'!BC23)*100</f>
        <v>8.2284232543929061</v>
      </c>
      <c r="M25" s="436">
        <f>('Attainment 25+ by race &amp; gender'!YY24/'Pop 25+ by race &amp; gender'!CY23)*100</f>
        <v>10.70776267478846</v>
      </c>
      <c r="N25" s="351">
        <f>('Attainment 25+ by race &amp; gender'!FS24/'Pop 25+ by race &amp; gender'!AT23)*100</f>
        <v>85.586409945913047</v>
      </c>
      <c r="O25" s="447">
        <f>('Attainment 25+ by race &amp; gender'!GW24/'Pop 25+ by race &amp; gender'!DA23)*100</f>
        <v>93.812875204961813</v>
      </c>
      <c r="P25" s="352">
        <f>('Attainment 25+ by race &amp; gender'!FT24/'Pop 25+ by race &amp; gender'!AZ23)*100</f>
        <v>81.076930465599133</v>
      </c>
      <c r="Q25" s="351">
        <f>('Attainment 25+ by race &amp; gender'!GX24/'Pop 25+ by race &amp; gender'!DB23)*100</f>
        <v>87.980084215851122</v>
      </c>
      <c r="R25" s="352">
        <f>('Attainment 25+ by race &amp; gender'!FU24/'Pop 25+ by race &amp; gender'!BC23)*100</f>
        <v>48.119530901142973</v>
      </c>
      <c r="S25" s="351">
        <f>('Attainment 25+ by race &amp; gender'!GY24/'Pop 25+ by race &amp; gender'!DD23)*100</f>
        <v>60.61540600446552</v>
      </c>
      <c r="T25" s="352">
        <f>('Attainment 25+ by race &amp; gender'!XM24/'Pop 25+ by race &amp; gender'!AT23)*100</f>
        <v>28.62246386688259</v>
      </c>
      <c r="U25" s="351">
        <f>('Attainment 25+ by race &amp; gender'!ZB24/'Pop 25+ by race &amp; gender'!DA23)*100</f>
        <v>35.866260561549531</v>
      </c>
      <c r="V25" s="352">
        <f>('Attainment 25+ by race &amp; gender'!XS24/'Pop 25+ by race &amp; gender'!AZ23)*100</f>
        <v>17.397337997478054</v>
      </c>
      <c r="W25" s="351">
        <f>('Attainment 25+ by race &amp; gender'!ZC24/'Pop 25+ by race &amp; gender'!DB23)*100</f>
        <v>21.573590508620651</v>
      </c>
      <c r="X25" s="352">
        <f>('Attainment 25+ by race &amp; gender'!XV24/'Pop 25+ by race &amp; gender'!BC23)*100</f>
        <v>8.2284232543929061</v>
      </c>
      <c r="Y25" s="436">
        <f>('Attainment 25+ by race &amp; gender'!ZD24/'Pop 25+ by race &amp; gender'!DD23)*100</f>
        <v>10.980990770096765</v>
      </c>
      <c r="Z25" s="351">
        <f>('Attainment 25+ by race &amp; gender'!FS24/'Pop 25+ by race &amp; gender'!AT23)*100</f>
        <v>85.586409945913047</v>
      </c>
      <c r="AA25" s="447">
        <f>('Attainment 25+ by race &amp; gender'!HB24/'Pop 25+ by race &amp; gender'!DF23)*100</f>
        <v>94.038840397099662</v>
      </c>
      <c r="AB25" s="352">
        <f>('Attainment 25+ by race &amp; gender'!FT24/'Pop 25+ by race &amp; gender'!AZ23)*100</f>
        <v>81.076930465599133</v>
      </c>
      <c r="AC25" s="351">
        <f>('Attainment 25+ by race &amp; gender'!HC24/'Pop 25+ by race &amp; gender'!DG23)*100</f>
        <v>88.047372570243581</v>
      </c>
      <c r="AD25" s="352">
        <f>('Attainment 25+ by race &amp; gender'!FU24/'Pop 25+ by race &amp; gender'!BC23)*100</f>
        <v>48.119530901142973</v>
      </c>
      <c r="AE25" s="351">
        <f>('Attainment 25+ by race &amp; gender'!HD24/'Pop 25+ by race &amp; gender'!DI23)*100</f>
        <v>61.488964512694565</v>
      </c>
      <c r="AF25" s="352">
        <f>('Attainment 25+ by race &amp; gender'!XM24/'Pop 25+ by race &amp; gender'!AT23)*100</f>
        <v>28.62246386688259</v>
      </c>
      <c r="AG25" s="351">
        <f>('Attainment 25+ by race &amp; gender'!ZG24/'Pop 25+ by race &amp; gender'!DF23)*100</f>
        <v>36.446485325866931</v>
      </c>
      <c r="AH25" s="352">
        <f>('Attainment 25+ by race &amp; gender'!XS24/'Pop 25+ by race &amp; gender'!AZ23)*100</f>
        <v>17.397337997478054</v>
      </c>
      <c r="AI25" s="351">
        <f>('Attainment 25+ by race &amp; gender'!ZH24/'Pop 25+ by race &amp; gender'!DG23)*100</f>
        <v>21.725360036780287</v>
      </c>
      <c r="AJ25" s="352">
        <f>('Attainment 25+ by race &amp; gender'!XV24/'Pop 25+ by race &amp; gender'!BC23)*100</f>
        <v>8.2284232543929061</v>
      </c>
      <c r="AK25" s="453">
        <f>('Attainment 25+ by race &amp; gender'!ZI24/'Pop 25+ by race &amp; gender'!DI23)*100</f>
        <v>11.261139451894332</v>
      </c>
      <c r="AL25" s="352">
        <f>('Attainment 25+ by race &amp; gender'!FS24/'Pop 25+ by race &amp; gender'!AT23)*100</f>
        <v>85.586409945913047</v>
      </c>
      <c r="AM25" s="453">
        <f>('Attainment 25+ by race &amp; gender'!HL24/'Pop 25+ by race &amp; gender'!DP23)*100</f>
        <v>94.499602104805064</v>
      </c>
      <c r="AN25" s="352">
        <v>81.076930465599133</v>
      </c>
      <c r="AO25" s="453">
        <f>('Attainment 25+ by race &amp; gender'!HM24/'Pop 25+ by race &amp; gender'!DQ23)*100</f>
        <v>89.149578486728203</v>
      </c>
      <c r="AP25" s="453">
        <f>('Attainment 25+ by race &amp; gender'!FU24/'Pop 25+ by race &amp; gender'!BC23)*100</f>
        <v>48.119530901142973</v>
      </c>
      <c r="AQ25" s="453">
        <f>('Attainment 25+ by race &amp; gender'!HN24/'Pop 25+ by race &amp; gender'!DS23)*100</f>
        <v>63.622422763697003</v>
      </c>
      <c r="AR25" s="453">
        <f>('Attainment 25+ by race &amp; gender'!XM24/'Pop 25+ by race &amp; gender'!AT23)*100</f>
        <v>28.62246386688259</v>
      </c>
      <c r="AS25" s="453">
        <f>('Attainment 25+ by race &amp; gender'!ZQ24/'Pop 25+ by race &amp; gender'!DP23)*100</f>
        <v>38.248470841052203</v>
      </c>
      <c r="AT25" s="453">
        <f>('Attainment 25+ by race &amp; gender'!XS24/'Pop 25+ by race &amp; gender'!AZ23)*100</f>
        <v>17.397337997478054</v>
      </c>
      <c r="AU25" s="453">
        <f>('Attainment 25+ by race &amp; gender'!ZR24/'Pop 25+ by race &amp; gender'!DQ23)*100</f>
        <v>23.805625396935874</v>
      </c>
      <c r="AV25" s="453">
        <f>('Attainment 25+ by race &amp; gender'!XV24/'Pop 25+ by race &amp; gender'!BC23)*100</f>
        <v>8.2284232543929061</v>
      </c>
      <c r="AW25" s="453">
        <f>('Attainment 25+ by race &amp; gender'!ZS24/'Pop 25+ by race &amp; gender'!DS23)*100</f>
        <v>12.124864583313338</v>
      </c>
      <c r="AX25" s="352">
        <f>('Attainment 25+ by race &amp; gender'!GR24/'Pop 25+ by race &amp; gender'!CV23)*100</f>
        <v>87.093901050742701</v>
      </c>
      <c r="AY25" s="453">
        <f>('Attainment 25+ by race &amp; gender'!HQ24/'Pop 25+ by race &amp; gender'!DU23)*100</f>
        <v>94.605520542501651</v>
      </c>
      <c r="AZ25" s="352">
        <f>('Attainment 25+ by race &amp; gender'!GS24/'Pop 25+ by race &amp; gender'!CW23)*100</f>
        <v>87.74883843512626</v>
      </c>
      <c r="BA25" s="453">
        <f>('Attainment 25+ by race &amp; gender'!HR24/'Pop 25+ by race &amp; gender'!DV23)*100</f>
        <v>89.088511734325067</v>
      </c>
      <c r="BB25" s="453">
        <f>('Attainment 25+ by race &amp; gender'!GT24/'Pop 25+ by race &amp; gender'!CY23)*100</f>
        <v>59.685910880283565</v>
      </c>
      <c r="BC25" s="453">
        <f>('Attainment 25+ by race &amp; gender'!HS24/'Pop 25+ by race &amp; gender'!DX23)*100</f>
        <v>64.731132911376505</v>
      </c>
      <c r="BD25" s="453">
        <f>('Attainment 25+ by race &amp; gender'!YW24/'Pop 25+ by race &amp; gender'!CV23)*100</f>
        <v>30.728390386524513</v>
      </c>
      <c r="BE25" s="453">
        <f>('Attainment 25+ by race &amp; gender'!ZV24/'Pop 25+ by race &amp; gender'!DU23)*100</f>
        <v>39.062317746351454</v>
      </c>
      <c r="BF25" s="453">
        <f>('Attainment 25+ by race &amp; gender'!YX24/'Pop 25+ by race &amp; gender'!CW23)*100</f>
        <v>21.411595386523238</v>
      </c>
      <c r="BG25" s="453">
        <f>('Attainment 25+ by race &amp; gender'!ZW24/'Pop 25+ by race &amp; gender'!DV23)*100</f>
        <v>23.828827796059677</v>
      </c>
      <c r="BH25" s="453">
        <f>('Attainment 25+ by race &amp; gender'!YY24/'Pop 25+ by race &amp; gender'!CY23)*100</f>
        <v>10.70776267478846</v>
      </c>
      <c r="BI25" s="453">
        <f>('Attainment 25+ by race &amp; gender'!ZX24/'Pop 25+ by race &amp; gender'!DX23)*100</f>
        <v>12.623309889424853</v>
      </c>
      <c r="BJ25" s="352">
        <f>('Attainment 25+ by race &amp; gender'!GW24/'Pop 25+ by race &amp; gender'!DA23)*100</f>
        <v>93.812875204961813</v>
      </c>
      <c r="BK25" s="453">
        <f>('Attainment 25+ by race &amp; gender'!IA24/'Pop 25+ by race &amp; gender'!EE23)*100</f>
        <v>94.941592253743991</v>
      </c>
      <c r="BL25" s="352">
        <f>('Attainment 25+ by race &amp; gender'!GX24/'Pop 25+ by race &amp; gender'!DB23)*100</f>
        <v>87.980084215851122</v>
      </c>
      <c r="BM25" s="453">
        <f>('Attainment 25+ by race &amp; gender'!IB24/'Pop 25+ by race &amp; gender'!EF23)*100</f>
        <v>89.7789892192948</v>
      </c>
      <c r="BN25" s="453">
        <f>('Attainment 25+ by race &amp; gender'!GY24/'Pop 25+ by race &amp; gender'!DD23)*100</f>
        <v>60.61540600446552</v>
      </c>
      <c r="BO25" s="453">
        <f>('Attainment 25+ by race &amp; gender'!IC24/'Pop 25+ by race &amp; gender'!EH23)*100</f>
        <v>66.698958395315444</v>
      </c>
      <c r="BP25" s="453">
        <f>('Attainment 25+ by race &amp; gender'!ZB24/'Pop 25+ by race &amp; gender'!DA23)*100</f>
        <v>35.866260561549531</v>
      </c>
      <c r="BQ25" s="453">
        <f>('Attainment 25+ by race &amp; gender'!AAF24/'Pop 25+ by race &amp; gender'!EE23)*100</f>
        <v>39.834307870562135</v>
      </c>
      <c r="BR25" s="453">
        <f>('Attainment 25+ by race &amp; gender'!ZC24/'Pop 25+ by race &amp; gender'!DB23)*100</f>
        <v>21.573590508620651</v>
      </c>
      <c r="BS25" s="453">
        <f>('Attainment 25+ by race &amp; gender'!AAG24/'Pop 25+ by race &amp; gender'!EF23)*100</f>
        <v>25.211503353950327</v>
      </c>
      <c r="BT25" s="453">
        <f>('Attainment 25+ by race &amp; gender'!ZD24/'Pop 25+ by race &amp; gender'!DD23)*100</f>
        <v>10.980990770096765</v>
      </c>
      <c r="BU25" s="453">
        <f>('Attainment 25+ by race &amp; gender'!AAH24/'Pop 25+ by race &amp; gender'!EH23)*100</f>
        <v>13.444687541480338</v>
      </c>
      <c r="BV25" s="352">
        <f>('Attainment 25+ by race &amp; gender'!HN24/'Pop 25+ by race &amp; gender'!DR23)*100</f>
        <v>65.492363643549425</v>
      </c>
      <c r="BW25" s="453">
        <f>('Attainment 25+ by race &amp; gender'!JB24/'Pop 25+ by race &amp; gender'!EQ23)*100</f>
        <v>0</v>
      </c>
      <c r="BX25" s="352">
        <f>('Attainment 25+ by race &amp; gender'!HO24/'Pop 25+ by race &amp; gender'!DS23)*100</f>
        <v>75.183888341783074</v>
      </c>
      <c r="BY25" s="453">
        <f>('Attainment 25+ by race &amp; gender'!JC24/'Pop 25+ by race &amp; gender'!ER23)*100</f>
        <v>0</v>
      </c>
      <c r="BZ25" s="453">
        <f>('Attainment 25+ by race &amp; gender'!HP24/'Pop 25+ by race &amp; gender'!DU23)*100</f>
        <v>154.08399776373301</v>
      </c>
      <c r="CA25" s="453">
        <f>('Attainment 25+ by race &amp; gender'!JD24/'Pop 25+ by race &amp; gender'!ET23)*100</f>
        <v>36.488212087407959</v>
      </c>
      <c r="CB25" s="453">
        <f>('Attainment 25+ by race &amp; gender'!ZS24/'Pop 25+ by race &amp; gender'!DR23)*100</f>
        <v>12.481229194438292</v>
      </c>
      <c r="CC25" s="453">
        <f>('Attainment 25+ by race &amp; gender'!ABB24/'Pop 25+ by race &amp; gender'!EQ23)*100</f>
        <v>14.242999189157333</v>
      </c>
      <c r="CD25" s="453">
        <f>('Attainment 25+ by race &amp; gender'!ZT24/'Pop 25+ by race &amp; gender'!DS23)*100</f>
        <v>29.213466609588494</v>
      </c>
      <c r="CE25" s="453">
        <f>('Attainment 25+ by race &amp; gender'!ABC24/'Pop 25+ by race &amp; gender'!ER23)*100</f>
        <v>6.1837614375595642</v>
      </c>
      <c r="CF25" s="453">
        <f>('Attainment 25+ by race &amp; gender'!ZU24/'Pop 25+ by race &amp; gender'!DU23)*100</f>
        <v>58.253237243496336</v>
      </c>
      <c r="CG25" s="453">
        <f>('Attainment 25+ by race &amp; gender'!ABD24/'Pop 25+ by race &amp; gender'!ET23)*100</f>
        <v>13.043285366357452</v>
      </c>
      <c r="CH25" s="352">
        <f>('Attainment 25+ by race &amp; gender'!HG24/'Pop 25+ by race &amp; gender'!DK23)*100</f>
        <v>94.357113302671664</v>
      </c>
      <c r="CI25" s="452">
        <f>('Attainment 25+ by race &amp; gender'!IK24/'Pop 25+ by race &amp; gender'!EO23)*100</f>
        <v>95.260131523462348</v>
      </c>
      <c r="CJ25" s="352">
        <f>('Attainment 25+ by race &amp; gender'!HH24/'Pop 25+ by race &amp; gender'!DL23)*100</f>
        <v>88.928362761755238</v>
      </c>
      <c r="CK25" s="453">
        <f>('Attainment 25+ by race &amp; gender'!IL24/'Pop 25+ by race &amp; gender'!EP23)*100</f>
        <v>90.554940683280634</v>
      </c>
      <c r="CL25" s="453">
        <f>('Attainment 25+ by race &amp; gender'!HI24/'Pop 25+ by race &amp; gender'!DN23)*100</f>
        <v>62.970732205267495</v>
      </c>
      <c r="CM25" s="453">
        <f>('Attainment 25+ by race &amp; gender'!IM24/'Pop 25+ by race &amp; gender'!ER23)*100</f>
        <v>68.442329996532436</v>
      </c>
      <c r="CN25" s="453">
        <f>('Attainment 25+ by race &amp; gender'!ZL24/'Pop 25+ by race &amp; gender'!DK23)*100</f>
        <v>37.518606090515831</v>
      </c>
      <c r="CO25" s="453">
        <f>('Attainment 25+ by race &amp; gender'!AAP24/'Pop 25+ by race &amp; gender'!EO23)*100</f>
        <v>40.969658834110447</v>
      </c>
      <c r="CP25" s="453">
        <f>('Attainment 25+ by race &amp; gender'!ZM24/'Pop 25+ by race &amp; gender'!DL23)*100</f>
        <v>22.312595436264704</v>
      </c>
      <c r="CQ25" s="453">
        <f>('Attainment 25+ by race &amp; gender'!AAQ24/'Pop 25+ by race &amp; gender'!EP23)*100</f>
        <v>26.303128610574113</v>
      </c>
      <c r="CR25" s="453">
        <f>('Attainment 25+ by race &amp; gender'!ZN24/'Pop 25+ by race &amp; gender'!DN23)*100</f>
        <v>11.756718329812635</v>
      </c>
      <c r="CS25" s="453">
        <f>('Attainment 25+ by race &amp; gender'!AAR24/'Pop 25+ by race &amp; gender'!ER23)*100</f>
        <v>14.750190818757503</v>
      </c>
      <c r="CT25" s="350">
        <f>IFERROR(('Attainment 25+ by race &amp; gender'!HQ24/'Pop 25+ by race &amp; gender'!DU23)*100,"-")</f>
        <v>94.605520542501651</v>
      </c>
      <c r="CU25" s="452">
        <f>IFERROR(('Attainment 25+ by race &amp; gender'!IP24/'Pop 25+ by race &amp; gender'!ET23)*100,"-")</f>
        <v>95.56410112049241</v>
      </c>
      <c r="CV25" s="350">
        <f>IFERROR(('Attainment 25+ by race &amp; gender'!HR24/'Pop 25+ by race &amp; gender'!DV23)*100,"-")</f>
        <v>89.088511734325067</v>
      </c>
      <c r="CW25" s="452">
        <f>IFERROR(('Attainment 25+ by race &amp; gender'!IQ24/'Pop 25+ by race &amp; gender'!EU23)*100, "-")</f>
        <v>90.871074634401609</v>
      </c>
      <c r="CX25" s="452">
        <f>IFERROR(('Attainment 25+ by race &amp; gender'!HS24/'Pop 25+ by race &amp; gender'!DX23)*100, "-")</f>
        <v>64.731132911376505</v>
      </c>
      <c r="CY25" s="452">
        <f>IFERROR(('Attainment 25+ by race &amp; gender'!IR24/'Pop 25+ by race &amp; gender'!EW23)*100, "-")</f>
        <v>70.363025048360413</v>
      </c>
      <c r="CZ25" s="452">
        <f>IFERROR(('Attainment 25+ by race &amp; gender'!HU24/'Pop 25+ by race &amp; gender'!DY23)*100, "-")</f>
        <v>87.261887858694578</v>
      </c>
      <c r="DA25" s="452">
        <f>IFERROR(('Attainment 25+ by race &amp; gender'!IT24/'Pop 25+ by race &amp; gender'!EX23)*100, "-")</f>
        <v>88.867301880455329</v>
      </c>
      <c r="DB25" s="452">
        <f>IFERROR(('Attainment 25+ by race &amp; gender'!HV24/'Pop 25+ by race &amp; gender'!DZ23)*100, "-")</f>
        <v>87.169006052355641</v>
      </c>
      <c r="DC25" s="452">
        <f>IFERROR(('Attainment 25+ by race &amp; gender'!IU24/'Pop 25+ by race &amp; gender'!EY23)*100, "-")</f>
        <v>86.922127291993803</v>
      </c>
      <c r="DD25" s="452">
        <f>IFERROR(('Attainment 25+ by race &amp; gender'!HW24/'Pop 25+ by race &amp; gender'!EA23)*100, "-")</f>
        <v>80.175282441122221</v>
      </c>
      <c r="DE25" s="452">
        <f>IFERROR(('Attainment 25+ by race &amp; gender'!IV24/'Pop 25+ by race &amp; gender'!EZ23)*100, "-")</f>
        <v>77.690614494178178</v>
      </c>
      <c r="DF25" s="452">
        <f>IFERROR(('Attainment 25+ by race &amp; gender'!HX24/'Pop 25+ by race &amp; gender'!EB23)*100, "-")</f>
        <v>88.064111639683702</v>
      </c>
      <c r="DG25" s="452">
        <f>IFERROR(('Attainment 25+ by race &amp; gender'!IW24/'Pop 25+ by race &amp; gender'!FA23)*100, "-")</f>
        <v>79.014830462467685</v>
      </c>
      <c r="DH25" s="452">
        <f>IFERROR(('Attainment 25+ by race &amp; gender'!HY24/'Pop 25+ by race &amp; gender'!EC23)*100, "-")</f>
        <v>59.273526301309587</v>
      </c>
      <c r="DI25" s="452">
        <f>IFERROR(('Attainment 25+ by race &amp; gender'!IX24/'Pop 25+ by race &amp; gender'!FB23)*100, "-")</f>
        <v>65.47923343522784</v>
      </c>
      <c r="DJ25" s="452">
        <f>IFERROR(('Attainment 25+ by race &amp; gender'!ZV24/'Pop 25+ by race &amp; gender'!DU23)*100, "-")</f>
        <v>39.062317746351454</v>
      </c>
      <c r="DK25" s="452">
        <f>IFERROR(('Attainment 25+ by race &amp; gender'!AAU24/'Pop 25+ by race &amp; gender'!ET23)*100, "-")</f>
        <v>42.828360185142593</v>
      </c>
      <c r="DL25" s="452">
        <f>IFERROR(('Attainment 25+ by race &amp; gender'!ZW24/'Pop 25+ by race &amp; gender'!DV23)*100, "-")</f>
        <v>23.828827796059677</v>
      </c>
      <c r="DM25" s="452">
        <f>IFERROR(('Attainment 25+ by race &amp; gender'!AAV24/'Pop 25+ by race &amp; gender'!EU23)*100, "-")</f>
        <v>27.994588123966569</v>
      </c>
      <c r="DN25" s="452">
        <f>IFERROR(('Attainment 25+ by race &amp; gender'!ZX24/'Pop 25+ by race &amp; gender'!DX23)*100, "-")</f>
        <v>12.623309889424853</v>
      </c>
      <c r="DO25" s="452">
        <f>IFERROR(('Attainment 25+ by race &amp; gender'!AAW24/'Pop 25+ by race &amp; gender'!EW23)*100, "-")</f>
        <v>16.717343099283543</v>
      </c>
      <c r="DP25" s="452">
        <f>IFERROR(('Attainment 25+ by race &amp; gender'!ZZ24/'Pop 25+ by race &amp; gender'!DY23)*100, "-")</f>
        <v>49.851037924718511</v>
      </c>
      <c r="DQ25" s="452">
        <f>IFERROR(('Attainment 25+ by race &amp; gender'!AAY24/'Pop 25+ by race &amp; gender'!EX23)*100, "-")</f>
        <v>53.492789991239007</v>
      </c>
      <c r="DR25" s="452">
        <f>IFERROR(('Attainment 25+ by race &amp; gender'!AAA24/'Pop 25+ by race &amp; gender'!DZ23)*100, "-")</f>
        <v>11.561654923747678</v>
      </c>
      <c r="DS25" s="452">
        <f>IFERROR(('Attainment 25+ by race &amp; gender'!AAZ24/'Pop 25+ by race &amp; gender'!EY23)*100, "-")</f>
        <v>15.935804938781079</v>
      </c>
      <c r="DT25" s="452">
        <f>IFERROR(('Attainment 25+ by race &amp; gender'!AAB24/'Pop 25+ by race &amp; gender'!EA23)*100, "-")</f>
        <v>12.251232906609379</v>
      </c>
      <c r="DU25" s="452">
        <f>IFERROR(('Attainment 25+ by race &amp; gender'!ABA24/'Pop 25+ by race &amp; gender'!EZ23)*100, "-")</f>
        <v>14.296021708328322</v>
      </c>
      <c r="DV25" s="452">
        <f>IFERROR(('Attainment 25+ by race &amp; gender'!AAC24/'Pop 25+ by race &amp; gender'!EB23)*100, "-")</f>
        <v>30.069907683684345</v>
      </c>
      <c r="DW25" s="452">
        <f>IFERROR(('Attainment 25+ by race &amp; gender'!ABB24/'Pop 25+ by race &amp; gender'!FA23)*100, "-")</f>
        <v>25.189110210418136</v>
      </c>
      <c r="DX25" s="452">
        <f>IFERROR(('Attainment 25+ by race &amp; gender'!AAD24/'Pop 25+ by race &amp; gender'!EC23)*100, "-")</f>
        <v>9.3961095899569802</v>
      </c>
      <c r="DY25" s="452">
        <f>IFERROR(('Attainment 25+ by race &amp; gender'!ABC24/'Pop 25+ by race &amp; gender'!FB23)*100, "-")</f>
        <v>13.235157516829569</v>
      </c>
    </row>
    <row r="26" spans="1:129">
      <c r="A26" s="141"/>
      <c r="B26" s="351"/>
      <c r="C26" s="445"/>
      <c r="D26" s="352"/>
      <c r="E26" s="351"/>
      <c r="F26" s="352"/>
      <c r="G26" s="351"/>
      <c r="H26" s="352"/>
      <c r="I26" s="351"/>
      <c r="J26" s="352"/>
      <c r="K26" s="351"/>
      <c r="L26" s="352"/>
      <c r="M26" s="437"/>
      <c r="N26" s="351"/>
      <c r="O26" s="445"/>
      <c r="P26" s="352"/>
      <c r="Q26" s="351"/>
      <c r="R26" s="352"/>
      <c r="S26" s="351"/>
      <c r="T26" s="352"/>
      <c r="U26" s="351"/>
      <c r="V26" s="352"/>
      <c r="W26" s="351"/>
      <c r="X26" s="352"/>
      <c r="Y26" s="437"/>
      <c r="Z26" s="351"/>
      <c r="AA26" s="445"/>
      <c r="AB26" s="352"/>
      <c r="AC26" s="351"/>
      <c r="AD26" s="352"/>
      <c r="AE26" s="351"/>
      <c r="AF26" s="352"/>
      <c r="AG26" s="351"/>
      <c r="AH26" s="352"/>
      <c r="AI26" s="351"/>
      <c r="AJ26" s="352"/>
      <c r="AK26" s="453"/>
      <c r="AL26" s="352"/>
      <c r="AM26" s="453"/>
      <c r="AN26" s="352"/>
      <c r="AO26" s="453"/>
      <c r="AP26" s="453"/>
      <c r="AQ26" s="453"/>
      <c r="AR26" s="453"/>
      <c r="AS26" s="453"/>
      <c r="AT26" s="453"/>
      <c r="AU26" s="453"/>
      <c r="AV26" s="453"/>
      <c r="AW26" s="453"/>
      <c r="AX26" s="352"/>
      <c r="AY26" s="453"/>
      <c r="AZ26" s="352"/>
      <c r="BA26" s="453"/>
      <c r="BB26" s="453"/>
      <c r="BC26" s="453"/>
      <c r="BD26" s="453"/>
      <c r="BE26" s="453"/>
      <c r="BF26" s="453"/>
      <c r="BG26" s="453"/>
      <c r="BH26" s="453"/>
      <c r="BI26" s="453"/>
      <c r="BJ26" s="352"/>
      <c r="BK26" s="453"/>
      <c r="BL26" s="352"/>
      <c r="BM26" s="453"/>
      <c r="BN26" s="453"/>
      <c r="BO26" s="453"/>
      <c r="BP26" s="453"/>
      <c r="BQ26" s="453"/>
      <c r="BR26" s="453"/>
      <c r="BS26" s="453"/>
      <c r="BT26" s="453"/>
      <c r="BU26" s="453"/>
      <c r="BV26" s="352"/>
      <c r="BW26" s="453"/>
      <c r="BX26" s="352"/>
      <c r="BY26" s="453"/>
      <c r="BZ26" s="453"/>
      <c r="CA26" s="453"/>
      <c r="CB26" s="453"/>
      <c r="CC26" s="453"/>
      <c r="CD26" s="453"/>
      <c r="CE26" s="453"/>
      <c r="CF26" s="453"/>
      <c r="CG26" s="453"/>
      <c r="CH26" s="352"/>
      <c r="CI26" s="453"/>
      <c r="CJ26" s="352"/>
      <c r="CK26" s="453"/>
      <c r="CL26" s="453"/>
      <c r="CM26" s="453"/>
      <c r="CN26" s="453"/>
      <c r="CO26" s="453"/>
      <c r="CP26" s="453"/>
      <c r="CQ26" s="453"/>
      <c r="CR26" s="453"/>
      <c r="CS26" s="453"/>
      <c r="CT26" s="350"/>
      <c r="CU26" s="452"/>
      <c r="CV26" s="350" t="str">
        <f>IFERROR(('Attainment 25+ by race &amp; gender'!HR25/'Pop 25+ by race &amp; gender'!DV24)*100,"-")</f>
        <v>-</v>
      </c>
      <c r="CW26" s="452"/>
      <c r="CX26" s="452"/>
      <c r="CY26" s="452"/>
      <c r="CZ26" s="452" t="str">
        <f>IFERROR(('Attainment 25+ by race &amp; gender'!HU25/'Pop 25+ by race &amp; gender'!DY24)*100, "-")</f>
        <v>-</v>
      </c>
      <c r="DA26" s="452" t="str">
        <f>IFERROR(('Attainment 25+ by race &amp; gender'!IT25/'Pop 25+ by race &amp; gender'!EX24)*100, "-")</f>
        <v>-</v>
      </c>
      <c r="DB26" s="452" t="str">
        <f>IFERROR(('Attainment 25+ by race &amp; gender'!HV25/'Pop 25+ by race &amp; gender'!DZ24)*100, "-")</f>
        <v>-</v>
      </c>
      <c r="DC26" s="452" t="str">
        <f>IFERROR(('Attainment 25+ by race &amp; gender'!IU25/'Pop 25+ by race &amp; gender'!EY24)*100, "-")</f>
        <v>-</v>
      </c>
      <c r="DD26" s="452" t="str">
        <f>IFERROR(('Attainment 25+ by race &amp; gender'!HW25/'Pop 25+ by race &amp; gender'!EA24)*100, "-")</f>
        <v>-</v>
      </c>
      <c r="DE26" s="452" t="str">
        <f>IFERROR(('Attainment 25+ by race &amp; gender'!IV25/'Pop 25+ by race &amp; gender'!EZ24)*100, "-")</f>
        <v>-</v>
      </c>
      <c r="DF26" s="452" t="str">
        <f>IFERROR(('Attainment 25+ by race &amp; gender'!HX25/'Pop 25+ by race &amp; gender'!EB24)*100, "-")</f>
        <v>-</v>
      </c>
      <c r="DG26" s="452" t="str">
        <f>IFERROR(('Attainment 25+ by race &amp; gender'!IW25/'Pop 25+ by race &amp; gender'!FA24)*100, "-")</f>
        <v>-</v>
      </c>
      <c r="DH26" s="452" t="str">
        <f>IFERROR(('Attainment 25+ by race &amp; gender'!HY25/'Pop 25+ by race &amp; gender'!EC24)*100, "-")</f>
        <v>-</v>
      </c>
      <c r="DI26" s="452" t="str">
        <f>IFERROR(('Attainment 25+ by race &amp; gender'!IX25/'Pop 25+ by race &amp; gender'!FB24)*100, "-")</f>
        <v>-</v>
      </c>
      <c r="DJ26" s="452" t="str">
        <f>IFERROR(('Attainment 25+ by race &amp; gender'!ZV25/'Pop 25+ by race &amp; gender'!DU24)*100, "-")</f>
        <v>-</v>
      </c>
      <c r="DK26" s="452" t="str">
        <f>IFERROR(('Attainment 25+ by race &amp; gender'!AAU25/'Pop 25+ by race &amp; gender'!ET24)*100, "-")</f>
        <v>-</v>
      </c>
      <c r="DL26" s="452" t="str">
        <f>IFERROR(('Attainment 25+ by race &amp; gender'!ZW25/'Pop 25+ by race &amp; gender'!DV24)*100, "-")</f>
        <v>-</v>
      </c>
      <c r="DM26" s="452" t="str">
        <f>IFERROR(('Attainment 25+ by race &amp; gender'!AAV25/'Pop 25+ by race &amp; gender'!EU24)*100, "-")</f>
        <v>-</v>
      </c>
      <c r="DN26" s="452" t="str">
        <f>IFERROR(('Attainment 25+ by race &amp; gender'!ZX25/'Pop 25+ by race &amp; gender'!DX24)*100, "-")</f>
        <v>-</v>
      </c>
      <c r="DO26" s="452" t="str">
        <f>IFERROR(('Attainment 25+ by race &amp; gender'!AAW25/'Pop 25+ by race &amp; gender'!EW24)*100, "-")</f>
        <v>-</v>
      </c>
      <c r="DP26" s="452" t="str">
        <f>IFERROR(('Attainment 25+ by race &amp; gender'!ZZ25/'Pop 25+ by race &amp; gender'!DY24)*100, "-")</f>
        <v>-</v>
      </c>
      <c r="DQ26" s="452" t="str">
        <f>IFERROR(('Attainment 25+ by race &amp; gender'!AAY25/'Pop 25+ by race &amp; gender'!EX24)*100, "-")</f>
        <v>-</v>
      </c>
      <c r="DR26" s="452" t="str">
        <f>IFERROR(('Attainment 25+ by race &amp; gender'!AAA25/'Pop 25+ by race &amp; gender'!DZ24)*100, "-")</f>
        <v>-</v>
      </c>
      <c r="DS26" s="452" t="str">
        <f>IFERROR(('Attainment 25+ by race &amp; gender'!AAZ25/'Pop 25+ by race &amp; gender'!EY24)*100, "-")</f>
        <v>-</v>
      </c>
      <c r="DT26" s="452" t="str">
        <f>IFERROR(('Attainment 25+ by race &amp; gender'!AAB25/'Pop 25+ by race &amp; gender'!EA24)*100, "-")</f>
        <v>-</v>
      </c>
      <c r="DU26" s="452" t="str">
        <f>IFERROR(('Attainment 25+ by race &amp; gender'!ABA25/'Pop 25+ by race &amp; gender'!EZ24)*100, "-")</f>
        <v>-</v>
      </c>
      <c r="DV26" s="452" t="str">
        <f>IFERROR(('Attainment 25+ by race &amp; gender'!AAC25/'Pop 25+ by race &amp; gender'!EB24)*100, "-")</f>
        <v>-</v>
      </c>
      <c r="DW26" s="452" t="str">
        <f>IFERROR(('Attainment 25+ by race &amp; gender'!ABB25/'Pop 25+ by race &amp; gender'!FA24)*100, "-")</f>
        <v>-</v>
      </c>
      <c r="DX26" s="452" t="str">
        <f>IFERROR(('Attainment 25+ by race &amp; gender'!AAD25/'Pop 25+ by race &amp; gender'!EC24)*100, "-")</f>
        <v>-</v>
      </c>
      <c r="DY26" s="452" t="str">
        <f>IFERROR(('Attainment 25+ by race &amp; gender'!ABC25/'Pop 25+ by race &amp; gender'!FB24)*100, "-")</f>
        <v>-</v>
      </c>
    </row>
    <row r="27" spans="1:129" s="465" customFormat="1" ht="14.45">
      <c r="A27" s="455" t="s">
        <v>25</v>
      </c>
      <c r="B27" s="456">
        <f>('Attainment 25+ by race &amp; gender'!FS26/'Pop 25+ by race &amp; gender'!AT25)*100</f>
        <v>92.498747659633423</v>
      </c>
      <c r="C27" s="457">
        <f>('Attainment 25+ by race &amp; gender'!GR26/'Pop 25+ by race &amp; gender'!CV25)*100</f>
        <v>94.600000000000009</v>
      </c>
      <c r="D27" s="458">
        <f>('Attainment 25+ by race &amp; gender'!FT26/'Pop 25+ by race &amp; gender'!AZ25)*100</f>
        <v>88.704177323103153</v>
      </c>
      <c r="E27" s="456">
        <f>('Attainment 25+ by race &amp; gender'!GS26/'Pop 25+ by race &amp; gender'!CW25)*100</f>
        <v>90.699999999999989</v>
      </c>
      <c r="F27" s="458">
        <f>('Attainment 25+ by race &amp; gender'!FU26/'Pop 25+ by race &amp; gender'!BC25)*100</f>
        <v>78.316888200277262</v>
      </c>
      <c r="G27" s="456">
        <f>('Attainment 25+ by race &amp; gender'!GT26/'Pop 25+ by race &amp; gender'!CY25)*100</f>
        <v>82</v>
      </c>
      <c r="H27" s="458">
        <f>('Attainment 25+ by race &amp; gender'!XM26/'Pop 25+ by race &amp; gender'!AT25)*100</f>
        <v>29.273855751706201</v>
      </c>
      <c r="I27" s="456">
        <f>('Attainment 25+ by race &amp; gender'!YW26/'Pop 25+ by race &amp; gender'!CV25)*100</f>
        <v>31.900000000000002</v>
      </c>
      <c r="J27" s="458">
        <f>('Attainment 25+ by race &amp; gender'!XS26/'Pop 25+ by race &amp; gender'!AZ25)*100</f>
        <v>14.893435635123614</v>
      </c>
      <c r="K27" s="456">
        <f>('Attainment 25+ by race &amp; gender'!YX26/'Pop 25+ by race &amp; gender'!CW25)*100</f>
        <v>20.7</v>
      </c>
      <c r="L27" s="458">
        <f>('Attainment 25+ by race &amp; gender'!XV26/'Pop 25+ by race &amp; gender'!BC25)*100</f>
        <v>15.289896436434805</v>
      </c>
      <c r="M27" s="459">
        <f>('Attainment 25+ by race &amp; gender'!YY26/'Pop 25+ by race &amp; gender'!CY25)*100</f>
        <v>20.5</v>
      </c>
      <c r="N27" s="460">
        <f>('Attainment 25+ by race &amp; gender'!FS26/'Pop 25+ by race &amp; gender'!AT25)*100</f>
        <v>92.498747659633423</v>
      </c>
      <c r="O27" s="461">
        <f>('Attainment 25+ by race &amp; gender'!GW26/'Pop 25+ by race &amp; gender'!DA25)*100</f>
        <v>95.364402967939583</v>
      </c>
      <c r="P27" s="462">
        <f>('Attainment 25+ by race &amp; gender'!FT26/'Pop 25+ by race &amp; gender'!AZ25)*100</f>
        <v>88.704177323103153</v>
      </c>
      <c r="Q27" s="460">
        <f>('Attainment 25+ by race &amp; gender'!GX26/'Pop 25+ by race &amp; gender'!DB25)*100</f>
        <v>88.769578004240486</v>
      </c>
      <c r="R27" s="462">
        <f>('Attainment 25+ by race &amp; gender'!FU26/'Pop 25+ by race &amp; gender'!BC25)*100</f>
        <v>78.316888200277262</v>
      </c>
      <c r="S27" s="460">
        <f>('Attainment 25+ by race &amp; gender'!GY26/'Pop 25+ by race &amp; gender'!DD25)*100</f>
        <v>81.634031060094543</v>
      </c>
      <c r="T27" s="462">
        <f>('Attainment 25+ by race &amp; gender'!XM26/'Pop 25+ by race &amp; gender'!AT25)*100</f>
        <v>29.273855751706201</v>
      </c>
      <c r="U27" s="463">
        <f>('Attainment 25+ by race &amp; gender'!ZB26/'Pop 25+ by race &amp; gender'!DA25)*100</f>
        <v>32.535361446351565</v>
      </c>
      <c r="V27" s="462">
        <f>('Attainment 25+ by race &amp; gender'!XS26/'Pop 25+ by race &amp; gender'!AZ25)*100</f>
        <v>14.893435635123614</v>
      </c>
      <c r="W27" s="463">
        <f>('Attainment 25+ by race &amp; gender'!ZC26/'Pop 25+ by race &amp; gender'!DB25)*100</f>
        <v>24.389576636344984</v>
      </c>
      <c r="X27" s="462">
        <f>('Attainment 25+ by race &amp; gender'!XV26/'Pop 25+ by race &amp; gender'!BC25)*100</f>
        <v>15.289896436434805</v>
      </c>
      <c r="Y27" s="494">
        <f>('Attainment 25+ by race &amp; gender'!ZD26/'Pop 25+ by race &amp; gender'!DD25)*100</f>
        <v>21.254943570946271</v>
      </c>
      <c r="Z27" s="460">
        <f>('Attainment 25+ by race &amp; gender'!FS26/'Pop 25+ by race &amp; gender'!AT25)*100</f>
        <v>92.498747659633423</v>
      </c>
      <c r="AA27" s="461">
        <f>('Attainment 25+ by race &amp; gender'!HB26/'Pop 25+ by race &amp; gender'!DF25)*100</f>
        <v>95.450704712005702</v>
      </c>
      <c r="AB27" s="462">
        <f>('Attainment 25+ by race &amp; gender'!FT26/'Pop 25+ by race &amp; gender'!AZ25)*100</f>
        <v>88.704177323103153</v>
      </c>
      <c r="AC27" s="460">
        <f>('Attainment 25+ by race &amp; gender'!HC26/'Pop 25+ by race &amp; gender'!DG25)*100</f>
        <v>86.736686191341818</v>
      </c>
      <c r="AD27" s="462">
        <f>('Attainment 25+ by race &amp; gender'!FU26/'Pop 25+ by race &amp; gender'!BC25)*100</f>
        <v>78.316888200277262</v>
      </c>
      <c r="AE27" s="460">
        <f>('Attainment 25+ by race &amp; gender'!HD26/'Pop 25+ by race &amp; gender'!DI25)*100</f>
        <v>87.675979123722641</v>
      </c>
      <c r="AF27" s="462">
        <f>('Attainment 25+ by race &amp; gender'!XM26/'Pop 25+ by race &amp; gender'!AT25)*100</f>
        <v>29.273855751706201</v>
      </c>
      <c r="AG27" s="463">
        <f>('Attainment 25+ by race &amp; gender'!ZG26/'Pop 25+ by race &amp; gender'!DF25)*100</f>
        <v>32.757878733622945</v>
      </c>
      <c r="AH27" s="462">
        <f>('Attainment 25+ by race &amp; gender'!XS26/'Pop 25+ by race &amp; gender'!AZ25)*100</f>
        <v>14.893435635123614</v>
      </c>
      <c r="AI27" s="463">
        <f>('Attainment 25+ by race &amp; gender'!ZH26/'Pop 25+ by race &amp; gender'!DG25)*100</f>
        <v>22.628425233959469</v>
      </c>
      <c r="AJ27" s="462">
        <f>('Attainment 25+ by race &amp; gender'!XV26/'Pop 25+ by race &amp; gender'!BC25)*100</f>
        <v>15.289896436434805</v>
      </c>
      <c r="AK27" s="464">
        <f>('Attainment 25+ by race &amp; gender'!ZI26/'Pop 25+ by race &amp; gender'!DI25)*100</f>
        <v>21.481513968685583</v>
      </c>
      <c r="AL27" s="462">
        <f>('Attainment 25+ by race &amp; gender'!FS26/'Pop 25+ by race &amp; gender'!AT25)*100</f>
        <v>92.498747659633423</v>
      </c>
      <c r="AM27" s="464">
        <f>('Attainment 25+ by race &amp; gender'!HL26/'Pop 25+ by race &amp; gender'!DP25)*100</f>
        <v>95.852779526836542</v>
      </c>
      <c r="AN27" s="462">
        <v>88.704177323103153</v>
      </c>
      <c r="AO27" s="464">
        <f>('Attainment 25+ by race &amp; gender'!HM26/'Pop 25+ by race &amp; gender'!DQ25)*100</f>
        <v>95.314337995033327</v>
      </c>
      <c r="AP27" s="464">
        <f>('Attainment 25+ by race &amp; gender'!FU26/'Pop 25+ by race &amp; gender'!BC25)*100</f>
        <v>78.316888200277262</v>
      </c>
      <c r="AQ27" s="464">
        <f>('Attainment 25+ by race &amp; gender'!HN26/'Pop 25+ by race &amp; gender'!DS25)*100</f>
        <v>88.197176579495491</v>
      </c>
      <c r="AR27" s="464">
        <f>('Attainment 25+ by race &amp; gender'!XM26/'Pop 25+ by race &amp; gender'!AT25)*100</f>
        <v>29.273855751706201</v>
      </c>
      <c r="AS27" s="464">
        <f>('Attainment 25+ by race &amp; gender'!ZQ26/'Pop 25+ by race &amp; gender'!DP25)*100</f>
        <v>36.561164145385277</v>
      </c>
      <c r="AT27" s="464">
        <f>('Attainment 25+ by race &amp; gender'!XS26/'Pop 25+ by race &amp; gender'!AZ25)*100</f>
        <v>14.893435635123614</v>
      </c>
      <c r="AU27" s="464">
        <f>('Attainment 25+ by race &amp; gender'!ZR26/'Pop 25+ by race &amp; gender'!DQ25)*100</f>
        <v>19.703306757286629</v>
      </c>
      <c r="AV27" s="464">
        <f>('Attainment 25+ by race &amp; gender'!XV26/'Pop 25+ by race &amp; gender'!BC25)*100</f>
        <v>15.289896436434805</v>
      </c>
      <c r="AW27" s="464">
        <f>('Attainment 25+ by race &amp; gender'!ZS26/'Pop 25+ by race &amp; gender'!DS25)*100</f>
        <v>18.255804983414333</v>
      </c>
      <c r="AX27" s="462">
        <f>('Attainment 25+ by race &amp; gender'!GR26/'Pop 25+ by race &amp; gender'!CV25)*100</f>
        <v>94.600000000000009</v>
      </c>
      <c r="AY27" s="464">
        <f>('Attainment 25+ by race &amp; gender'!HQ26/'Pop 25+ by race &amp; gender'!DU25)*100</f>
        <v>96.034613594985956</v>
      </c>
      <c r="AZ27" s="462">
        <f>('Attainment 25+ by race &amp; gender'!GS26/'Pop 25+ by race &amp; gender'!CW25)*100</f>
        <v>90.699999999999989</v>
      </c>
      <c r="BA27" s="464">
        <f>('Attainment 25+ by race &amp; gender'!HR26/'Pop 25+ by race &amp; gender'!DV25)*100</f>
        <v>93.09259011121533</v>
      </c>
      <c r="BB27" s="464">
        <f>('Attainment 25+ by race &amp; gender'!GT26/'Pop 25+ by race &amp; gender'!CY25)*100</f>
        <v>82</v>
      </c>
      <c r="BC27" s="464">
        <f>('Attainment 25+ by race &amp; gender'!HS26/'Pop 25+ by race &amp; gender'!DX25)*100</f>
        <v>82.053342517123937</v>
      </c>
      <c r="BD27" s="464">
        <f>('Attainment 25+ by race &amp; gender'!YW26/'Pop 25+ by race &amp; gender'!CV25)*100</f>
        <v>31.900000000000002</v>
      </c>
      <c r="BE27" s="464">
        <f>('Attainment 25+ by race &amp; gender'!ZV26/'Pop 25+ by race &amp; gender'!DU25)*100</f>
        <v>36.652811651952874</v>
      </c>
      <c r="BF27" s="464">
        <f>('Attainment 25+ by race &amp; gender'!YX26/'Pop 25+ by race &amp; gender'!CW25)*100</f>
        <v>20.7</v>
      </c>
      <c r="BG27" s="464">
        <f>('Attainment 25+ by race &amp; gender'!ZW26/'Pop 25+ by race &amp; gender'!DV25)*100</f>
        <v>12.206887310732949</v>
      </c>
      <c r="BH27" s="464">
        <f>('Attainment 25+ by race &amp; gender'!YY26/'Pop 25+ by race &amp; gender'!CY25)*100</f>
        <v>20.5</v>
      </c>
      <c r="BI27" s="464">
        <f>('Attainment 25+ by race &amp; gender'!ZX26/'Pop 25+ by race &amp; gender'!DX25)*100</f>
        <v>13.592010102169672</v>
      </c>
      <c r="BJ27" s="462">
        <f>('Attainment 25+ by race &amp; gender'!GW26/'Pop 25+ by race &amp; gender'!DA25)*100</f>
        <v>95.364402967939583</v>
      </c>
      <c r="BK27" s="464">
        <f>('Attainment 25+ by race &amp; gender'!IA26/'Pop 25+ by race &amp; gender'!EE25)*100</f>
        <v>95.28329826202166</v>
      </c>
      <c r="BL27" s="462">
        <f>('Attainment 25+ by race &amp; gender'!GX26/'Pop 25+ by race &amp; gender'!DB25)*100</f>
        <v>88.769578004240486</v>
      </c>
      <c r="BM27" s="464">
        <f>('Attainment 25+ by race &amp; gender'!IB26/'Pop 25+ by race &amp; gender'!EF25)*100</f>
        <v>91.414830234728299</v>
      </c>
      <c r="BN27" s="464">
        <f>('Attainment 25+ by race &amp; gender'!GY26/'Pop 25+ by race &amp; gender'!DD25)*100</f>
        <v>81.634031060094543</v>
      </c>
      <c r="BO27" s="464">
        <f>('Attainment 25+ by race &amp; gender'!IC26/'Pop 25+ by race &amp; gender'!EH25)*100</f>
        <v>88.877967639497953</v>
      </c>
      <c r="BP27" s="464">
        <f>('Attainment 25+ by race &amp; gender'!ZB26/'Pop 25+ by race &amp; gender'!DA25)*100</f>
        <v>32.535361446351565</v>
      </c>
      <c r="BQ27" s="464">
        <f>('Attainment 25+ by race &amp; gender'!AAF26/'Pop 25+ by race &amp; gender'!EE25)*100</f>
        <v>34.667290156651859</v>
      </c>
      <c r="BR27" s="464">
        <f>('Attainment 25+ by race &amp; gender'!ZC26/'Pop 25+ by race &amp; gender'!DB25)*100</f>
        <v>24.389576636344984</v>
      </c>
      <c r="BS27" s="464">
        <f>('Attainment 25+ by race &amp; gender'!AAG26/'Pop 25+ by race &amp; gender'!EF25)*100</f>
        <v>17.952767209819825</v>
      </c>
      <c r="BT27" s="464">
        <f>('Attainment 25+ by race &amp; gender'!ZD26/'Pop 25+ by race &amp; gender'!DD25)*100</f>
        <v>21.254943570946271</v>
      </c>
      <c r="BU27" s="464">
        <f>('Attainment 25+ by race &amp; gender'!AAH26/'Pop 25+ by race &amp; gender'!EH25)*100</f>
        <v>21.998336609708151</v>
      </c>
      <c r="BV27" s="462">
        <f>('Attainment 25+ by race &amp; gender'!HN26/'Pop 25+ by race &amp; gender'!DR25)*100</f>
        <v>20.472370447301508</v>
      </c>
      <c r="BW27" s="464" t="e">
        <f>('Attainment 25+ by race &amp; gender'!JB26/'Pop 25+ by race &amp; gender'!EQ25)*100</f>
        <v>#VALUE!</v>
      </c>
      <c r="BX27" s="462">
        <f>('Attainment 25+ by race &amp; gender'!HO26/'Pop 25+ by race &amp; gender'!DS25)*100</f>
        <v>362.77482064336959</v>
      </c>
      <c r="BY27" s="464" t="e">
        <f>('Attainment 25+ by race &amp; gender'!JC26/'Pop 25+ by race &amp; gender'!ER25)*100</f>
        <v>#VALUE!</v>
      </c>
      <c r="BZ27" s="464">
        <f>('Attainment 25+ by race &amp; gender'!HP26/'Pop 25+ by race &amp; gender'!DU25)*100</f>
        <v>139.27069117890457</v>
      </c>
      <c r="CA27" s="464">
        <f>('Attainment 25+ by race &amp; gender'!JD26/'Pop 25+ by race &amp; gender'!ET25)*100</f>
        <v>36.596986248908706</v>
      </c>
      <c r="CB27" s="464">
        <f>('Attainment 25+ by race &amp; gender'!ZS26/'Pop 25+ by race &amp; gender'!DR25)*100</f>
        <v>4.2375461089424489</v>
      </c>
      <c r="CC27" s="464">
        <f>('Attainment 25+ by race &amp; gender'!ABB26/'Pop 25+ by race &amp; gender'!EQ25)*100</f>
        <v>12.313512572319528</v>
      </c>
      <c r="CD27" s="464">
        <f>('Attainment 25+ by race &amp; gender'!ZT26/'Pop 25+ by race &amp; gender'!DS25)*100</f>
        <v>62.971534367044669</v>
      </c>
      <c r="CE27" s="464">
        <f>('Attainment 25+ by race &amp; gender'!ABC26/'Pop 25+ by race &amp; gender'!ER25)*100</f>
        <v>8.3024854574299312</v>
      </c>
      <c r="CF27" s="464">
        <f>('Attainment 25+ by race &amp; gender'!ZU26/'Pop 25+ by race &amp; gender'!DU25)*100</f>
        <v>44.212278395233291</v>
      </c>
      <c r="CG27" s="464">
        <f>('Attainment 25+ by race &amp; gender'!ABD26/'Pop 25+ by race &amp; gender'!ET25)*100</f>
        <v>10.583829080134104</v>
      </c>
      <c r="CH27" s="462">
        <f>('Attainment 25+ by race &amp; gender'!HG26/'Pop 25+ by race &amp; gender'!DK25)*100</f>
        <v>95.952874991328045</v>
      </c>
      <c r="CI27" s="452">
        <f>('Attainment 25+ by race &amp; gender'!IK26/'Pop 25+ by race &amp; gender'!EO25)*100</f>
        <v>96.531910462643339</v>
      </c>
      <c r="CJ27" s="462">
        <f>('Attainment 25+ by race &amp; gender'!HH26/'Pop 25+ by race &amp; gender'!DL25)*100</f>
        <v>89.66500829187396</v>
      </c>
      <c r="CK27" s="464">
        <f>('Attainment 25+ by race &amp; gender'!IL26/'Pop 25+ by race &amp; gender'!EP25)*100</f>
        <v>89.43911066195048</v>
      </c>
      <c r="CL27" s="464">
        <f>('Attainment 25+ by race &amp; gender'!HI26/'Pop 25+ by race &amp; gender'!DN25)*100</f>
        <v>87.42115624121169</v>
      </c>
      <c r="CM27" s="464">
        <f>('Attainment 25+ by race &amp; gender'!IM26/'Pop 25+ by race &amp; gender'!ER25)*100</f>
        <v>86.025030847875911</v>
      </c>
      <c r="CN27" s="464">
        <f>('Attainment 25+ by race &amp; gender'!ZL26/'Pop 25+ by race &amp; gender'!DK25)*100</f>
        <v>33.65540468096647</v>
      </c>
      <c r="CO27" s="464">
        <f>('Attainment 25+ by race &amp; gender'!AAP26/'Pop 25+ by race &amp; gender'!EO25)*100</f>
        <v>36.682359474690614</v>
      </c>
      <c r="CP27" s="464">
        <f>('Attainment 25+ by race &amp; gender'!ZM26/'Pop 25+ by race &amp; gender'!DL25)*100</f>
        <v>16.76285240464345</v>
      </c>
      <c r="CQ27" s="464">
        <f>('Attainment 25+ by race &amp; gender'!AAQ26/'Pop 25+ by race &amp; gender'!EP25)*100</f>
        <v>22.277665487620009</v>
      </c>
      <c r="CR27" s="464">
        <f>('Attainment 25+ by race &amp; gender'!ZN26/'Pop 25+ by race &amp; gender'!DN25)*100</f>
        <v>16.712868104937527</v>
      </c>
      <c r="CS27" s="464">
        <f>('Attainment 25+ by race &amp; gender'!AAR26/'Pop 25+ by race &amp; gender'!ER25)*100</f>
        <v>19.887184910981844</v>
      </c>
      <c r="CT27" s="350">
        <f>IFERROR(('Attainment 25+ by race &amp; gender'!HQ26/'Pop 25+ by race &amp; gender'!DU25)*100,"-")</f>
        <v>96.034613594985956</v>
      </c>
      <c r="CU27" s="452">
        <f>IFERROR(('Attainment 25+ by race &amp; gender'!IP26/'Pop 25+ by race &amp; gender'!ET25)*100,"-")</f>
        <v>96.290742922423334</v>
      </c>
      <c r="CV27" s="350">
        <f>IFERROR(('Attainment 25+ by race &amp; gender'!HR26/'Pop 25+ by race &amp; gender'!DV25)*100,"-")</f>
        <v>93.09259011121533</v>
      </c>
      <c r="CW27" s="452">
        <f>IFERROR(('Attainment 25+ by race &amp; gender'!IQ26/'Pop 25+ by race &amp; gender'!EU25)*100, "-")</f>
        <v>95.811803100353558</v>
      </c>
      <c r="CX27" s="452">
        <f>IFERROR(('Attainment 25+ by race &amp; gender'!HS26/'Pop 25+ by race &amp; gender'!DX25)*100, "-")</f>
        <v>82.053342517123937</v>
      </c>
      <c r="CY27" s="452">
        <f>IFERROR(('Attainment 25+ by race &amp; gender'!IR26/'Pop 25+ by race &amp; gender'!EW25)*100, "-")</f>
        <v>88.204948236532715</v>
      </c>
      <c r="CZ27" s="452">
        <f>IFERROR(('Attainment 25+ by race &amp; gender'!HU26/'Pop 25+ by race &amp; gender'!DY25)*100, "-")</f>
        <v>86.85870614740908</v>
      </c>
      <c r="DA27" s="452">
        <f>IFERROR(('Attainment 25+ by race &amp; gender'!IT26/'Pop 25+ by race &amp; gender'!EX25)*100, "-")</f>
        <v>87.088591932689923</v>
      </c>
      <c r="DB27" s="452">
        <f>IFERROR(('Attainment 25+ by race &amp; gender'!HV26/'Pop 25+ by race &amp; gender'!DZ25)*100, "-")</f>
        <v>90.280616985690386</v>
      </c>
      <c r="DC27" s="452" t="str">
        <f>IFERROR(('Attainment 25+ by race &amp; gender'!IU26/'Pop 25+ by race &amp; gender'!EY25)*100, "-")</f>
        <v>-</v>
      </c>
      <c r="DD27" s="452">
        <f>IFERROR(('Attainment 25+ by race &amp; gender'!HW26/'Pop 25+ by race &amp; gender'!EA25)*100, "-")</f>
        <v>83.975927194441724</v>
      </c>
      <c r="DE27" s="452">
        <f>IFERROR(('Attainment 25+ by race &amp; gender'!IV26/'Pop 25+ by race &amp; gender'!EZ25)*100, "-")</f>
        <v>85.331305744455449</v>
      </c>
      <c r="DF27" s="452">
        <f>IFERROR(('Attainment 25+ by race &amp; gender'!HX26/'Pop 25+ by race &amp; gender'!EB25)*100, "-")</f>
        <v>93.69724254361283</v>
      </c>
      <c r="DG27" s="452">
        <f>IFERROR(('Attainment 25+ by race &amp; gender'!IW26/'Pop 25+ by race &amp; gender'!FA25)*100, "-")</f>
        <v>90.234039432606281</v>
      </c>
      <c r="DH27" s="452">
        <f>IFERROR(('Attainment 25+ by race &amp; gender'!HY26/'Pop 25+ by race &amp; gender'!EC25)*100, "-")</f>
        <v>79.607443283201633</v>
      </c>
      <c r="DI27" s="452">
        <f>IFERROR(('Attainment 25+ by race &amp; gender'!IX26/'Pop 25+ by race &amp; gender'!FB25)*100, "-")</f>
        <v>82.999436801029844</v>
      </c>
      <c r="DJ27" s="452">
        <f>IFERROR(('Attainment 25+ by race &amp; gender'!ZV26/'Pop 25+ by race &amp; gender'!DU25)*100, "-")</f>
        <v>36.652811651952874</v>
      </c>
      <c r="DK27" s="452">
        <f>IFERROR(('Attainment 25+ by race &amp; gender'!AAU26/'Pop 25+ by race &amp; gender'!ET25)*100, "-")</f>
        <v>38.999938335913484</v>
      </c>
      <c r="DL27" s="452">
        <f>IFERROR(('Attainment 25+ by race &amp; gender'!ZW26/'Pop 25+ by race &amp; gender'!DV25)*100, "-")</f>
        <v>12.206887310732949</v>
      </c>
      <c r="DM27" s="452">
        <f>IFERROR(('Attainment 25+ by race &amp; gender'!AAV26/'Pop 25+ by race &amp; gender'!EU25)*100, "-")</f>
        <v>30.928746260538482</v>
      </c>
      <c r="DN27" s="452">
        <f>IFERROR(('Attainment 25+ by race &amp; gender'!ZX26/'Pop 25+ by race &amp; gender'!DX25)*100, "-")</f>
        <v>13.592010102169672</v>
      </c>
      <c r="DO27" s="452">
        <f>IFERROR(('Attainment 25+ by race &amp; gender'!AAW26/'Pop 25+ by race &amp; gender'!EW25)*100, "-")</f>
        <v>21.747675030707143</v>
      </c>
      <c r="DP27" s="452">
        <f>IFERROR(('Attainment 25+ by race &amp; gender'!ZZ26/'Pop 25+ by race &amp; gender'!DY25)*100, "-")</f>
        <v>26.166720308979723</v>
      </c>
      <c r="DQ27" s="452">
        <f>IFERROR(('Attainment 25+ by race &amp; gender'!AAY26/'Pop 25+ by race &amp; gender'!EX25)*100, "-")</f>
        <v>30.063721851026976</v>
      </c>
      <c r="DR27" s="452">
        <f>IFERROR(('Attainment 25+ by race &amp; gender'!AAA26/'Pop 25+ by race &amp; gender'!DZ25)*100, "-")</f>
        <v>5.8910983088645228</v>
      </c>
      <c r="DS27" s="452" t="str">
        <f>IFERROR(('Attainment 25+ by race &amp; gender'!AAZ26/'Pop 25+ by race &amp; gender'!EY25)*100, "-")</f>
        <v>-</v>
      </c>
      <c r="DT27" s="452">
        <f>IFERROR(('Attainment 25+ by race &amp; gender'!AAB26/'Pop 25+ by race &amp; gender'!EA25)*100, "-")</f>
        <v>7.0620086766480741</v>
      </c>
      <c r="DU27" s="452">
        <f>IFERROR(('Attainment 25+ by race &amp; gender'!ABA26/'Pop 25+ by race &amp; gender'!EZ25)*100, "-")</f>
        <v>8.7790042032600901</v>
      </c>
      <c r="DV27" s="452">
        <f>IFERROR(('Attainment 25+ by race &amp; gender'!AAC26/'Pop 25+ by race &amp; gender'!EB25)*100, "-")</f>
        <v>24.845244794597637</v>
      </c>
      <c r="DW27" s="452">
        <f>IFERROR(('Attainment 25+ by race &amp; gender'!ABB26/'Pop 25+ by race &amp; gender'!FA25)*100, "-")</f>
        <v>32.597900559431771</v>
      </c>
      <c r="DX27" s="452">
        <f>IFERROR(('Attainment 25+ by race &amp; gender'!AAD26/'Pop 25+ by race &amp; gender'!EC25)*100, "-")</f>
        <v>10.158042314555187</v>
      </c>
      <c r="DY27" s="452">
        <f>IFERROR(('Attainment 25+ by race &amp; gender'!ABC26/'Pop 25+ by race &amp; gender'!FB25)*100, "-")</f>
        <v>18.947622495776006</v>
      </c>
    </row>
    <row r="28" spans="1:129">
      <c r="A28" s="38" t="s">
        <v>26</v>
      </c>
      <c r="B28" s="351">
        <f>('Attainment 25+ by race &amp; gender'!FS27/'Pop 25+ by race &amp; gender'!AT26)*100</f>
        <v>85.366080852138111</v>
      </c>
      <c r="C28" s="444">
        <f>('Attainment 25+ by race &amp; gender'!GR27/'Pop 25+ by race &amp; gender'!CV26)*100</f>
        <v>87.100000000000009</v>
      </c>
      <c r="D28" s="352">
        <f>('Attainment 25+ by race &amp; gender'!FT27/'Pop 25+ by race &amp; gender'!AZ26)*100</f>
        <v>81.722874967798305</v>
      </c>
      <c r="E28" s="351">
        <f>('Attainment 25+ by race &amp; gender'!GS27/'Pop 25+ by race &amp; gender'!CW26)*100</f>
        <v>88.800000000000011</v>
      </c>
      <c r="F28" s="352">
        <f>('Attainment 25+ by race &amp; gender'!FU27/'Pop 25+ by race &amp; gender'!BC26)*100</f>
        <v>52.518712491087385</v>
      </c>
      <c r="G28" s="351">
        <f>('Attainment 25+ by race &amp; gender'!GT27/'Pop 25+ by race &amp; gender'!CY26)*100</f>
        <v>64.099999999999994</v>
      </c>
      <c r="H28" s="352">
        <f>('Attainment 25+ by race &amp; gender'!XM27/'Pop 25+ by race &amp; gender'!AT26)*100</f>
        <v>26.014491761793089</v>
      </c>
      <c r="I28" s="351">
        <f>('Attainment 25+ by race &amp; gender'!YW27/'Pop 25+ by race &amp; gender'!CV26)*100</f>
        <v>27.6</v>
      </c>
      <c r="J28" s="352">
        <f>('Attainment 25+ by race &amp; gender'!XS27/'Pop 25+ by race &amp; gender'!AZ26)*100</f>
        <v>18.594101768573381</v>
      </c>
      <c r="K28" s="351">
        <f>('Attainment 25+ by race &amp; gender'!YX27/'Pop 25+ by race &amp; gender'!CW26)*100</f>
        <v>21.6</v>
      </c>
      <c r="L28" s="352">
        <f>('Attainment 25+ by race &amp; gender'!XV27/'Pop 25+ by race &amp; gender'!BC26)*100</f>
        <v>8.1404531923941441</v>
      </c>
      <c r="M28" s="437">
        <f>('Attainment 25+ by race &amp; gender'!YY27/'Pop 25+ by race &amp; gender'!CY26)*100</f>
        <v>10.4</v>
      </c>
      <c r="N28" s="351">
        <f>('Attainment 25+ by race &amp; gender'!FS27/'Pop 25+ by race &amp; gender'!AT26)*100</f>
        <v>85.366080852138111</v>
      </c>
      <c r="O28" s="445">
        <f>('Attainment 25+ by race &amp; gender'!GW27/'Pop 25+ by race &amp; gender'!DA26)*100</f>
        <v>93.47414584982873</v>
      </c>
      <c r="P28" s="352">
        <f>('Attainment 25+ by race &amp; gender'!FT27/'Pop 25+ by race &amp; gender'!AZ26)*100</f>
        <v>81.722874967798305</v>
      </c>
      <c r="Q28" s="351">
        <f>('Attainment 25+ by race &amp; gender'!GX27/'Pop 25+ by race &amp; gender'!DB26)*100</f>
        <v>88.753636502832649</v>
      </c>
      <c r="R28" s="352">
        <f>('Attainment 25+ by race &amp; gender'!FU27/'Pop 25+ by race &amp; gender'!BC26)*100</f>
        <v>52.518712491087385</v>
      </c>
      <c r="S28" s="351">
        <f>('Attainment 25+ by race &amp; gender'!GY27/'Pop 25+ by race &amp; gender'!DD26)*100</f>
        <v>64.708382474244459</v>
      </c>
      <c r="T28" s="352">
        <f>('Attainment 25+ by race &amp; gender'!XM27/'Pop 25+ by race &amp; gender'!AT26)*100</f>
        <v>26.014491761793089</v>
      </c>
      <c r="U28" s="351">
        <f>('Attainment 25+ by race &amp; gender'!ZB27/'Pop 25+ by race &amp; gender'!DA26)*100</f>
        <v>32.453242959525994</v>
      </c>
      <c r="V28" s="352">
        <f>('Attainment 25+ by race &amp; gender'!XS27/'Pop 25+ by race &amp; gender'!AZ26)*100</f>
        <v>18.594101768573381</v>
      </c>
      <c r="W28" s="351">
        <f>('Attainment 25+ by race &amp; gender'!ZC27/'Pop 25+ by race &amp; gender'!DB26)*100</f>
        <v>21.656331342826523</v>
      </c>
      <c r="X28" s="352">
        <f>('Attainment 25+ by race &amp; gender'!XV27/'Pop 25+ by race &amp; gender'!BC26)*100</f>
        <v>8.1404531923941441</v>
      </c>
      <c r="Y28" s="437">
        <f>('Attainment 25+ by race &amp; gender'!ZD27/'Pop 25+ by race &amp; gender'!DD26)*100</f>
        <v>10.728346357563201</v>
      </c>
      <c r="Z28" s="460">
        <f>('Attainment 25+ by race &amp; gender'!FS27/'Pop 25+ by race &amp; gender'!AT26)*100</f>
        <v>85.366080852138111</v>
      </c>
      <c r="AA28" s="461">
        <f>('Attainment 25+ by race &amp; gender'!HB27/'Pop 25+ by race &amp; gender'!DF26)*100</f>
        <v>93.700561080554593</v>
      </c>
      <c r="AB28" s="462">
        <f>('Attainment 25+ by race &amp; gender'!FT27/'Pop 25+ by race &amp; gender'!AZ26)*100</f>
        <v>81.722874967798305</v>
      </c>
      <c r="AC28" s="460">
        <f>('Attainment 25+ by race &amp; gender'!HC27/'Pop 25+ by race &amp; gender'!DG26)*100</f>
        <v>88.241088964752393</v>
      </c>
      <c r="AD28" s="462">
        <f>('Attainment 25+ by race &amp; gender'!FU27/'Pop 25+ by race &amp; gender'!BC26)*100</f>
        <v>52.518712491087385</v>
      </c>
      <c r="AE28" s="460">
        <f>('Attainment 25+ by race &amp; gender'!HD27/'Pop 25+ by race &amp; gender'!DI26)*100</f>
        <v>64.782860974668665</v>
      </c>
      <c r="AF28" s="462">
        <f>('Attainment 25+ by race &amp; gender'!XM27/'Pop 25+ by race &amp; gender'!AT26)*100</f>
        <v>26.014491761793089</v>
      </c>
      <c r="AG28" s="463">
        <f>('Attainment 25+ by race &amp; gender'!ZG27/'Pop 25+ by race &amp; gender'!DF26)*100</f>
        <v>33.192692611806663</v>
      </c>
      <c r="AH28" s="462">
        <f>('Attainment 25+ by race &amp; gender'!XS27/'Pop 25+ by race &amp; gender'!AZ26)*100</f>
        <v>18.594101768573381</v>
      </c>
      <c r="AI28" s="463">
        <f>('Attainment 25+ by race &amp; gender'!ZH27/'Pop 25+ by race &amp; gender'!DG26)*100</f>
        <v>21.871611700051425</v>
      </c>
      <c r="AJ28" s="462">
        <f>('Attainment 25+ by race &amp; gender'!XV27/'Pop 25+ by race &amp; gender'!BC26)*100</f>
        <v>8.1404531923941441</v>
      </c>
      <c r="AK28" s="464">
        <f>('Attainment 25+ by race &amp; gender'!ZI27/'Pop 25+ by race &amp; gender'!DI26)*100</f>
        <v>10.746744608219011</v>
      </c>
      <c r="AL28" s="462">
        <f>('Attainment 25+ by race &amp; gender'!FS27/'Pop 25+ by race &amp; gender'!AT26)*100</f>
        <v>85.366080852138111</v>
      </c>
      <c r="AM28" s="464">
        <f>('Attainment 25+ by race &amp; gender'!HL27/'Pop 25+ by race &amp; gender'!DP26)*100</f>
        <v>93.886677836827147</v>
      </c>
      <c r="AN28" s="462">
        <v>81.722874967798305</v>
      </c>
      <c r="AO28" s="464">
        <f>('Attainment 25+ by race &amp; gender'!HM27/'Pop 25+ by race &amp; gender'!DQ26)*100</f>
        <v>88.498540757491966</v>
      </c>
      <c r="AP28" s="464">
        <f>('Attainment 25+ by race &amp; gender'!FU27/'Pop 25+ by race &amp; gender'!BC26)*100</f>
        <v>52.518712491087385</v>
      </c>
      <c r="AQ28" s="464">
        <f>('Attainment 25+ by race &amp; gender'!HN27/'Pop 25+ by race &amp; gender'!DS26)*100</f>
        <v>66.453233687738944</v>
      </c>
      <c r="AR28" s="464">
        <f>('Attainment 25+ by race &amp; gender'!XM27/'Pop 25+ by race &amp; gender'!AT26)*100</f>
        <v>26.014491761793089</v>
      </c>
      <c r="AS28" s="464">
        <f>('Attainment 25+ by race &amp; gender'!ZQ27/'Pop 25+ by race &amp; gender'!DP26)*100</f>
        <v>33.915108643552166</v>
      </c>
      <c r="AT28" s="464">
        <f>('Attainment 25+ by race &amp; gender'!XS27/'Pop 25+ by race &amp; gender'!AZ26)*100</f>
        <v>18.594101768573381</v>
      </c>
      <c r="AU28" s="464">
        <f>('Attainment 25+ by race &amp; gender'!ZR27/'Pop 25+ by race &amp; gender'!DQ26)*100</f>
        <v>22.93994929611398</v>
      </c>
      <c r="AV28" s="464">
        <f>('Attainment 25+ by race &amp; gender'!XV27/'Pop 25+ by race &amp; gender'!BC26)*100</f>
        <v>8.1404531923941441</v>
      </c>
      <c r="AW28" s="464">
        <f>('Attainment 25+ by race &amp; gender'!ZS27/'Pop 25+ by race &amp; gender'!DS26)*100</f>
        <v>11.193476253280531</v>
      </c>
      <c r="AX28" s="462">
        <f>('Attainment 25+ by race &amp; gender'!GR27/'Pop 25+ by race &amp; gender'!CV26)*100</f>
        <v>87.100000000000009</v>
      </c>
      <c r="AY28" s="464">
        <f>('Attainment 25+ by race &amp; gender'!HQ27/'Pop 25+ by race &amp; gender'!DU26)*100</f>
        <v>93.932878946763225</v>
      </c>
      <c r="AZ28" s="462">
        <f>('Attainment 25+ by race &amp; gender'!GS27/'Pop 25+ by race &amp; gender'!CW26)*100</f>
        <v>88.800000000000011</v>
      </c>
      <c r="BA28" s="464">
        <f>('Attainment 25+ by race &amp; gender'!HR27/'Pop 25+ by race &amp; gender'!DV26)*100</f>
        <v>89.312985444189977</v>
      </c>
      <c r="BB28" s="464">
        <f>('Attainment 25+ by race &amp; gender'!GT27/'Pop 25+ by race &amp; gender'!CY26)*100</f>
        <v>64.099999999999994</v>
      </c>
      <c r="BC28" s="464">
        <f>('Attainment 25+ by race &amp; gender'!HS27/'Pop 25+ by race &amp; gender'!DX26)*100</f>
        <v>68.886270552208941</v>
      </c>
      <c r="BD28" s="464">
        <f>('Attainment 25+ by race &amp; gender'!YW27/'Pop 25+ by race &amp; gender'!CV26)*100</f>
        <v>27.6</v>
      </c>
      <c r="BE28" s="464">
        <f>('Attainment 25+ by race &amp; gender'!ZV27/'Pop 25+ by race &amp; gender'!DU26)*100</f>
        <v>35.26953698150804</v>
      </c>
      <c r="BF28" s="464">
        <f>('Attainment 25+ by race &amp; gender'!YX27/'Pop 25+ by race &amp; gender'!CW26)*100</f>
        <v>21.6</v>
      </c>
      <c r="BG28" s="464">
        <f>('Attainment 25+ by race &amp; gender'!ZW27/'Pop 25+ by race &amp; gender'!DV26)*100</f>
        <v>23.681750851320846</v>
      </c>
      <c r="BH28" s="464">
        <f>('Attainment 25+ by race &amp; gender'!YY27/'Pop 25+ by race &amp; gender'!CY26)*100</f>
        <v>10.4</v>
      </c>
      <c r="BI28" s="464">
        <f>('Attainment 25+ by race &amp; gender'!ZX27/'Pop 25+ by race &amp; gender'!DX26)*100</f>
        <v>12.734393152789483</v>
      </c>
      <c r="BJ28" s="462">
        <f>('Attainment 25+ by race &amp; gender'!GW27/'Pop 25+ by race &amp; gender'!DA26)*100</f>
        <v>93.47414584982873</v>
      </c>
      <c r="BK28" s="464">
        <f>('Attainment 25+ by race &amp; gender'!IA27/'Pop 25+ by race &amp; gender'!EE26)*100</f>
        <v>94.542425020104176</v>
      </c>
      <c r="BL28" s="462">
        <f>('Attainment 25+ by race &amp; gender'!GX27/'Pop 25+ by race &amp; gender'!DB26)*100</f>
        <v>88.753636502832649</v>
      </c>
      <c r="BM28" s="464">
        <f>('Attainment 25+ by race &amp; gender'!IB27/'Pop 25+ by race &amp; gender'!EF26)*100</f>
        <v>90.661303114972497</v>
      </c>
      <c r="BN28" s="464">
        <f>('Attainment 25+ by race &amp; gender'!GY27/'Pop 25+ by race &amp; gender'!DD26)*100</f>
        <v>64.708382474244459</v>
      </c>
      <c r="BO28" s="464">
        <f>('Attainment 25+ by race &amp; gender'!IC27/'Pop 25+ by race &amp; gender'!EH26)*100</f>
        <v>69.248046550290937</v>
      </c>
      <c r="BP28" s="464">
        <f>('Attainment 25+ by race &amp; gender'!ZB27/'Pop 25+ by race &amp; gender'!DA26)*100</f>
        <v>32.453242959525994</v>
      </c>
      <c r="BQ28" s="464">
        <f>('Attainment 25+ by race &amp; gender'!AAF27/'Pop 25+ by race &amp; gender'!EE26)*100</f>
        <v>35.824891067444817</v>
      </c>
      <c r="BR28" s="464">
        <f>('Attainment 25+ by race &amp; gender'!ZC27/'Pop 25+ by race &amp; gender'!DB26)*100</f>
        <v>21.656331342826523</v>
      </c>
      <c r="BS28" s="464">
        <f>('Attainment 25+ by race &amp; gender'!AAG27/'Pop 25+ by race &amp; gender'!EF26)*100</f>
        <v>24.350593809452224</v>
      </c>
      <c r="BT28" s="464">
        <f>('Attainment 25+ by race &amp; gender'!ZD27/'Pop 25+ by race &amp; gender'!DD26)*100</f>
        <v>10.728346357563201</v>
      </c>
      <c r="BU28" s="464">
        <f>('Attainment 25+ by race &amp; gender'!AAH27/'Pop 25+ by race &amp; gender'!EH26)*100</f>
        <v>12.969742310889442</v>
      </c>
      <c r="BV28" s="462">
        <f>('Attainment 25+ by race &amp; gender'!HN27/'Pop 25+ by race &amp; gender'!DR26)*100</f>
        <v>107.96297314424443</v>
      </c>
      <c r="BW28" s="464" t="e">
        <f>('Attainment 25+ by race &amp; gender'!JB27/'Pop 25+ by race &amp; gender'!EQ26)*100</f>
        <v>#VALUE!</v>
      </c>
      <c r="BX28" s="462">
        <f>('Attainment 25+ by race &amp; gender'!HO27/'Pop 25+ by race &amp; gender'!DS26)*100</f>
        <v>45.821715484636833</v>
      </c>
      <c r="BY28" s="464" t="e">
        <f>('Attainment 25+ by race &amp; gender'!JC27/'Pop 25+ by race &amp; gender'!ER26)*100</f>
        <v>#VALUE!</v>
      </c>
      <c r="BZ28" s="464">
        <f>('Attainment 25+ by race &amp; gender'!HP27/'Pop 25+ by race &amp; gender'!DU26)*100</f>
        <v>138.1188974366566</v>
      </c>
      <c r="CA28" s="464">
        <f>('Attainment 25+ by race &amp; gender'!JD27/'Pop 25+ by race &amp; gender'!ET26)*100</f>
        <v>25.32979295913545</v>
      </c>
      <c r="CB28" s="464">
        <f>('Attainment 25+ by race &amp; gender'!ZS27/'Pop 25+ by race &amp; gender'!DR26)*100</f>
        <v>18.185435216023752</v>
      </c>
      <c r="CC28" s="464">
        <f>('Attainment 25+ by race &amp; gender'!ABB27/'Pop 25+ by race &amp; gender'!EQ26)*100</f>
        <v>23.469615083130492</v>
      </c>
      <c r="CD28" s="464">
        <f>('Attainment 25+ by race &amp; gender'!ZT27/'Pop 25+ by race &amp; gender'!DS26)*100</f>
        <v>13.291768819133805</v>
      </c>
      <c r="CE28" s="464">
        <f>('Attainment 25+ by race &amp; gender'!ABC27/'Pop 25+ by race &amp; gender'!ER26)*100</f>
        <v>4.9875334877911754</v>
      </c>
      <c r="CF28" s="464">
        <f>('Attainment 25+ by race &amp; gender'!ZU27/'Pop 25+ by race &amp; gender'!DU26)*100</f>
        <v>45.990425245514025</v>
      </c>
      <c r="CG28" s="464">
        <f>('Attainment 25+ by race &amp; gender'!ABD27/'Pop 25+ by race &amp; gender'!ET26)*100</f>
        <v>9.3150974012669945</v>
      </c>
      <c r="CH28" s="462">
        <f>('Attainment 25+ by race &amp; gender'!HG27/'Pop 25+ by race &amp; gender'!DK26)*100</f>
        <v>94.11422429125237</v>
      </c>
      <c r="CI28" s="452">
        <f>('Attainment 25+ by race &amp; gender'!IK27/'Pop 25+ by race &amp; gender'!EO26)*100</f>
        <v>94.625591749585794</v>
      </c>
      <c r="CJ28" s="462">
        <f>('Attainment 25+ by race &amp; gender'!HH27/'Pop 25+ by race &amp; gender'!DL26)*100</f>
        <v>89.397251354556658</v>
      </c>
      <c r="CK28" s="464">
        <f>('Attainment 25+ by race &amp; gender'!IL27/'Pop 25+ by race &amp; gender'!EP26)*100</f>
        <v>89.897669659053918</v>
      </c>
      <c r="CL28" s="464">
        <f>('Attainment 25+ by race &amp; gender'!HI27/'Pop 25+ by race &amp; gender'!DN26)*100</f>
        <v>65.378329822593912</v>
      </c>
      <c r="CM28" s="464">
        <f>('Attainment 25+ by race &amp; gender'!IM27/'Pop 25+ by race &amp; gender'!ER26)*100</f>
        <v>71.079316732984495</v>
      </c>
      <c r="CN28" s="464">
        <f>('Attainment 25+ by race &amp; gender'!ZL27/'Pop 25+ by race &amp; gender'!DK26)*100</f>
        <v>33.555664017221098</v>
      </c>
      <c r="CO28" s="464">
        <f>('Attainment 25+ by race &amp; gender'!AAP27/'Pop 25+ by race &amp; gender'!EO26)*100</f>
        <v>36.638417253378435</v>
      </c>
      <c r="CP28" s="464">
        <f>('Attainment 25+ by race &amp; gender'!ZM27/'Pop 25+ by race &amp; gender'!DL26)*100</f>
        <v>24.515150105806573</v>
      </c>
      <c r="CQ28" s="464">
        <f>('Attainment 25+ by race &amp; gender'!AAQ27/'Pop 25+ by race &amp; gender'!EP26)*100</f>
        <v>27.29429275780269</v>
      </c>
      <c r="CR28" s="464">
        <f>('Attainment 25+ by race &amp; gender'!ZN27/'Pop 25+ by race &amp; gender'!DN26)*100</f>
        <v>11.677758389806437</v>
      </c>
      <c r="CS28" s="464">
        <f>('Attainment 25+ by race &amp; gender'!AAR27/'Pop 25+ by race &amp; gender'!ER26)*100</f>
        <v>13.885806438632414</v>
      </c>
      <c r="CT28" s="350">
        <f>IFERROR(('Attainment 25+ by race &amp; gender'!HQ27/'Pop 25+ by race &amp; gender'!DU26)*100,"-")</f>
        <v>93.932878946763225</v>
      </c>
      <c r="CU28" s="452">
        <f>IFERROR(('Attainment 25+ by race &amp; gender'!IP27/'Pop 25+ by race &amp; gender'!ET26)*100,"-")</f>
        <v>95.281208425872052</v>
      </c>
      <c r="CV28" s="350">
        <f>IFERROR(('Attainment 25+ by race &amp; gender'!HR27/'Pop 25+ by race &amp; gender'!DV26)*100,"-")</f>
        <v>89.312985444189977</v>
      </c>
      <c r="CW28" s="452">
        <f>IFERROR(('Attainment 25+ by race &amp; gender'!IQ27/'Pop 25+ by race &amp; gender'!EU26)*100, "-")</f>
        <v>93.03734714112592</v>
      </c>
      <c r="CX28" s="452">
        <f>IFERROR(('Attainment 25+ by race &amp; gender'!HS27/'Pop 25+ by race &amp; gender'!DX26)*100, "-")</f>
        <v>68.886270552208941</v>
      </c>
      <c r="CY28" s="452">
        <f>IFERROR(('Attainment 25+ by race &amp; gender'!IR27/'Pop 25+ by race &amp; gender'!EW26)*100, "-")</f>
        <v>74.090901937685615</v>
      </c>
      <c r="CZ28" s="452">
        <f>IFERROR(('Attainment 25+ by race &amp; gender'!HU27/'Pop 25+ by race &amp; gender'!DY26)*100, "-")</f>
        <v>86.844707566196092</v>
      </c>
      <c r="DA28" s="452">
        <f>IFERROR(('Attainment 25+ by race &amp; gender'!IT27/'Pop 25+ by race &amp; gender'!EX26)*100, "-")</f>
        <v>91.291701060741332</v>
      </c>
      <c r="DB28" s="452">
        <f>IFERROR(('Attainment 25+ by race &amp; gender'!HV27/'Pop 25+ by race &amp; gender'!DZ26)*100, "-")</f>
        <v>85.009530216391965</v>
      </c>
      <c r="DC28" s="452">
        <f>IFERROR(('Attainment 25+ by race &amp; gender'!IU27/'Pop 25+ by race &amp; gender'!EY26)*100, "-")</f>
        <v>90.7952964976609</v>
      </c>
      <c r="DD28" s="452">
        <f>IFERROR(('Attainment 25+ by race &amp; gender'!HW27/'Pop 25+ by race &amp; gender'!EA26)*100, "-")</f>
        <v>78.301537901330803</v>
      </c>
      <c r="DE28" s="452">
        <f>IFERROR(('Attainment 25+ by race &amp; gender'!IV27/'Pop 25+ by race &amp; gender'!EZ26)*100, "-")</f>
        <v>81.605637586897871</v>
      </c>
      <c r="DF28" s="452">
        <f>IFERROR(('Attainment 25+ by race &amp; gender'!HX27/'Pop 25+ by race &amp; gender'!EB26)*100, "-")</f>
        <v>88.054838189008152</v>
      </c>
      <c r="DG28" s="452">
        <f>IFERROR(('Attainment 25+ by race &amp; gender'!IW27/'Pop 25+ by race &amp; gender'!FA26)*100, "-")</f>
        <v>77.18590462265378</v>
      </c>
      <c r="DH28" s="452">
        <f>IFERROR(('Attainment 25+ by race &amp; gender'!HY27/'Pop 25+ by race &amp; gender'!EC26)*100, "-")</f>
        <v>59.678279225281585</v>
      </c>
      <c r="DI28" s="452">
        <f>IFERROR(('Attainment 25+ by race &amp; gender'!IX27/'Pop 25+ by race &amp; gender'!FB26)*100, "-")</f>
        <v>72.885976022016322</v>
      </c>
      <c r="DJ28" s="452">
        <f>IFERROR(('Attainment 25+ by race &amp; gender'!ZV27/'Pop 25+ by race &amp; gender'!DU26)*100, "-")</f>
        <v>35.26953698150804</v>
      </c>
      <c r="DK28" s="452">
        <f>IFERROR(('Attainment 25+ by race &amp; gender'!AAU27/'Pop 25+ by race &amp; gender'!ET26)*100, "-")</f>
        <v>39.114203019698799</v>
      </c>
      <c r="DL28" s="452">
        <f>IFERROR(('Attainment 25+ by race &amp; gender'!ZW27/'Pop 25+ by race &amp; gender'!DV26)*100, "-")</f>
        <v>23.681750851320846</v>
      </c>
      <c r="DM28" s="452">
        <f>IFERROR(('Attainment 25+ by race &amp; gender'!AAV27/'Pop 25+ by race &amp; gender'!EU26)*100, "-")</f>
        <v>30.169420082291122</v>
      </c>
      <c r="DN28" s="452">
        <f>IFERROR(('Attainment 25+ by race &amp; gender'!ZX27/'Pop 25+ by race &amp; gender'!DX26)*100, "-")</f>
        <v>12.734393152789483</v>
      </c>
      <c r="DO28" s="452">
        <f>IFERROR(('Attainment 25+ by race &amp; gender'!AAW27/'Pop 25+ by race &amp; gender'!EW26)*100, "-")</f>
        <v>16.510682112996815</v>
      </c>
      <c r="DP28" s="452">
        <f>IFERROR(('Attainment 25+ by race &amp; gender'!ZZ27/'Pop 25+ by race &amp; gender'!DY26)*100, "-")</f>
        <v>54.622991347342399</v>
      </c>
      <c r="DQ28" s="452">
        <f>IFERROR(('Attainment 25+ by race &amp; gender'!AAY27/'Pop 25+ by race &amp; gender'!EX26)*100, "-")</f>
        <v>58.312696888529501</v>
      </c>
      <c r="DR28" s="452">
        <f>IFERROR(('Attainment 25+ by race &amp; gender'!AAA27/'Pop 25+ by race &amp; gender'!DZ26)*100, "-")</f>
        <v>14.508352954367082</v>
      </c>
      <c r="DS28" s="452">
        <f>IFERROR(('Attainment 25+ by race &amp; gender'!AAZ27/'Pop 25+ by race &amp; gender'!EY26)*100, "-")</f>
        <v>26.046276393981536</v>
      </c>
      <c r="DT28" s="452">
        <f>IFERROR(('Attainment 25+ by race &amp; gender'!AAB27/'Pop 25+ by race &amp; gender'!EA26)*100, "-")</f>
        <v>10.528621578411347</v>
      </c>
      <c r="DU28" s="452">
        <f>IFERROR(('Attainment 25+ by race &amp; gender'!ABA27/'Pop 25+ by race &amp; gender'!EZ26)*100, "-")</f>
        <v>11.098859273024438</v>
      </c>
      <c r="DV28" s="452">
        <f>IFERROR(('Attainment 25+ by race &amp; gender'!AAC27/'Pop 25+ by race &amp; gender'!EB26)*100, "-")</f>
        <v>26.476878379468971</v>
      </c>
      <c r="DW28" s="452">
        <f>IFERROR(('Attainment 25+ by race &amp; gender'!ABB27/'Pop 25+ by race &amp; gender'!FA26)*100, "-")</f>
        <v>20.934049354427987</v>
      </c>
      <c r="DX28" s="452">
        <f>IFERROR(('Attainment 25+ by race &amp; gender'!AAD27/'Pop 25+ by race &amp; gender'!EC26)*100, "-")</f>
        <v>8.3872359439762096</v>
      </c>
      <c r="DY28" s="452">
        <f>IFERROR(('Attainment 25+ by race &amp; gender'!ABC27/'Pop 25+ by race &amp; gender'!FB26)*100, "-")</f>
        <v>15.343814575338291</v>
      </c>
    </row>
    <row r="29" spans="1:129">
      <c r="A29" s="38" t="s">
        <v>27</v>
      </c>
      <c r="B29" s="351">
        <f>('Attainment 25+ by race &amp; gender'!FS28/'Pop 25+ by race &amp; gender'!AT27)*100</f>
        <v>83.306751024861043</v>
      </c>
      <c r="C29" s="444">
        <f>('Attainment 25+ by race &amp; gender'!GR28/'Pop 25+ by race &amp; gender'!CV27)*100</f>
        <v>83.600000000000009</v>
      </c>
      <c r="D29" s="352">
        <f>('Attainment 25+ by race &amp; gender'!FT28/'Pop 25+ by race &amp; gender'!AZ27)*100</f>
        <v>80.541581226304601</v>
      </c>
      <c r="E29" s="351">
        <f>('Attainment 25+ by race &amp; gender'!GS28/'Pop 25+ by race &amp; gender'!CW27)*100</f>
        <v>87.7</v>
      </c>
      <c r="F29" s="352">
        <f>('Attainment 25+ by race &amp; gender'!FU28/'Pop 25+ by race &amp; gender'!BC27)*100</f>
        <v>46.680599269156467</v>
      </c>
      <c r="G29" s="351">
        <f>('Attainment 25+ by race &amp; gender'!GT28/'Pop 25+ by race &amp; gender'!CY27)*100</f>
        <v>57.70000000000001</v>
      </c>
      <c r="H29" s="352">
        <f>('Attainment 25+ by race &amp; gender'!XM28/'Pop 25+ by race &amp; gender'!AT27)*100</f>
        <v>29.788451675072608</v>
      </c>
      <c r="I29" s="351">
        <f>('Attainment 25+ by race &amp; gender'!YW28/'Pop 25+ by race &amp; gender'!CV27)*100</f>
        <v>31.1</v>
      </c>
      <c r="J29" s="352">
        <f>('Attainment 25+ by race &amp; gender'!XS28/'Pop 25+ by race &amp; gender'!AZ27)*100</f>
        <v>17.177958299851216</v>
      </c>
      <c r="K29" s="351">
        <f>('Attainment 25+ by race &amp; gender'!YX28/'Pop 25+ by race &amp; gender'!CW27)*100</f>
        <v>21.8</v>
      </c>
      <c r="L29" s="352">
        <f>('Attainment 25+ by race &amp; gender'!XV28/'Pop 25+ by race &amp; gender'!BC27)*100</f>
        <v>7.7438655372968901</v>
      </c>
      <c r="M29" s="437">
        <f>('Attainment 25+ by race &amp; gender'!YY28/'Pop 25+ by race &amp; gender'!CY27)*100</f>
        <v>10.4</v>
      </c>
      <c r="N29" s="351">
        <f>('Attainment 25+ by race &amp; gender'!FS28/'Pop 25+ by race &amp; gender'!AT27)*100</f>
        <v>83.306751024861043</v>
      </c>
      <c r="O29" s="445">
        <f>('Attainment 25+ by race &amp; gender'!GW28/'Pop 25+ by race &amp; gender'!DA27)*100</f>
        <v>93.851872734219924</v>
      </c>
      <c r="P29" s="352">
        <f>('Attainment 25+ by race &amp; gender'!FT28/'Pop 25+ by race &amp; gender'!AZ27)*100</f>
        <v>80.541581226304601</v>
      </c>
      <c r="Q29" s="351">
        <f>('Attainment 25+ by race &amp; gender'!GX28/'Pop 25+ by race &amp; gender'!DB27)*100</f>
        <v>87.954803668911239</v>
      </c>
      <c r="R29" s="352">
        <f>('Attainment 25+ by race &amp; gender'!FU28/'Pop 25+ by race &amp; gender'!BC27)*100</f>
        <v>46.680599269156467</v>
      </c>
      <c r="S29" s="351">
        <f>('Attainment 25+ by race &amp; gender'!GY28/'Pop 25+ by race &amp; gender'!DD27)*100</f>
        <v>58.537237148511757</v>
      </c>
      <c r="T29" s="352">
        <f>('Attainment 25+ by race &amp; gender'!XM28/'Pop 25+ by race &amp; gender'!AT27)*100</f>
        <v>29.788451675072608</v>
      </c>
      <c r="U29" s="351">
        <f>('Attainment 25+ by race &amp; gender'!ZB28/'Pop 25+ by race &amp; gender'!DA27)*100</f>
        <v>39.551621970566451</v>
      </c>
      <c r="V29" s="352">
        <f>('Attainment 25+ by race &amp; gender'!XS28/'Pop 25+ by race &amp; gender'!AZ27)*100</f>
        <v>17.177958299851216</v>
      </c>
      <c r="W29" s="351">
        <f>('Attainment 25+ by race &amp; gender'!ZC28/'Pop 25+ by race &amp; gender'!DB27)*100</f>
        <v>21.901307950231384</v>
      </c>
      <c r="X29" s="352">
        <f>('Attainment 25+ by race &amp; gender'!XV28/'Pop 25+ by race &amp; gender'!BC27)*100</f>
        <v>7.7438655372968901</v>
      </c>
      <c r="Y29" s="437">
        <f>('Attainment 25+ by race &amp; gender'!ZD28/'Pop 25+ by race &amp; gender'!DD27)*100</f>
        <v>10.692291139768228</v>
      </c>
      <c r="Z29" s="460">
        <f>('Attainment 25+ by race &amp; gender'!FS28/'Pop 25+ by race &amp; gender'!AT27)*100</f>
        <v>83.306751024861043</v>
      </c>
      <c r="AA29" s="461">
        <f>('Attainment 25+ by race &amp; gender'!HB28/'Pop 25+ by race &amp; gender'!DF27)*100</f>
        <v>94.10547889119367</v>
      </c>
      <c r="AB29" s="462">
        <f>('Attainment 25+ by race &amp; gender'!FT28/'Pop 25+ by race &amp; gender'!AZ27)*100</f>
        <v>80.541581226304601</v>
      </c>
      <c r="AC29" s="460">
        <f>('Attainment 25+ by race &amp; gender'!HC28/'Pop 25+ by race &amp; gender'!DG27)*100</f>
        <v>88.109119014423072</v>
      </c>
      <c r="AD29" s="462">
        <f>('Attainment 25+ by race &amp; gender'!FU28/'Pop 25+ by race &amp; gender'!BC27)*100</f>
        <v>46.680599269156467</v>
      </c>
      <c r="AE29" s="460">
        <f>('Attainment 25+ by race &amp; gender'!HD28/'Pop 25+ by race &amp; gender'!DI27)*100</f>
        <v>59.476112077593704</v>
      </c>
      <c r="AF29" s="462">
        <f>('Attainment 25+ by race &amp; gender'!XM28/'Pop 25+ by race &amp; gender'!AT27)*100</f>
        <v>29.788451675072608</v>
      </c>
      <c r="AG29" s="463">
        <f>('Attainment 25+ by race &amp; gender'!ZG28/'Pop 25+ by race &amp; gender'!DF27)*100</f>
        <v>40.114327267320434</v>
      </c>
      <c r="AH29" s="462">
        <f>('Attainment 25+ by race &amp; gender'!XS28/'Pop 25+ by race &amp; gender'!AZ27)*100</f>
        <v>17.177958299851216</v>
      </c>
      <c r="AI29" s="463">
        <f>('Attainment 25+ by race &amp; gender'!ZH28/'Pop 25+ by race &amp; gender'!DG27)*100</f>
        <v>21.992921172087115</v>
      </c>
      <c r="AJ29" s="462">
        <f>('Attainment 25+ by race &amp; gender'!XV28/'Pop 25+ by race &amp; gender'!BC27)*100</f>
        <v>7.7438655372968901</v>
      </c>
      <c r="AK29" s="464">
        <f>('Attainment 25+ by race &amp; gender'!ZI28/'Pop 25+ by race &amp; gender'!DI27)*100</f>
        <v>10.918421410933099</v>
      </c>
      <c r="AL29" s="462">
        <f>('Attainment 25+ by race &amp; gender'!FS28/'Pop 25+ by race &amp; gender'!AT27)*100</f>
        <v>83.306751024861043</v>
      </c>
      <c r="AM29" s="464">
        <f>('Attainment 25+ by race &amp; gender'!HL28/'Pop 25+ by race &amp; gender'!DP27)*100</f>
        <v>94.572069241270697</v>
      </c>
      <c r="AN29" s="462">
        <v>80.541581226304601</v>
      </c>
      <c r="AO29" s="464">
        <f>('Attainment 25+ by race &amp; gender'!HM28/'Pop 25+ by race &amp; gender'!DQ27)*100</f>
        <v>89.00409372028831</v>
      </c>
      <c r="AP29" s="464">
        <f>('Attainment 25+ by race &amp; gender'!FU28/'Pop 25+ by race &amp; gender'!BC27)*100</f>
        <v>46.680599269156467</v>
      </c>
      <c r="AQ29" s="464">
        <f>('Attainment 25+ by race &amp; gender'!HN28/'Pop 25+ by race &amp; gender'!DS27)*100</f>
        <v>61.605734506147805</v>
      </c>
      <c r="AR29" s="464">
        <f>('Attainment 25+ by race &amp; gender'!XM28/'Pop 25+ by race &amp; gender'!AT27)*100</f>
        <v>29.788451675072608</v>
      </c>
      <c r="AS29" s="464">
        <f>('Attainment 25+ by race &amp; gender'!ZQ28/'Pop 25+ by race &amp; gender'!DP27)*100</f>
        <v>42.054009850431775</v>
      </c>
      <c r="AT29" s="464">
        <f>('Attainment 25+ by race &amp; gender'!XS28/'Pop 25+ by race &amp; gender'!AZ27)*100</f>
        <v>17.177958299851216</v>
      </c>
      <c r="AU29" s="464">
        <f>('Attainment 25+ by race &amp; gender'!ZR28/'Pop 25+ by race &amp; gender'!DQ27)*100</f>
        <v>24.327915805863238</v>
      </c>
      <c r="AV29" s="464">
        <f>('Attainment 25+ by race &amp; gender'!XV28/'Pop 25+ by race &amp; gender'!BC27)*100</f>
        <v>7.7438655372968901</v>
      </c>
      <c r="AW29" s="464">
        <f>('Attainment 25+ by race &amp; gender'!ZS28/'Pop 25+ by race &amp; gender'!DS27)*100</f>
        <v>11.908077044070824</v>
      </c>
      <c r="AX29" s="462">
        <f>('Attainment 25+ by race &amp; gender'!GR28/'Pop 25+ by race &amp; gender'!CV27)*100</f>
        <v>83.600000000000009</v>
      </c>
      <c r="AY29" s="464">
        <f>('Attainment 25+ by race &amp; gender'!HQ28/'Pop 25+ by race &amp; gender'!DU27)*100</f>
        <v>94.558633625832783</v>
      </c>
      <c r="AZ29" s="462">
        <f>('Attainment 25+ by race &amp; gender'!GS28/'Pop 25+ by race &amp; gender'!CW27)*100</f>
        <v>87.7</v>
      </c>
      <c r="BA29" s="464">
        <f>('Attainment 25+ by race &amp; gender'!HR28/'Pop 25+ by race &amp; gender'!DV27)*100</f>
        <v>89.218723026623692</v>
      </c>
      <c r="BB29" s="464">
        <f>('Attainment 25+ by race &amp; gender'!GT28/'Pop 25+ by race &amp; gender'!CY27)*100</f>
        <v>57.70000000000001</v>
      </c>
      <c r="BC29" s="464">
        <f>('Attainment 25+ by race &amp; gender'!HS28/'Pop 25+ by race &amp; gender'!DX27)*100</f>
        <v>62.642376243812038</v>
      </c>
      <c r="BD29" s="464">
        <f>('Attainment 25+ by race &amp; gender'!YW28/'Pop 25+ by race &amp; gender'!CV27)*100</f>
        <v>31.1</v>
      </c>
      <c r="BE29" s="464">
        <f>('Attainment 25+ by race &amp; gender'!ZV28/'Pop 25+ by race &amp; gender'!DU27)*100</f>
        <v>43.110066141356107</v>
      </c>
      <c r="BF29" s="464">
        <f>('Attainment 25+ by race &amp; gender'!YX28/'Pop 25+ by race &amp; gender'!CW27)*100</f>
        <v>21.8</v>
      </c>
      <c r="BG29" s="464">
        <f>('Attainment 25+ by race &amp; gender'!ZW28/'Pop 25+ by race &amp; gender'!DV27)*100</f>
        <v>24.321148833634286</v>
      </c>
      <c r="BH29" s="464">
        <f>('Attainment 25+ by race &amp; gender'!YY28/'Pop 25+ by race &amp; gender'!CY27)*100</f>
        <v>10.4</v>
      </c>
      <c r="BI29" s="464">
        <f>('Attainment 25+ by race &amp; gender'!ZX28/'Pop 25+ by race &amp; gender'!DX27)*100</f>
        <v>12.149228835678079</v>
      </c>
      <c r="BJ29" s="462">
        <f>('Attainment 25+ by race &amp; gender'!GW28/'Pop 25+ by race &amp; gender'!DA27)*100</f>
        <v>93.851872734219924</v>
      </c>
      <c r="BK29" s="464">
        <f>('Attainment 25+ by race &amp; gender'!IA28/'Pop 25+ by race &amp; gender'!EE27)*100</f>
        <v>95.01492212185083</v>
      </c>
      <c r="BL29" s="462">
        <f>('Attainment 25+ by race &amp; gender'!GX28/'Pop 25+ by race &amp; gender'!DB27)*100</f>
        <v>87.954803668911239</v>
      </c>
      <c r="BM29" s="464">
        <f>('Attainment 25+ by race &amp; gender'!IB28/'Pop 25+ by race &amp; gender'!EF27)*100</f>
        <v>89.601261295944241</v>
      </c>
      <c r="BN29" s="464">
        <f>('Attainment 25+ by race &amp; gender'!GY28/'Pop 25+ by race &amp; gender'!DD27)*100</f>
        <v>58.537237148511757</v>
      </c>
      <c r="BO29" s="464">
        <f>('Attainment 25+ by race &amp; gender'!IC28/'Pop 25+ by race &amp; gender'!EH27)*100</f>
        <v>64.77334108992433</v>
      </c>
      <c r="BP29" s="464">
        <f>('Attainment 25+ by race &amp; gender'!ZB28/'Pop 25+ by race &amp; gender'!DA27)*100</f>
        <v>39.551621970566451</v>
      </c>
      <c r="BQ29" s="464">
        <f>('Attainment 25+ by race &amp; gender'!AAF28/'Pop 25+ by race &amp; gender'!EE27)*100</f>
        <v>43.876764674161976</v>
      </c>
      <c r="BR29" s="464">
        <f>('Attainment 25+ by race &amp; gender'!ZC28/'Pop 25+ by race &amp; gender'!DB27)*100</f>
        <v>21.901307950231384</v>
      </c>
      <c r="BS29" s="464">
        <f>('Attainment 25+ by race &amp; gender'!AAG28/'Pop 25+ by race &amp; gender'!EF27)*100</f>
        <v>25.554182871173609</v>
      </c>
      <c r="BT29" s="464">
        <f>('Attainment 25+ by race &amp; gender'!ZD28/'Pop 25+ by race &amp; gender'!DD27)*100</f>
        <v>10.692291139768228</v>
      </c>
      <c r="BU29" s="464">
        <f>('Attainment 25+ by race &amp; gender'!AAH28/'Pop 25+ by race &amp; gender'!EH27)*100</f>
        <v>12.990249897858474</v>
      </c>
      <c r="BV29" s="462">
        <f>('Attainment 25+ by race &amp; gender'!HN28/'Pop 25+ by race &amp; gender'!DR27)*100</f>
        <v>64.625078646230108</v>
      </c>
      <c r="BW29" s="464" t="e">
        <f>('Attainment 25+ by race &amp; gender'!JB28/'Pop 25+ by race &amp; gender'!EQ27)*100</f>
        <v>#VALUE!</v>
      </c>
      <c r="BX29" s="462">
        <f>('Attainment 25+ by race &amp; gender'!HO28/'Pop 25+ by race &amp; gender'!DS27)*100</f>
        <v>72.557613396968677</v>
      </c>
      <c r="BY29" s="464" t="e">
        <f>('Attainment 25+ by race &amp; gender'!JC28/'Pop 25+ by race &amp; gender'!ER27)*100</f>
        <v>#VALUE!</v>
      </c>
      <c r="BZ29" s="464">
        <f>('Attainment 25+ by race &amp; gender'!HP28/'Pop 25+ by race &amp; gender'!DU27)*100</f>
        <v>192.42457463855803</v>
      </c>
      <c r="CA29" s="464">
        <f>('Attainment 25+ by race &amp; gender'!JD28/'Pop 25+ by race &amp; gender'!ET27)*100</f>
        <v>54.625567011453249</v>
      </c>
      <c r="CB29" s="464">
        <f>('Attainment 25+ by race &amp; gender'!ZS28/'Pop 25+ by race &amp; gender'!DR27)*100</f>
        <v>12.491701002633899</v>
      </c>
      <c r="CC29" s="464">
        <f>('Attainment 25+ by race &amp; gender'!ABB28/'Pop 25+ by race &amp; gender'!EQ27)*100</f>
        <v>11.883934806360134</v>
      </c>
      <c r="CD29" s="464">
        <f>('Attainment 25+ by race &amp; gender'!ZT28/'Pop 25+ by race &amp; gender'!DS27)*100</f>
        <v>30.736643616992115</v>
      </c>
      <c r="CE29" s="464">
        <f>('Attainment 25+ by race &amp; gender'!ABC28/'Pop 25+ by race &amp; gender'!ER27)*100</f>
        <v>6.3303990292229759</v>
      </c>
      <c r="CF29" s="464">
        <f>('Attainment 25+ by race &amp; gender'!ZU28/'Pop 25+ by race &amp; gender'!DU27)*100</f>
        <v>76.847721371318428</v>
      </c>
      <c r="CG29" s="464">
        <f>('Attainment 25+ by race &amp; gender'!ABD28/'Pop 25+ by race &amp; gender'!ET27)*100</f>
        <v>19.417110456351729</v>
      </c>
      <c r="CH29" s="462">
        <f>('Attainment 25+ by race &amp; gender'!HG28/'Pop 25+ by race &amp; gender'!DK27)*100</f>
        <v>94.482516978426318</v>
      </c>
      <c r="CI29" s="452">
        <f>('Attainment 25+ by race &amp; gender'!IK28/'Pop 25+ by race &amp; gender'!EO27)*100</f>
        <v>95.322307783082863</v>
      </c>
      <c r="CJ29" s="462">
        <f>('Attainment 25+ by race &amp; gender'!HH28/'Pop 25+ by race &amp; gender'!DL27)*100</f>
        <v>89.170415502837969</v>
      </c>
      <c r="CK29" s="464">
        <f>('Attainment 25+ by race &amp; gender'!IL28/'Pop 25+ by race &amp; gender'!EP27)*100</f>
        <v>90.534959814479492</v>
      </c>
      <c r="CL29" s="464">
        <f>('Attainment 25+ by race &amp; gender'!HI28/'Pop 25+ by race &amp; gender'!DN27)*100</f>
        <v>61.098511396163957</v>
      </c>
      <c r="CM29" s="464">
        <f>('Attainment 25+ by race &amp; gender'!IM28/'Pop 25+ by race &amp; gender'!ER27)*100</f>
        <v>66.405860681607166</v>
      </c>
      <c r="CN29" s="464">
        <f>('Attainment 25+ by race &amp; gender'!ZL28/'Pop 25+ by race &amp; gender'!DK27)*100</f>
        <v>41.642842013506652</v>
      </c>
      <c r="CO29" s="464">
        <f>('Attainment 25+ by race &amp; gender'!AAP28/'Pop 25+ by race &amp; gender'!EO27)*100</f>
        <v>45.25083952964129</v>
      </c>
      <c r="CP29" s="464">
        <f>('Attainment 25+ by race &amp; gender'!ZM28/'Pop 25+ by race &amp; gender'!DL27)*100</f>
        <v>22.725524573259072</v>
      </c>
      <c r="CQ29" s="464">
        <f>('Attainment 25+ by race &amp; gender'!AAQ28/'Pop 25+ by race &amp; gender'!EP27)*100</f>
        <v>27.105435369611484</v>
      </c>
      <c r="CR29" s="464">
        <f>('Attainment 25+ by race &amp; gender'!ZN28/'Pop 25+ by race &amp; gender'!DN27)*100</f>
        <v>11.370699940923005</v>
      </c>
      <c r="CS29" s="464">
        <f>('Attainment 25+ by race &amp; gender'!AAR28/'Pop 25+ by race &amp; gender'!ER27)*100</f>
        <v>14.379153822347105</v>
      </c>
      <c r="CT29" s="350">
        <f>IFERROR(('Attainment 25+ by race &amp; gender'!HQ28/'Pop 25+ by race &amp; gender'!DU27)*100,"-")</f>
        <v>94.558633625832783</v>
      </c>
      <c r="CU29" s="452">
        <f>IFERROR(('Attainment 25+ by race &amp; gender'!IP28/'Pop 25+ by race &amp; gender'!ET27)*100,"-")</f>
        <v>95.5851762909504</v>
      </c>
      <c r="CV29" s="350">
        <f>IFERROR(('Attainment 25+ by race &amp; gender'!HR28/'Pop 25+ by race &amp; gender'!DV27)*100,"-")</f>
        <v>89.218723026623692</v>
      </c>
      <c r="CW29" s="452">
        <f>IFERROR(('Attainment 25+ by race &amp; gender'!IQ28/'Pop 25+ by race &amp; gender'!EU27)*100, "-")</f>
        <v>90.672262211479733</v>
      </c>
      <c r="CX29" s="452">
        <f>IFERROR(('Attainment 25+ by race &amp; gender'!HS28/'Pop 25+ by race &amp; gender'!DX27)*100, "-")</f>
        <v>62.642376243812038</v>
      </c>
      <c r="CY29" s="452">
        <f>IFERROR(('Attainment 25+ by race &amp; gender'!IR28/'Pop 25+ by race &amp; gender'!EW27)*100, "-")</f>
        <v>68.138262644301975</v>
      </c>
      <c r="CZ29" s="452">
        <f>IFERROR(('Attainment 25+ by race &amp; gender'!HU28/'Pop 25+ by race &amp; gender'!DY27)*100, "-")</f>
        <v>86.991010345198831</v>
      </c>
      <c r="DA29" s="452">
        <f>IFERROR(('Attainment 25+ by race &amp; gender'!IT28/'Pop 25+ by race &amp; gender'!EX27)*100, "-")</f>
        <v>88.634414619119482</v>
      </c>
      <c r="DB29" s="452">
        <f>IFERROR(('Attainment 25+ by race &amp; gender'!HV28/'Pop 25+ by race &amp; gender'!DZ27)*100, "-")</f>
        <v>86.551116037688317</v>
      </c>
      <c r="DC29" s="452">
        <f>IFERROR(('Attainment 25+ by race &amp; gender'!IU28/'Pop 25+ by race &amp; gender'!EY27)*100, "-")</f>
        <v>85.644184790991829</v>
      </c>
      <c r="DD29" s="452">
        <f>IFERROR(('Attainment 25+ by race &amp; gender'!HW28/'Pop 25+ by race &amp; gender'!EA27)*100, "-")</f>
        <v>75.632579926520236</v>
      </c>
      <c r="DE29" s="452">
        <f>IFERROR(('Attainment 25+ by race &amp; gender'!IV28/'Pop 25+ by race &amp; gender'!EZ27)*100, "-")</f>
        <v>70.462685246753097</v>
      </c>
      <c r="DF29" s="452">
        <f>IFERROR(('Attainment 25+ by race &amp; gender'!HX28/'Pop 25+ by race &amp; gender'!EB27)*100, "-")</f>
        <v>88.957575295753728</v>
      </c>
      <c r="DG29" s="452">
        <f>IFERROR(('Attainment 25+ by race &amp; gender'!IW28/'Pop 25+ by race &amp; gender'!FA27)*100, "-")</f>
        <v>76.059370016655038</v>
      </c>
      <c r="DH29" s="452">
        <f>IFERROR(('Attainment 25+ by race &amp; gender'!HY28/'Pop 25+ by race &amp; gender'!EC27)*100, "-")</f>
        <v>58.598783392083696</v>
      </c>
      <c r="DI29" s="452">
        <f>IFERROR(('Attainment 25+ by race &amp; gender'!IX28/'Pop 25+ by race &amp; gender'!FB27)*100, "-")</f>
        <v>64.020519219765021</v>
      </c>
      <c r="DJ29" s="452">
        <f>IFERROR(('Attainment 25+ by race &amp; gender'!ZV28/'Pop 25+ by race &amp; gender'!DU27)*100, "-")</f>
        <v>43.110066141356107</v>
      </c>
      <c r="DK29" s="452">
        <f>IFERROR(('Attainment 25+ by race &amp; gender'!AAU28/'Pop 25+ by race &amp; gender'!ET27)*100, "-")</f>
        <v>47.086896301821177</v>
      </c>
      <c r="DL29" s="452">
        <f>IFERROR(('Attainment 25+ by race &amp; gender'!ZW28/'Pop 25+ by race &amp; gender'!DV27)*100, "-")</f>
        <v>24.321148833634286</v>
      </c>
      <c r="DM29" s="452">
        <f>IFERROR(('Attainment 25+ by race &amp; gender'!AAV28/'Pop 25+ by race &amp; gender'!EU27)*100, "-")</f>
        <v>27.976639485776516</v>
      </c>
      <c r="DN29" s="452">
        <f>IFERROR(('Attainment 25+ by race &amp; gender'!ZX28/'Pop 25+ by race &amp; gender'!DX27)*100, "-")</f>
        <v>12.149228835678079</v>
      </c>
      <c r="DO29" s="452">
        <f>IFERROR(('Attainment 25+ by race &amp; gender'!AAW28/'Pop 25+ by race &amp; gender'!EW27)*100, "-")</f>
        <v>15.909695639563093</v>
      </c>
      <c r="DP29" s="452">
        <f>IFERROR(('Attainment 25+ by race &amp; gender'!ZZ28/'Pop 25+ by race &amp; gender'!DY27)*100, "-")</f>
        <v>51.766342380080843</v>
      </c>
      <c r="DQ29" s="452">
        <f>IFERROR(('Attainment 25+ by race &amp; gender'!AAY28/'Pop 25+ by race &amp; gender'!EX27)*100, "-")</f>
        <v>55.122016289940589</v>
      </c>
      <c r="DR29" s="452">
        <f>IFERROR(('Attainment 25+ by race &amp; gender'!AAA28/'Pop 25+ by race &amp; gender'!DZ27)*100, "-")</f>
        <v>15.13175794830453</v>
      </c>
      <c r="DS29" s="452">
        <f>IFERROR(('Attainment 25+ by race &amp; gender'!AAZ28/'Pop 25+ by race &amp; gender'!EY27)*100, "-")</f>
        <v>19.941577973160573</v>
      </c>
      <c r="DT29" s="452">
        <f>IFERROR(('Attainment 25+ by race &amp; gender'!AAB28/'Pop 25+ by race &amp; gender'!EA27)*100, "-")</f>
        <v>13.802178871644363</v>
      </c>
      <c r="DU29" s="452">
        <f>IFERROR(('Attainment 25+ by race &amp; gender'!ABA28/'Pop 25+ by race &amp; gender'!EZ27)*100, "-")</f>
        <v>16.712660276075809</v>
      </c>
      <c r="DV29" s="452">
        <f>IFERROR(('Attainment 25+ by race &amp; gender'!AAC28/'Pop 25+ by race &amp; gender'!EB27)*100, "-")</f>
        <v>34.157292400891549</v>
      </c>
      <c r="DW29" s="452">
        <f>IFERROR(('Attainment 25+ by race &amp; gender'!ABB28/'Pop 25+ by race &amp; gender'!FA27)*100, "-")</f>
        <v>24.652010486984935</v>
      </c>
      <c r="DX29" s="452">
        <f>IFERROR(('Attainment 25+ by race &amp; gender'!AAD28/'Pop 25+ by race &amp; gender'!EC27)*100, "-")</f>
        <v>9.2963901262937814</v>
      </c>
      <c r="DY29" s="452">
        <f>IFERROR(('Attainment 25+ by race &amp; gender'!ABC28/'Pop 25+ by race &amp; gender'!FB27)*100, "-")</f>
        <v>12.428550371491939</v>
      </c>
    </row>
    <row r="30" spans="1:129">
      <c r="A30" s="38" t="s">
        <v>28</v>
      </c>
      <c r="B30" s="351">
        <f>('Attainment 25+ by race &amp; gender'!FS29/'Pop 25+ by race &amp; gender'!AT28)*100</f>
        <v>89.543489716184752</v>
      </c>
      <c r="C30" s="444">
        <f>('Attainment 25+ by race &amp; gender'!GR29/'Pop 25+ by race &amp; gender'!CV28)*100</f>
        <v>91.499999999999986</v>
      </c>
      <c r="D30" s="352">
        <f>('Attainment 25+ by race &amp; gender'!FT29/'Pop 25+ by race &amp; gender'!AZ28)*100</f>
        <v>84.379151116452661</v>
      </c>
      <c r="E30" s="351">
        <f>('Attainment 25+ by race &amp; gender'!GS29/'Pop 25+ by race &amp; gender'!CW28)*100</f>
        <v>87.9</v>
      </c>
      <c r="F30" s="352">
        <f>('Attainment 25+ by race &amp; gender'!FU29/'Pop 25+ by race &amp; gender'!BC28)*100</f>
        <v>58.091002213223078</v>
      </c>
      <c r="G30" s="351">
        <f>('Attainment 25+ by race &amp; gender'!GT29/'Pop 25+ by race &amp; gender'!CY28)*100</f>
        <v>65.400000000000006</v>
      </c>
      <c r="H30" s="352">
        <f>('Attainment 25+ by race &amp; gender'!XM29/'Pop 25+ by race &amp; gender'!AT28)*100</f>
        <v>34.998939812861224</v>
      </c>
      <c r="I30" s="351">
        <f>('Attainment 25+ by race &amp; gender'!YW29/'Pop 25+ by race &amp; gender'!CV28)*100</f>
        <v>38.5</v>
      </c>
      <c r="J30" s="352">
        <f>('Attainment 25+ by race &amp; gender'!XS29/'Pop 25+ by race &amp; gender'!AZ28)*100</f>
        <v>20.469352900246697</v>
      </c>
      <c r="K30" s="351">
        <f>('Attainment 25+ by race &amp; gender'!YX29/'Pop 25+ by race &amp; gender'!CW28)*100</f>
        <v>21.3</v>
      </c>
      <c r="L30" s="352">
        <f>('Attainment 25+ by race &amp; gender'!XV29/'Pop 25+ by race &amp; gender'!BC28)*100</f>
        <v>10.438504774086715</v>
      </c>
      <c r="M30" s="437">
        <f>('Attainment 25+ by race &amp; gender'!YY29/'Pop 25+ by race &amp; gender'!CY28)*100</f>
        <v>12.5</v>
      </c>
      <c r="N30" s="351">
        <f>('Attainment 25+ by race &amp; gender'!FS29/'Pop 25+ by race &amp; gender'!AT28)*100</f>
        <v>89.543489716184752</v>
      </c>
      <c r="O30" s="445">
        <f>('Attainment 25+ by race &amp; gender'!GW29/'Pop 25+ by race &amp; gender'!DA28)*100</f>
        <v>95.603505433090177</v>
      </c>
      <c r="P30" s="352">
        <f>('Attainment 25+ by race &amp; gender'!FT29/'Pop 25+ by race &amp; gender'!AZ28)*100</f>
        <v>84.379151116452661</v>
      </c>
      <c r="Q30" s="351">
        <f>('Attainment 25+ by race &amp; gender'!GX29/'Pop 25+ by race &amp; gender'!DB28)*100</f>
        <v>87.779961948069371</v>
      </c>
      <c r="R30" s="352">
        <f>('Attainment 25+ by race &amp; gender'!FU29/'Pop 25+ by race &amp; gender'!BC28)*100</f>
        <v>58.091002213223078</v>
      </c>
      <c r="S30" s="351">
        <f>('Attainment 25+ by race &amp; gender'!GY29/'Pop 25+ by race &amp; gender'!DD28)*100</f>
        <v>66.808528793745268</v>
      </c>
      <c r="T30" s="352">
        <f>('Attainment 25+ by race &amp; gender'!XM29/'Pop 25+ by race &amp; gender'!AT28)*100</f>
        <v>34.998939812861224</v>
      </c>
      <c r="U30" s="351">
        <f>('Attainment 25+ by race &amp; gender'!ZB29/'Pop 25+ by race &amp; gender'!DA28)*100</f>
        <v>42.725343357265785</v>
      </c>
      <c r="V30" s="352">
        <f>('Attainment 25+ by race &amp; gender'!XS29/'Pop 25+ by race &amp; gender'!AZ28)*100</f>
        <v>20.469352900246697</v>
      </c>
      <c r="W30" s="351">
        <f>('Attainment 25+ by race &amp; gender'!ZC29/'Pop 25+ by race &amp; gender'!DB28)*100</f>
        <v>22.568268479264855</v>
      </c>
      <c r="X30" s="352">
        <f>('Attainment 25+ by race &amp; gender'!XV29/'Pop 25+ by race &amp; gender'!BC28)*100</f>
        <v>10.438504774086715</v>
      </c>
      <c r="Y30" s="437">
        <f>('Attainment 25+ by race &amp; gender'!ZD29/'Pop 25+ by race &amp; gender'!DD28)*100</f>
        <v>12.389647975709222</v>
      </c>
      <c r="Z30" s="460">
        <f>('Attainment 25+ by race &amp; gender'!FS29/'Pop 25+ by race &amp; gender'!AT28)*100</f>
        <v>89.543489716184752</v>
      </c>
      <c r="AA30" s="461">
        <f>('Attainment 25+ by race &amp; gender'!HB29/'Pop 25+ by race &amp; gender'!DF28)*100</f>
        <v>95.67217297487008</v>
      </c>
      <c r="AB30" s="462">
        <f>('Attainment 25+ by race &amp; gender'!FT29/'Pop 25+ by race &amp; gender'!AZ28)*100</f>
        <v>84.379151116452661</v>
      </c>
      <c r="AC30" s="460">
        <f>('Attainment 25+ by race &amp; gender'!HC29/'Pop 25+ by race &amp; gender'!DG28)*100</f>
        <v>88.452027885837538</v>
      </c>
      <c r="AD30" s="462">
        <f>('Attainment 25+ by race &amp; gender'!FU29/'Pop 25+ by race &amp; gender'!BC28)*100</f>
        <v>58.091002213223078</v>
      </c>
      <c r="AE30" s="460">
        <f>('Attainment 25+ by race &amp; gender'!HD29/'Pop 25+ by race &amp; gender'!DI28)*100</f>
        <v>67.983054885545698</v>
      </c>
      <c r="AF30" s="462">
        <f>('Attainment 25+ by race &amp; gender'!XM29/'Pop 25+ by race &amp; gender'!AT28)*100</f>
        <v>34.998939812861224</v>
      </c>
      <c r="AG30" s="463">
        <f>('Attainment 25+ by race &amp; gender'!ZG29/'Pop 25+ by race &amp; gender'!DF28)*100</f>
        <v>43.225276450991608</v>
      </c>
      <c r="AH30" s="462">
        <f>('Attainment 25+ by race &amp; gender'!XS29/'Pop 25+ by race &amp; gender'!AZ28)*100</f>
        <v>20.469352900246697</v>
      </c>
      <c r="AI30" s="463">
        <f>('Attainment 25+ by race &amp; gender'!ZH29/'Pop 25+ by race &amp; gender'!DG28)*100</f>
        <v>23.350922466587065</v>
      </c>
      <c r="AJ30" s="462">
        <f>('Attainment 25+ by race &amp; gender'!XV29/'Pop 25+ by race &amp; gender'!BC28)*100</f>
        <v>10.438504774086715</v>
      </c>
      <c r="AK30" s="464">
        <f>('Attainment 25+ by race &amp; gender'!ZI29/'Pop 25+ by race &amp; gender'!DI28)*100</f>
        <v>12.786918315992299</v>
      </c>
      <c r="AL30" s="462">
        <f>('Attainment 25+ by race &amp; gender'!FS29/'Pop 25+ by race &amp; gender'!AT28)*100</f>
        <v>89.543489716184752</v>
      </c>
      <c r="AM30" s="464">
        <f>('Attainment 25+ by race &amp; gender'!HL29/'Pop 25+ by race &amp; gender'!DP28)*100</f>
        <v>96.410962024436472</v>
      </c>
      <c r="AN30" s="462">
        <v>84.379151116452661</v>
      </c>
      <c r="AO30" s="464">
        <f>('Attainment 25+ by race &amp; gender'!HM29/'Pop 25+ by race &amp; gender'!DQ28)*100</f>
        <v>90.063842545236497</v>
      </c>
      <c r="AP30" s="464">
        <f>('Attainment 25+ by race &amp; gender'!FU29/'Pop 25+ by race &amp; gender'!BC28)*100</f>
        <v>58.091002213223078</v>
      </c>
      <c r="AQ30" s="464">
        <f>('Attainment 25+ by race &amp; gender'!HN29/'Pop 25+ by race &amp; gender'!DS28)*100</f>
        <v>69.960405015470002</v>
      </c>
      <c r="AR30" s="464">
        <f>('Attainment 25+ by race &amp; gender'!XM29/'Pop 25+ by race &amp; gender'!AT28)*100</f>
        <v>34.998939812861224</v>
      </c>
      <c r="AS30" s="464">
        <f>('Attainment 25+ by race &amp; gender'!ZQ29/'Pop 25+ by race &amp; gender'!DP28)*100</f>
        <v>45.612165433207188</v>
      </c>
      <c r="AT30" s="464">
        <f>('Attainment 25+ by race &amp; gender'!XS29/'Pop 25+ by race &amp; gender'!AZ28)*100</f>
        <v>20.469352900246697</v>
      </c>
      <c r="AU30" s="464">
        <f>('Attainment 25+ by race &amp; gender'!ZR29/'Pop 25+ by race &amp; gender'!DQ28)*100</f>
        <v>24.26863249973546</v>
      </c>
      <c r="AV30" s="464">
        <f>('Attainment 25+ by race &amp; gender'!XV29/'Pop 25+ by race &amp; gender'!BC28)*100</f>
        <v>10.438504774086715</v>
      </c>
      <c r="AW30" s="464">
        <f>('Attainment 25+ by race &amp; gender'!ZS29/'Pop 25+ by race &amp; gender'!DS28)*100</f>
        <v>14.23018789849659</v>
      </c>
      <c r="AX30" s="462">
        <f>('Attainment 25+ by race &amp; gender'!GR29/'Pop 25+ by race &amp; gender'!CV28)*100</f>
        <v>91.499999999999986</v>
      </c>
      <c r="AY30" s="464">
        <f>('Attainment 25+ by race &amp; gender'!HQ29/'Pop 25+ by race &amp; gender'!DU28)*100</f>
        <v>96.491760358481656</v>
      </c>
      <c r="AZ30" s="462">
        <f>('Attainment 25+ by race &amp; gender'!GS29/'Pop 25+ by race &amp; gender'!CW28)*100</f>
        <v>87.9</v>
      </c>
      <c r="BA30" s="464">
        <f>('Attainment 25+ by race &amp; gender'!HR29/'Pop 25+ by race &amp; gender'!DV28)*100</f>
        <v>89.156386378474963</v>
      </c>
      <c r="BB30" s="464">
        <f>('Attainment 25+ by race &amp; gender'!GT29/'Pop 25+ by race &amp; gender'!CY28)*100</f>
        <v>65.400000000000006</v>
      </c>
      <c r="BC30" s="464">
        <f>('Attainment 25+ by race &amp; gender'!HS29/'Pop 25+ by race &amp; gender'!DX28)*100</f>
        <v>71.059771895567309</v>
      </c>
      <c r="BD30" s="464">
        <f>('Attainment 25+ by race &amp; gender'!YW29/'Pop 25+ by race &amp; gender'!CV28)*100</f>
        <v>38.5</v>
      </c>
      <c r="BE30" s="464">
        <f>('Attainment 25+ by race &amp; gender'!ZV29/'Pop 25+ by race &amp; gender'!DU28)*100</f>
        <v>45.961002381143345</v>
      </c>
      <c r="BF30" s="464">
        <f>('Attainment 25+ by race &amp; gender'!YX29/'Pop 25+ by race &amp; gender'!CW28)*100</f>
        <v>21.3</v>
      </c>
      <c r="BG30" s="464">
        <f>('Attainment 25+ by race &amp; gender'!ZW29/'Pop 25+ by race &amp; gender'!DV28)*100</f>
        <v>24.566166111130201</v>
      </c>
      <c r="BH30" s="464">
        <f>('Attainment 25+ by race &amp; gender'!YY29/'Pop 25+ by race &amp; gender'!CY28)*100</f>
        <v>12.5</v>
      </c>
      <c r="BI30" s="464">
        <f>('Attainment 25+ by race &amp; gender'!ZX29/'Pop 25+ by race &amp; gender'!DX28)*100</f>
        <v>15.697060492355549</v>
      </c>
      <c r="BJ30" s="462">
        <f>('Attainment 25+ by race &amp; gender'!GW29/'Pop 25+ by race &amp; gender'!DA28)*100</f>
        <v>95.603505433090177</v>
      </c>
      <c r="BK30" s="464">
        <f>('Attainment 25+ by race &amp; gender'!IA29/'Pop 25+ by race &amp; gender'!EE28)*100</f>
        <v>96.327762901920764</v>
      </c>
      <c r="BL30" s="462">
        <f>('Attainment 25+ by race &amp; gender'!GX29/'Pop 25+ by race &amp; gender'!DB28)*100</f>
        <v>87.779961948069371</v>
      </c>
      <c r="BM30" s="464">
        <f>('Attainment 25+ by race &amp; gender'!IB29/'Pop 25+ by race &amp; gender'!EF28)*100</f>
        <v>90.966412443689833</v>
      </c>
      <c r="BN30" s="464">
        <f>('Attainment 25+ by race &amp; gender'!GY29/'Pop 25+ by race &amp; gender'!DD28)*100</f>
        <v>66.808528793745268</v>
      </c>
      <c r="BO30" s="464">
        <f>('Attainment 25+ by race &amp; gender'!IC29/'Pop 25+ by race &amp; gender'!EH28)*100</f>
        <v>73.306034495623123</v>
      </c>
      <c r="BP30" s="464">
        <f>('Attainment 25+ by race &amp; gender'!ZB29/'Pop 25+ by race &amp; gender'!DA28)*100</f>
        <v>42.725343357265785</v>
      </c>
      <c r="BQ30" s="464">
        <f>('Attainment 25+ by race &amp; gender'!AAF29/'Pop 25+ by race &amp; gender'!EE28)*100</f>
        <v>47.479862173565913</v>
      </c>
      <c r="BR30" s="464">
        <f>('Attainment 25+ by race &amp; gender'!ZC29/'Pop 25+ by race &amp; gender'!DB28)*100</f>
        <v>22.568268479264855</v>
      </c>
      <c r="BS30" s="464">
        <f>('Attainment 25+ by race &amp; gender'!AAG29/'Pop 25+ by race &amp; gender'!EF28)*100</f>
        <v>28.197527145263102</v>
      </c>
      <c r="BT30" s="464">
        <f>('Attainment 25+ by race &amp; gender'!ZD29/'Pop 25+ by race &amp; gender'!DD28)*100</f>
        <v>12.389647975709222</v>
      </c>
      <c r="BU30" s="464">
        <f>('Attainment 25+ by race &amp; gender'!AAH29/'Pop 25+ by race &amp; gender'!EH28)*100</f>
        <v>16.06025243466037</v>
      </c>
      <c r="BV30" s="462">
        <f>('Attainment 25+ by race &amp; gender'!HN29/'Pop 25+ by race &amp; gender'!DR28)*100</f>
        <v>126.93666663801034</v>
      </c>
      <c r="BW30" s="464" t="e">
        <f>('Attainment 25+ by race &amp; gender'!JB29/'Pop 25+ by race &amp; gender'!EQ28)*100</f>
        <v>#VALUE!</v>
      </c>
      <c r="BX30" s="462">
        <f>('Attainment 25+ by race &amp; gender'!HO29/'Pop 25+ by race &amp; gender'!DS28)*100</f>
        <v>43.689677664922513</v>
      </c>
      <c r="BY30" s="464" t="e">
        <f>('Attainment 25+ by race &amp; gender'!JC29/'Pop 25+ by race &amp; gender'!ER28)*100</f>
        <v>#VALUE!</v>
      </c>
      <c r="BZ30" s="464">
        <f>('Attainment 25+ by race &amp; gender'!HP29/'Pop 25+ by race &amp; gender'!DU28)*100</f>
        <v>124.29851357280741</v>
      </c>
      <c r="CA30" s="464">
        <f>('Attainment 25+ by race &amp; gender'!JD29/'Pop 25+ by race &amp; gender'!ET28)*100</f>
        <v>23.043877980976426</v>
      </c>
      <c r="CB30" s="464">
        <f>('Attainment 25+ by race &amp; gender'!ZS29/'Pop 25+ by race &amp; gender'!DR28)*100</f>
        <v>25.81935620681849</v>
      </c>
      <c r="CC30" s="464">
        <f>('Attainment 25+ by race &amp; gender'!ABB29/'Pop 25+ by race &amp; gender'!EQ28)*100</f>
        <v>36.263220607564463</v>
      </c>
      <c r="CD30" s="464">
        <f>('Attainment 25+ by race &amp; gender'!ZT29/'Pop 25+ by race &amp; gender'!DS28)*100</f>
        <v>16.198091796557275</v>
      </c>
      <c r="CE30" s="464">
        <f>('Attainment 25+ by race &amp; gender'!ABC29/'Pop 25+ by race &amp; gender'!ER28)*100</f>
        <v>5.963634423608001</v>
      </c>
      <c r="CF30" s="464">
        <f>('Attainment 25+ by race &amp; gender'!ZU29/'Pop 25+ by race &amp; gender'!DU28)*100</f>
        <v>54.180211287004163</v>
      </c>
      <c r="CG30" s="464">
        <f>('Attainment 25+ by race &amp; gender'!ABD29/'Pop 25+ by race &amp; gender'!ET28)*100</f>
        <v>10.903960648868429</v>
      </c>
      <c r="CH30" s="462">
        <f>('Attainment 25+ by race &amp; gender'!HG29/'Pop 25+ by race &amp; gender'!DK28)*100</f>
        <v>95.724917502011792</v>
      </c>
      <c r="CI30" s="452">
        <f>('Attainment 25+ by race &amp; gender'!IK29/'Pop 25+ by race &amp; gender'!EO28)*100</f>
        <v>96.752300450951623</v>
      </c>
      <c r="CJ30" s="462">
        <f>('Attainment 25+ by race &amp; gender'!HH29/'Pop 25+ by race &amp; gender'!DL28)*100</f>
        <v>90.275853287694829</v>
      </c>
      <c r="CK30" s="464">
        <f>('Attainment 25+ by race &amp; gender'!IL29/'Pop 25+ by race &amp; gender'!EP28)*100</f>
        <v>92.353141178206457</v>
      </c>
      <c r="CL30" s="464">
        <f>('Attainment 25+ by race &amp; gender'!HI29/'Pop 25+ by race &amp; gender'!DN28)*100</f>
        <v>68.979936393262392</v>
      </c>
      <c r="CM30" s="464">
        <f>('Attainment 25+ by race &amp; gender'!IM29/'Pop 25+ by race &amp; gender'!ER28)*100</f>
        <v>75.201715087179394</v>
      </c>
      <c r="CN30" s="464">
        <f>('Attainment 25+ by race &amp; gender'!ZL29/'Pop 25+ by race &amp; gender'!DK28)*100</f>
        <v>44.38917566087909</v>
      </c>
      <c r="CO30" s="464">
        <f>('Attainment 25+ by race &amp; gender'!AAP29/'Pop 25+ by race &amp; gender'!EO28)*100</f>
        <v>49.003444856239625</v>
      </c>
      <c r="CP30" s="464">
        <f>('Attainment 25+ by race &amp; gender'!ZM29/'Pop 25+ by race &amp; gender'!DL28)*100</f>
        <v>23.161040497929044</v>
      </c>
      <c r="CQ30" s="464">
        <f>('Attainment 25+ by race &amp; gender'!AAQ29/'Pop 25+ by race &amp; gender'!EP28)*100</f>
        <v>27.634541733758443</v>
      </c>
      <c r="CR30" s="464">
        <f>('Attainment 25+ by race &amp; gender'!ZN29/'Pop 25+ by race &amp; gender'!DN28)*100</f>
        <v>13.567964977030901</v>
      </c>
      <c r="CS30" s="464">
        <f>('Attainment 25+ by race &amp; gender'!AAR29/'Pop 25+ by race &amp; gender'!ER28)*100</f>
        <v>18.494609465270749</v>
      </c>
      <c r="CT30" s="350">
        <f>IFERROR(('Attainment 25+ by race &amp; gender'!HQ29/'Pop 25+ by race &amp; gender'!DU28)*100,"-")</f>
        <v>96.491760358481656</v>
      </c>
      <c r="CU30" s="452">
        <f>IFERROR(('Attainment 25+ by race &amp; gender'!IP29/'Pop 25+ by race &amp; gender'!ET28)*100,"-")</f>
        <v>96.854127513969587</v>
      </c>
      <c r="CV30" s="350">
        <f>IFERROR(('Attainment 25+ by race &amp; gender'!HR29/'Pop 25+ by race &amp; gender'!DV28)*100,"-")</f>
        <v>89.156386378474963</v>
      </c>
      <c r="CW30" s="452">
        <f>IFERROR(('Attainment 25+ by race &amp; gender'!IQ29/'Pop 25+ by race &amp; gender'!EU28)*100, "-")</f>
        <v>90.672863773046615</v>
      </c>
      <c r="CX30" s="452">
        <f>IFERROR(('Attainment 25+ by race &amp; gender'!HS29/'Pop 25+ by race &amp; gender'!DX28)*100, "-")</f>
        <v>71.059771895567309</v>
      </c>
      <c r="CY30" s="452">
        <f>IFERROR(('Attainment 25+ by race &amp; gender'!IR29/'Pop 25+ by race &amp; gender'!EW28)*100, "-")</f>
        <v>76.358668586887759</v>
      </c>
      <c r="CZ30" s="452">
        <f>IFERROR(('Attainment 25+ by race &amp; gender'!HU29/'Pop 25+ by race &amp; gender'!DY28)*100, "-")</f>
        <v>86.943839681245422</v>
      </c>
      <c r="DA30" s="452">
        <f>IFERROR(('Attainment 25+ by race &amp; gender'!IT29/'Pop 25+ by race &amp; gender'!EX28)*100, "-")</f>
        <v>85.808580858085804</v>
      </c>
      <c r="DB30" s="452">
        <f>IFERROR(('Attainment 25+ by race &amp; gender'!HV29/'Pop 25+ by race &amp; gender'!DZ28)*100, "-")</f>
        <v>90.177326160589757</v>
      </c>
      <c r="DC30" s="452">
        <f>IFERROR(('Attainment 25+ by race &amp; gender'!IU29/'Pop 25+ by race &amp; gender'!EY28)*100, "-")</f>
        <v>0</v>
      </c>
      <c r="DD30" s="452">
        <f>IFERROR(('Attainment 25+ by race &amp; gender'!HW29/'Pop 25+ by race &amp; gender'!EA28)*100, "-")</f>
        <v>81.815589082508623</v>
      </c>
      <c r="DE30" s="452">
        <f>IFERROR(('Attainment 25+ by race &amp; gender'!IV29/'Pop 25+ by race &amp; gender'!EZ28)*100, "-")</f>
        <v>81.341799448903799</v>
      </c>
      <c r="DF30" s="452">
        <f>IFERROR(('Attainment 25+ by race &amp; gender'!HX29/'Pop 25+ by race &amp; gender'!EB28)*100, "-")</f>
        <v>91.253267020223802</v>
      </c>
      <c r="DG30" s="452">
        <f>IFERROR(('Attainment 25+ by race &amp; gender'!IW29/'Pop 25+ by race &amp; gender'!FA28)*100, "-")</f>
        <v>83.406836744152514</v>
      </c>
      <c r="DH30" s="452">
        <f>IFERROR(('Attainment 25+ by race &amp; gender'!HY29/'Pop 25+ by race &amp; gender'!EC28)*100, "-")</f>
        <v>69.17525850610879</v>
      </c>
      <c r="DI30" s="452">
        <f>IFERROR(('Attainment 25+ by race &amp; gender'!IX29/'Pop 25+ by race &amp; gender'!FB28)*100, "-")</f>
        <v>71.025269171610645</v>
      </c>
      <c r="DJ30" s="452">
        <f>IFERROR(('Attainment 25+ by race &amp; gender'!ZV29/'Pop 25+ by race &amp; gender'!DU28)*100, "-")</f>
        <v>45.961002381143345</v>
      </c>
      <c r="DK30" s="452">
        <f>IFERROR(('Attainment 25+ by race &amp; gender'!AAU29/'Pop 25+ by race &amp; gender'!ET28)*100, "-")</f>
        <v>50.770115376913104</v>
      </c>
      <c r="DL30" s="452">
        <f>IFERROR(('Attainment 25+ by race &amp; gender'!ZW29/'Pop 25+ by race &amp; gender'!DV28)*100, "-")</f>
        <v>24.566166111130201</v>
      </c>
      <c r="DM30" s="452">
        <f>IFERROR(('Attainment 25+ by race &amp; gender'!AAV29/'Pop 25+ by race &amp; gender'!EU28)*100, "-")</f>
        <v>29.981180977383687</v>
      </c>
      <c r="DN30" s="452">
        <f>IFERROR(('Attainment 25+ by race &amp; gender'!ZX29/'Pop 25+ by race &amp; gender'!DX28)*100, "-")</f>
        <v>15.697060492355549</v>
      </c>
      <c r="DO30" s="452">
        <f>IFERROR(('Attainment 25+ by race &amp; gender'!AAW29/'Pop 25+ by race &amp; gender'!EW28)*100, "-")</f>
        <v>21.40153707417527</v>
      </c>
      <c r="DP30" s="452">
        <f>IFERROR(('Attainment 25+ by race &amp; gender'!ZZ29/'Pop 25+ by race &amp; gender'!DY28)*100, "-")</f>
        <v>50.647680371207862</v>
      </c>
      <c r="DQ30" s="452">
        <f>IFERROR(('Attainment 25+ by race &amp; gender'!AAY29/'Pop 25+ by race &amp; gender'!EX28)*100, "-")</f>
        <v>53.880287357594824</v>
      </c>
      <c r="DR30" s="452">
        <f>IFERROR(('Attainment 25+ by race &amp; gender'!AAA29/'Pop 25+ by race &amp; gender'!DZ28)*100, "-")</f>
        <v>10.500099621438535</v>
      </c>
      <c r="DS30" s="452">
        <f>IFERROR(('Attainment 25+ by race &amp; gender'!AAZ29/'Pop 25+ by race &amp; gender'!EY28)*100, "-")</f>
        <v>0</v>
      </c>
      <c r="DT30" s="452">
        <f>IFERROR(('Attainment 25+ by race &amp; gender'!AAB29/'Pop 25+ by race &amp; gender'!EA28)*100, "-")</f>
        <v>17.96480620597211</v>
      </c>
      <c r="DU30" s="452">
        <f>IFERROR(('Attainment 25+ by race &amp; gender'!ABA29/'Pop 25+ by race &amp; gender'!EZ28)*100, "-")</f>
        <v>18.861866538876242</v>
      </c>
      <c r="DV30" s="452">
        <f>IFERROR(('Attainment 25+ by race &amp; gender'!AAC29/'Pop 25+ by race &amp; gender'!EB28)*100, "-")</f>
        <v>36.97632520490243</v>
      </c>
      <c r="DW30" s="452">
        <f>IFERROR(('Attainment 25+ by race &amp; gender'!ABB29/'Pop 25+ by race &amp; gender'!FA28)*100, "-")</f>
        <v>30.404663569979295</v>
      </c>
      <c r="DX30" s="452">
        <f>IFERROR(('Attainment 25+ by race &amp; gender'!AAD29/'Pop 25+ by race &amp; gender'!EC28)*100, "-")</f>
        <v>12.023068431842246</v>
      </c>
      <c r="DY30" s="452">
        <f>IFERROR(('Attainment 25+ by race &amp; gender'!ABC29/'Pop 25+ by race &amp; gender'!FB28)*100, "-")</f>
        <v>18.667106130520764</v>
      </c>
    </row>
    <row r="31" spans="1:129" s="465" customFormat="1" ht="14.45">
      <c r="A31" s="455" t="s">
        <v>29</v>
      </c>
      <c r="B31" s="456">
        <f>('Attainment 25+ by race &amp; gender'!FS30/'Pop 25+ by race &amp; gender'!AT29)*100</f>
        <v>92.656627368401615</v>
      </c>
      <c r="C31" s="457">
        <f>('Attainment 25+ by race &amp; gender'!GR30/'Pop 25+ by race &amp; gender'!CV29)*100</f>
        <v>95.2</v>
      </c>
      <c r="D31" s="458">
        <f>('Attainment 25+ by race &amp; gender'!FT30/'Pop 25+ by race &amp; gender'!AZ29)*100</f>
        <v>92.920207937948675</v>
      </c>
      <c r="E31" s="456">
        <f>('Attainment 25+ by race &amp; gender'!GS30/'Pop 25+ by race &amp; gender'!CW29)*100</f>
        <v>94.699999999999989</v>
      </c>
      <c r="F31" s="458">
        <f>('Attainment 25+ by race &amp; gender'!FU30/'Pop 25+ by race &amp; gender'!BC29)*100</f>
        <v>81.499841273717365</v>
      </c>
      <c r="G31" s="456">
        <f>('Attainment 25+ by race &amp; gender'!GT30/'Pop 25+ by race &amp; gender'!CY29)*100</f>
        <v>86.899999999999991</v>
      </c>
      <c r="H31" s="458">
        <f>('Attainment 25+ by race &amp; gender'!XM30/'Pop 25+ by race &amp; gender'!AT29)*100</f>
        <v>36.499822211139282</v>
      </c>
      <c r="I31" s="456">
        <f>('Attainment 25+ by race &amp; gender'!YW30/'Pop 25+ by race &amp; gender'!CV29)*100</f>
        <v>39.900000000000006</v>
      </c>
      <c r="J31" s="458">
        <f>('Attainment 25+ by race &amp; gender'!XS30/'Pop 25+ by race &amp; gender'!AZ29)*100</f>
        <v>21.000082515058999</v>
      </c>
      <c r="K31" s="456">
        <f>('Attainment 25+ by race &amp; gender'!YX30/'Pop 25+ by race &amp; gender'!CW29)*100</f>
        <v>25.199999999999996</v>
      </c>
      <c r="L31" s="458">
        <f>('Attainment 25+ by race &amp; gender'!XV30/'Pop 25+ by race &amp; gender'!BC29)*100</f>
        <v>13.333007740958708</v>
      </c>
      <c r="M31" s="459">
        <f>('Attainment 25+ by race &amp; gender'!YY30/'Pop 25+ by race &amp; gender'!CY29)*100</f>
        <v>18.199999999999996</v>
      </c>
      <c r="N31" s="460">
        <f>('Attainment 25+ by race &amp; gender'!FS30/'Pop 25+ by race &amp; gender'!AT29)*100</f>
        <v>92.656627368401615</v>
      </c>
      <c r="O31" s="461">
        <f>('Attainment 25+ by race &amp; gender'!GW30/'Pop 25+ by race &amp; gender'!DA29)*100</f>
        <v>96.338223689374942</v>
      </c>
      <c r="P31" s="462">
        <f>('Attainment 25+ by race &amp; gender'!FT30/'Pop 25+ by race &amp; gender'!AZ29)*100</f>
        <v>92.920207937948675</v>
      </c>
      <c r="Q31" s="460">
        <f>('Attainment 25+ by race &amp; gender'!GX30/'Pop 25+ by race &amp; gender'!DB29)*100</f>
        <v>94.350244167118831</v>
      </c>
      <c r="R31" s="462">
        <f>('Attainment 25+ by race &amp; gender'!FU30/'Pop 25+ by race &amp; gender'!BC29)*100</f>
        <v>81.499841273717365</v>
      </c>
      <c r="S31" s="460">
        <f>('Attainment 25+ by race &amp; gender'!GY30/'Pop 25+ by race &amp; gender'!DD29)*100</f>
        <v>86.267605633802816</v>
      </c>
      <c r="T31" s="462">
        <f>('Attainment 25+ by race &amp; gender'!XM30/'Pop 25+ by race &amp; gender'!AT29)*100</f>
        <v>36.499822211139282</v>
      </c>
      <c r="U31" s="463">
        <f>('Attainment 25+ by race &amp; gender'!ZB30/'Pop 25+ by race &amp; gender'!DA29)*100</f>
        <v>40.957110572175786</v>
      </c>
      <c r="V31" s="462">
        <f>('Attainment 25+ by race &amp; gender'!XS30/'Pop 25+ by race &amp; gender'!AZ29)*100</f>
        <v>21.000082515058999</v>
      </c>
      <c r="W31" s="463">
        <f>('Attainment 25+ by race &amp; gender'!ZC30/'Pop 25+ by race &amp; gender'!DB29)*100</f>
        <v>26.946554530656535</v>
      </c>
      <c r="X31" s="462">
        <f>('Attainment 25+ by race &amp; gender'!XV30/'Pop 25+ by race &amp; gender'!BC29)*100</f>
        <v>13.333007740958708</v>
      </c>
      <c r="Y31" s="494">
        <f>('Attainment 25+ by race &amp; gender'!ZD30/'Pop 25+ by race &amp; gender'!DD29)*100</f>
        <v>18.363544495673594</v>
      </c>
      <c r="Z31" s="460">
        <f>('Attainment 25+ by race &amp; gender'!FS30/'Pop 25+ by race &amp; gender'!AT29)*100</f>
        <v>92.656627368401615</v>
      </c>
      <c r="AA31" s="461">
        <f>('Attainment 25+ by race &amp; gender'!HB30/'Pop 25+ by race &amp; gender'!DF29)*100</f>
        <v>96.67552594298219</v>
      </c>
      <c r="AB31" s="462">
        <f>('Attainment 25+ by race &amp; gender'!FT30/'Pop 25+ by race &amp; gender'!AZ29)*100</f>
        <v>92.920207937948675</v>
      </c>
      <c r="AC31" s="460">
        <f>('Attainment 25+ by race &amp; gender'!HC30/'Pop 25+ by race &amp; gender'!DG29)*100</f>
        <v>96.116622308250669</v>
      </c>
      <c r="AD31" s="462">
        <f>('Attainment 25+ by race &amp; gender'!FU30/'Pop 25+ by race &amp; gender'!BC29)*100</f>
        <v>81.499841273717365</v>
      </c>
      <c r="AE31" s="460">
        <f>('Attainment 25+ by race &amp; gender'!HD30/'Pop 25+ by race &amp; gender'!DI29)*100</f>
        <v>88.268420011262805</v>
      </c>
      <c r="AF31" s="462">
        <f>('Attainment 25+ by race &amp; gender'!XM30/'Pop 25+ by race &amp; gender'!AT29)*100</f>
        <v>36.499822211139282</v>
      </c>
      <c r="AG31" s="463">
        <f>('Attainment 25+ by race &amp; gender'!ZG30/'Pop 25+ by race &amp; gender'!DF29)*100</f>
        <v>41.587974246859446</v>
      </c>
      <c r="AH31" s="462">
        <f>('Attainment 25+ by race &amp; gender'!XS30/'Pop 25+ by race &amp; gender'!AZ29)*100</f>
        <v>21.000082515058999</v>
      </c>
      <c r="AI31" s="463">
        <f>('Attainment 25+ by race &amp; gender'!ZH30/'Pop 25+ by race &amp; gender'!DG29)*100</f>
        <v>27.213888216791677</v>
      </c>
      <c r="AJ31" s="462">
        <f>('Attainment 25+ by race &amp; gender'!XV30/'Pop 25+ by race &amp; gender'!BC29)*100</f>
        <v>13.333007740958708</v>
      </c>
      <c r="AK31" s="464">
        <f>('Attainment 25+ by race &amp; gender'!ZI30/'Pop 25+ by race &amp; gender'!DI29)*100</f>
        <v>19.700774698263398</v>
      </c>
      <c r="AL31" s="462">
        <f>('Attainment 25+ by race &amp; gender'!FS30/'Pop 25+ by race &amp; gender'!AT29)*100</f>
        <v>92.656627368401615</v>
      </c>
      <c r="AM31" s="464">
        <f>('Attainment 25+ by race &amp; gender'!HL30/'Pop 25+ by race &amp; gender'!DP29)*100</f>
        <v>95.811019117389989</v>
      </c>
      <c r="AN31" s="462">
        <v>92.920207937948675</v>
      </c>
      <c r="AO31" s="464">
        <f>('Attainment 25+ by race &amp; gender'!HM30/'Pop 25+ by race &amp; gender'!DQ29)*100</f>
        <v>94.725760065735415</v>
      </c>
      <c r="AP31" s="464">
        <f>('Attainment 25+ by race &amp; gender'!FU30/'Pop 25+ by race &amp; gender'!BC29)*100</f>
        <v>81.499841273717365</v>
      </c>
      <c r="AQ31" s="464">
        <f>('Attainment 25+ by race &amp; gender'!HN30/'Pop 25+ by race &amp; gender'!DS29)*100</f>
        <v>89.422496478637072</v>
      </c>
      <c r="AR31" s="464">
        <f>('Attainment 25+ by race &amp; gender'!XM30/'Pop 25+ by race &amp; gender'!AT29)*100</f>
        <v>36.499822211139282</v>
      </c>
      <c r="AS31" s="464">
        <f>('Attainment 25+ by race &amp; gender'!ZQ30/'Pop 25+ by race &amp; gender'!DP29)*100</f>
        <v>44.814229186199881</v>
      </c>
      <c r="AT31" s="464">
        <f>('Attainment 25+ by race &amp; gender'!XS30/'Pop 25+ by race &amp; gender'!AZ29)*100</f>
        <v>21.000082515058999</v>
      </c>
      <c r="AU31" s="464">
        <f>('Attainment 25+ by race &amp; gender'!ZR30/'Pop 25+ by race &amp; gender'!DQ29)*100</f>
        <v>27.603738701725554</v>
      </c>
      <c r="AV31" s="464">
        <f>('Attainment 25+ by race &amp; gender'!XV30/'Pop 25+ by race &amp; gender'!BC29)*100</f>
        <v>13.333007740958708</v>
      </c>
      <c r="AW31" s="464">
        <f>('Attainment 25+ by race &amp; gender'!ZS30/'Pop 25+ by race &amp; gender'!DS29)*100</f>
        <v>21.239519753169226</v>
      </c>
      <c r="AX31" s="462">
        <f>('Attainment 25+ by race &amp; gender'!GR30/'Pop 25+ by race &amp; gender'!CV29)*100</f>
        <v>95.2</v>
      </c>
      <c r="AY31" s="464">
        <f>('Attainment 25+ by race &amp; gender'!HQ30/'Pop 25+ by race &amp; gender'!DU29)*100</f>
        <v>96.870494757536036</v>
      </c>
      <c r="AZ31" s="462">
        <f>('Attainment 25+ by race &amp; gender'!GS30/'Pop 25+ by race &amp; gender'!CW29)*100</f>
        <v>94.699999999999989</v>
      </c>
      <c r="BA31" s="464">
        <f>('Attainment 25+ by race &amp; gender'!HR30/'Pop 25+ by race &amp; gender'!DV29)*100</f>
        <v>95.291533072081705</v>
      </c>
      <c r="BB31" s="464">
        <f>('Attainment 25+ by race &amp; gender'!GT30/'Pop 25+ by race &amp; gender'!CY29)*100</f>
        <v>86.899999999999991</v>
      </c>
      <c r="BC31" s="464">
        <f>('Attainment 25+ by race &amp; gender'!HS30/'Pop 25+ by race &amp; gender'!DX29)*100</f>
        <v>90.984666040790785</v>
      </c>
      <c r="BD31" s="464">
        <f>('Attainment 25+ by race &amp; gender'!YW30/'Pop 25+ by race &amp; gender'!CV29)*100</f>
        <v>39.900000000000006</v>
      </c>
      <c r="BE31" s="464">
        <f>('Attainment 25+ by race &amp; gender'!ZV30/'Pop 25+ by race &amp; gender'!DU29)*100</f>
        <v>44.77965268676278</v>
      </c>
      <c r="BF31" s="464">
        <f>('Attainment 25+ by race &amp; gender'!YX30/'Pop 25+ by race &amp; gender'!CW29)*100</f>
        <v>25.199999999999996</v>
      </c>
      <c r="BG31" s="464">
        <f>('Attainment 25+ by race &amp; gender'!ZW30/'Pop 25+ by race &amp; gender'!DV29)*100</f>
        <v>24.646716541978385</v>
      </c>
      <c r="BH31" s="464">
        <f>('Attainment 25+ by race &amp; gender'!YY30/'Pop 25+ by race &amp; gender'!CY29)*100</f>
        <v>18.199999999999996</v>
      </c>
      <c r="BI31" s="464">
        <f>('Attainment 25+ by race &amp; gender'!ZX30/'Pop 25+ by race &amp; gender'!DX29)*100</f>
        <v>16.627889573724097</v>
      </c>
      <c r="BJ31" s="462">
        <f>('Attainment 25+ by race &amp; gender'!GW30/'Pop 25+ by race &amp; gender'!DA29)*100</f>
        <v>96.338223689374942</v>
      </c>
      <c r="BK31" s="464">
        <f>('Attainment 25+ by race &amp; gender'!IA30/'Pop 25+ by race &amp; gender'!EE29)*100</f>
        <v>97.222061390085941</v>
      </c>
      <c r="BL31" s="462">
        <f>('Attainment 25+ by race &amp; gender'!GX30/'Pop 25+ by race &amp; gender'!DB29)*100</f>
        <v>94.350244167118831</v>
      </c>
      <c r="BM31" s="464">
        <f>('Attainment 25+ by race &amp; gender'!IB30/'Pop 25+ by race &amp; gender'!EF29)*100</f>
        <v>94.876381524308442</v>
      </c>
      <c r="BN31" s="464">
        <f>('Attainment 25+ by race &amp; gender'!GY30/'Pop 25+ by race &amp; gender'!DD29)*100</f>
        <v>86.267605633802816</v>
      </c>
      <c r="BO31" s="464">
        <f>('Attainment 25+ by race &amp; gender'!IC30/'Pop 25+ by race &amp; gender'!EH29)*100</f>
        <v>90.344250725357455</v>
      </c>
      <c r="BP31" s="464">
        <f>('Attainment 25+ by race &amp; gender'!ZB30/'Pop 25+ by race &amp; gender'!DA29)*100</f>
        <v>40.957110572175786</v>
      </c>
      <c r="BQ31" s="464">
        <f>('Attainment 25+ by race &amp; gender'!AAF30/'Pop 25+ by race &amp; gender'!EE29)*100</f>
        <v>46.67573759915301</v>
      </c>
      <c r="BR31" s="464">
        <f>('Attainment 25+ by race &amp; gender'!ZC30/'Pop 25+ by race &amp; gender'!DB29)*100</f>
        <v>26.946554530656535</v>
      </c>
      <c r="BS31" s="464">
        <f>('Attainment 25+ by race &amp; gender'!AAG30/'Pop 25+ by race &amp; gender'!EF29)*100</f>
        <v>34.868715262250049</v>
      </c>
      <c r="BT31" s="464">
        <f>('Attainment 25+ by race &amp; gender'!ZD30/'Pop 25+ by race &amp; gender'!DD29)*100</f>
        <v>18.363544495673594</v>
      </c>
      <c r="BU31" s="464">
        <f>('Attainment 25+ by race &amp; gender'!AAH30/'Pop 25+ by race &amp; gender'!EH29)*100</f>
        <v>20.300859973338213</v>
      </c>
      <c r="BV31" s="462">
        <f>('Attainment 25+ by race &amp; gender'!HN30/'Pop 25+ by race &amp; gender'!DR29)*100</f>
        <v>9.7158981594305143</v>
      </c>
      <c r="BW31" s="464" t="e">
        <f>('Attainment 25+ by race &amp; gender'!JB30/'Pop 25+ by race &amp; gender'!EQ29)*100</f>
        <v>#VALUE!</v>
      </c>
      <c r="BX31" s="462">
        <f>('Attainment 25+ by race &amp; gender'!HO30/'Pop 25+ by race &amp; gender'!DS29)*100</f>
        <v>817.89523106848208</v>
      </c>
      <c r="BY31" s="464" t="e">
        <f>('Attainment 25+ by race &amp; gender'!JC30/'Pop 25+ by race &amp; gender'!ER29)*100</f>
        <v>#VALUE!</v>
      </c>
      <c r="BZ31" s="464">
        <f>('Attainment 25+ by race &amp; gender'!HP30/'Pop 25+ by race &amp; gender'!DU29)*100</f>
        <v>373.22821100917429</v>
      </c>
      <c r="CA31" s="464">
        <f>('Attainment 25+ by race &amp; gender'!JD30/'Pop 25+ by race &amp; gender'!ET29)*100</f>
        <v>85.602468099893642</v>
      </c>
      <c r="CB31" s="464">
        <f>('Attainment 25+ by race &amp; gender'!ZS30/'Pop 25+ by race &amp; gender'!DR29)*100</f>
        <v>2.3077080041743674</v>
      </c>
      <c r="CC31" s="464">
        <f>('Attainment 25+ by race &amp; gender'!ABB30/'Pop 25+ by race &amp; gender'!EQ29)*100</f>
        <v>8.4267838647370041</v>
      </c>
      <c r="CD31" s="464">
        <f>('Attainment 25+ by race &amp; gender'!ZT30/'Pop 25+ by race &amp; gender'!DS29)*100</f>
        <v>246.32638003890267</v>
      </c>
      <c r="CE31" s="464">
        <f>('Attainment 25+ by race &amp; gender'!ABC30/'Pop 25+ by race &amp; gender'!ER29)*100</f>
        <v>6.461139430669868</v>
      </c>
      <c r="CF31" s="464">
        <f>('Attainment 25+ by race &amp; gender'!ZU30/'Pop 25+ by race &amp; gender'!DU29)*100</f>
        <v>129.66620249017038</v>
      </c>
      <c r="CG31" s="464">
        <f>('Attainment 25+ by race &amp; gender'!ABD30/'Pop 25+ by race &amp; gender'!ET29)*100</f>
        <v>28.625551444880937</v>
      </c>
      <c r="CH31" s="462">
        <f>('Attainment 25+ by race &amp; gender'!HG30/'Pop 25+ by race &amp; gender'!DK29)*100</f>
        <v>96.749742549913393</v>
      </c>
      <c r="CI31" s="452">
        <f>('Attainment 25+ by race &amp; gender'!IK30/'Pop 25+ by race &amp; gender'!EO29)*100</f>
        <v>97.348825239318728</v>
      </c>
      <c r="CJ31" s="462">
        <f>('Attainment 25+ by race &amp; gender'!HH30/'Pop 25+ by race &amp; gender'!DL29)*100</f>
        <v>97.89334741288279</v>
      </c>
      <c r="CK31" s="464">
        <f>('Attainment 25+ by race &amp; gender'!IL30/'Pop 25+ by race &amp; gender'!EP29)*100</f>
        <v>98.363863673425016</v>
      </c>
      <c r="CL31" s="464">
        <f>('Attainment 25+ by race &amp; gender'!HI30/'Pop 25+ by race &amp; gender'!DN29)*100</f>
        <v>89.707758076950029</v>
      </c>
      <c r="CM31" s="464">
        <f>('Attainment 25+ by race &amp; gender'!IM30/'Pop 25+ by race &amp; gender'!ER29)*100</f>
        <v>91.172429732540678</v>
      </c>
      <c r="CN31" s="464">
        <f>('Attainment 25+ by race &amp; gender'!ZL30/'Pop 25+ by race &amp; gender'!DK29)*100</f>
        <v>43.888653835407574</v>
      </c>
      <c r="CO31" s="464">
        <f>('Attainment 25+ by race &amp; gender'!AAP30/'Pop 25+ by race &amp; gender'!EO29)*100</f>
        <v>46.260974488138487</v>
      </c>
      <c r="CP31" s="464">
        <f>('Attainment 25+ by race &amp; gender'!ZM30/'Pop 25+ by race &amp; gender'!DL29)*100</f>
        <v>24.751847940865893</v>
      </c>
      <c r="CQ31" s="464">
        <f>('Attainment 25+ by race &amp; gender'!AAQ30/'Pop 25+ by race &amp; gender'!EP29)*100</f>
        <v>31.037669185193238</v>
      </c>
      <c r="CR31" s="464">
        <f>('Attainment 25+ by race &amp; gender'!ZN30/'Pop 25+ by race &amp; gender'!DN29)*100</f>
        <v>21.215221809517136</v>
      </c>
      <c r="CS31" s="464">
        <f>('Attainment 25+ by race &amp; gender'!AAR30/'Pop 25+ by race &amp; gender'!ER29)*100</f>
        <v>23.022303257533931</v>
      </c>
      <c r="CT31" s="350">
        <f>IFERROR(('Attainment 25+ by race &amp; gender'!HQ30/'Pop 25+ by race &amp; gender'!DU29)*100,"-")</f>
        <v>96.870494757536036</v>
      </c>
      <c r="CU31" s="452">
        <f>IFERROR(('Attainment 25+ by race &amp; gender'!IP30/'Pop 25+ by race &amp; gender'!ET29)*100,"-")</f>
        <v>97.22211627700014</v>
      </c>
      <c r="CV31" s="350">
        <f>IFERROR(('Attainment 25+ by race &amp; gender'!HR30/'Pop 25+ by race &amp; gender'!DV29)*100,"-")</f>
        <v>95.291533072081705</v>
      </c>
      <c r="CW31" s="452">
        <f>IFERROR(('Attainment 25+ by race &amp; gender'!IQ30/'Pop 25+ by race &amp; gender'!EU29)*100, "-")</f>
        <v>96.53722354895649</v>
      </c>
      <c r="CX31" s="452">
        <f>IFERROR(('Attainment 25+ by race &amp; gender'!HS30/'Pop 25+ by race &amp; gender'!DX29)*100, "-")</f>
        <v>90.984666040790785</v>
      </c>
      <c r="CY31" s="452">
        <f>IFERROR(('Attainment 25+ by race &amp; gender'!IR30/'Pop 25+ by race &amp; gender'!EW29)*100, "-")</f>
        <v>93.504544417630171</v>
      </c>
      <c r="CZ31" s="452">
        <f>IFERROR(('Attainment 25+ by race &amp; gender'!HU30/'Pop 25+ by race &amp; gender'!DY29)*100, "-")</f>
        <v>89.193749472717215</v>
      </c>
      <c r="DA31" s="452">
        <f>IFERROR(('Attainment 25+ by race &amp; gender'!IT30/'Pop 25+ by race &amp; gender'!EX29)*100, "-")</f>
        <v>90.471253203515374</v>
      </c>
      <c r="DB31" s="452">
        <f>IFERROR(('Attainment 25+ by race &amp; gender'!HV30/'Pop 25+ by race &amp; gender'!DZ29)*100, "-")</f>
        <v>87.38338715464657</v>
      </c>
      <c r="DC31" s="452">
        <f>IFERROR(('Attainment 25+ by race &amp; gender'!IU30/'Pop 25+ by race &amp; gender'!EY29)*100, "-")</f>
        <v>90.564474145532969</v>
      </c>
      <c r="DD31" s="452" t="str">
        <f>IFERROR(('Attainment 25+ by race &amp; gender'!HW30/'Pop 25+ by race &amp; gender'!EA29)*100, "-")</f>
        <v>-</v>
      </c>
      <c r="DE31" s="452" t="str">
        <f>IFERROR(('Attainment 25+ by race &amp; gender'!IV30/'Pop 25+ by race &amp; gender'!EZ29)*100, "-")</f>
        <v>-</v>
      </c>
      <c r="DF31" s="452">
        <f>IFERROR(('Attainment 25+ by race &amp; gender'!HX30/'Pop 25+ by race &amp; gender'!EB29)*100, "-")</f>
        <v>94.084824526824832</v>
      </c>
      <c r="DG31" s="452">
        <f>IFERROR(('Attainment 25+ by race &amp; gender'!IW30/'Pop 25+ by race &amp; gender'!FA29)*100, "-")</f>
        <v>94.024282102562168</v>
      </c>
      <c r="DH31" s="452">
        <f>IFERROR(('Attainment 25+ by race &amp; gender'!HY30/'Pop 25+ by race &amp; gender'!EC29)*100, "-")</f>
        <v>83.765573353674043</v>
      </c>
      <c r="DI31" s="452">
        <f>IFERROR(('Attainment 25+ by race &amp; gender'!IX30/'Pop 25+ by race &amp; gender'!FB29)*100, "-")</f>
        <v>91.869699097833717</v>
      </c>
      <c r="DJ31" s="452">
        <f>IFERROR(('Attainment 25+ by race &amp; gender'!ZV30/'Pop 25+ by race &amp; gender'!DU29)*100, "-")</f>
        <v>44.77965268676278</v>
      </c>
      <c r="DK31" s="452">
        <f>IFERROR(('Attainment 25+ by race &amp; gender'!AAU30/'Pop 25+ by race &amp; gender'!ET29)*100, "-")</f>
        <v>49.384882040589737</v>
      </c>
      <c r="DL31" s="452">
        <f>IFERROR(('Attainment 25+ by race &amp; gender'!ZW30/'Pop 25+ by race &amp; gender'!DV29)*100, "-")</f>
        <v>24.646716541978385</v>
      </c>
      <c r="DM31" s="452">
        <f>IFERROR(('Attainment 25+ by race &amp; gender'!AAV30/'Pop 25+ by race &amp; gender'!EU29)*100, "-")</f>
        <v>39.585712802408892</v>
      </c>
      <c r="DN31" s="452">
        <f>IFERROR(('Attainment 25+ by race &amp; gender'!ZX30/'Pop 25+ by race &amp; gender'!DX29)*100, "-")</f>
        <v>16.627889573724097</v>
      </c>
      <c r="DO31" s="452">
        <f>IFERROR(('Attainment 25+ by race &amp; gender'!AAW30/'Pop 25+ by race &amp; gender'!EW29)*100, "-")</f>
        <v>26.038252350250335</v>
      </c>
      <c r="DP31" s="452">
        <f>IFERROR(('Attainment 25+ by race &amp; gender'!ZZ30/'Pop 25+ by race &amp; gender'!DY29)*100, "-")</f>
        <v>34.207060433637359</v>
      </c>
      <c r="DQ31" s="452">
        <f>IFERROR(('Attainment 25+ by race &amp; gender'!AAY30/'Pop 25+ by race &amp; gender'!EX29)*100, "-")</f>
        <v>36.782792880296775</v>
      </c>
      <c r="DR31" s="452">
        <f>IFERROR(('Attainment 25+ by race &amp; gender'!AAA30/'Pop 25+ by race &amp; gender'!DZ29)*100, "-")</f>
        <v>9.224748833871546</v>
      </c>
      <c r="DS31" s="452">
        <f>IFERROR(('Attainment 25+ by race &amp; gender'!AAZ30/'Pop 25+ by race &amp; gender'!EY29)*100, "-")</f>
        <v>10.010305663865369</v>
      </c>
      <c r="DT31" s="452" t="str">
        <f>IFERROR(('Attainment 25+ by race &amp; gender'!AAB30/'Pop 25+ by race &amp; gender'!EA29)*100, "-")</f>
        <v>-</v>
      </c>
      <c r="DU31" s="452" t="str">
        <f>IFERROR(('Attainment 25+ by race &amp; gender'!ABA30/'Pop 25+ by race &amp; gender'!EZ29)*100, "-")</f>
        <v>-</v>
      </c>
      <c r="DV31" s="452">
        <f>IFERROR(('Attainment 25+ by race &amp; gender'!AAC30/'Pop 25+ by race &amp; gender'!EB29)*100, "-")</f>
        <v>21.997856900945518</v>
      </c>
      <c r="DW31" s="452">
        <f>IFERROR(('Attainment 25+ by race &amp; gender'!ABB30/'Pop 25+ by race &amp; gender'!FA29)*100, "-")</f>
        <v>28.397984981698805</v>
      </c>
      <c r="DX31" s="452">
        <f>IFERROR(('Attainment 25+ by race &amp; gender'!AAD30/'Pop 25+ by race &amp; gender'!EC29)*100, "-")</f>
        <v>14.213068904144418</v>
      </c>
      <c r="DY31" s="452">
        <f>IFERROR(('Attainment 25+ by race &amp; gender'!ABC30/'Pop 25+ by race &amp; gender'!FB29)*100, "-")</f>
        <v>27.183836637674897</v>
      </c>
    </row>
    <row r="32" spans="1:129">
      <c r="A32" s="38" t="s">
        <v>30</v>
      </c>
      <c r="B32" s="351">
        <f>('Attainment 25+ by race &amp; gender'!FS31/'Pop 25+ by race &amp; gender'!AT30)*100</f>
        <v>86.579082418146356</v>
      </c>
      <c r="C32" s="444">
        <f>('Attainment 25+ by race &amp; gender'!GR31/'Pop 25+ by race &amp; gender'!CV30)*100</f>
        <v>89.499999999999986</v>
      </c>
      <c r="D32" s="352">
        <f>('Attainment 25+ by race &amp; gender'!FT31/'Pop 25+ by race &amp; gender'!AZ30)*100</f>
        <v>82.545045045045043</v>
      </c>
      <c r="E32" s="351" t="str">
        <f>IF('Pop 25+ by race &amp; gender'!CW30&gt;0,('Attainment 25+ by race &amp; gender'!GS31/'Pop 25+ by race &amp; gender'!CW30)*100,"—")</f>
        <v>—</v>
      </c>
      <c r="F32" s="352">
        <f>('Attainment 25+ by race &amp; gender'!FU31/'Pop 25+ by race &amp; gender'!BC30)*100</f>
        <v>44.426465300251714</v>
      </c>
      <c r="G32" s="351">
        <f>('Attainment 25+ by race &amp; gender'!GT31/'Pop 25+ by race &amp; gender'!CY30)*100</f>
        <v>53.900000000000006</v>
      </c>
      <c r="H32" s="352">
        <f>('Attainment 25+ by race &amp; gender'!XM31/'Pop 25+ by race &amp; gender'!AT30)*100</f>
        <v>22.311129357829554</v>
      </c>
      <c r="I32" s="351">
        <f>('Attainment 25+ by race &amp; gender'!YW31/'Pop 25+ by race &amp; gender'!CV30)*100</f>
        <v>24.9</v>
      </c>
      <c r="J32" s="352">
        <f>('Attainment 25+ by race &amp; gender'!XS31/'Pop 25+ by race &amp; gender'!AZ30)*100</f>
        <v>22.447447447447448</v>
      </c>
      <c r="K32" s="351" t="str">
        <f>IF('Pop 25+ by race &amp; gender'!CW30&gt;0,('Attainment 25+ by race &amp; gender'!YX31/'Pop 25+ by race &amp; gender'!CW30)*100,"—")</f>
        <v>—</v>
      </c>
      <c r="L32" s="352">
        <f>('Attainment 25+ by race &amp; gender'!XV31/'Pop 25+ by race &amp; gender'!BC30)*100</f>
        <v>6.6208198489751888</v>
      </c>
      <c r="M32" s="437">
        <f>('Attainment 25+ by race &amp; gender'!YY31/'Pop 25+ by race &amp; gender'!CY30)*100</f>
        <v>7.6</v>
      </c>
      <c r="N32" s="351">
        <f>('Attainment 25+ by race &amp; gender'!FS31/'Pop 25+ by race &amp; gender'!AT30)*100</f>
        <v>86.579082418146356</v>
      </c>
      <c r="O32" s="445">
        <f>('Attainment 25+ by race &amp; gender'!GW31/'Pop 25+ by race &amp; gender'!DA30)*100</f>
        <v>92.174469787915172</v>
      </c>
      <c r="P32" s="352">
        <f>('Attainment 25+ by race &amp; gender'!FT31/'Pop 25+ by race &amp; gender'!AZ30)*100</f>
        <v>82.545045045045043</v>
      </c>
      <c r="Q32" s="351">
        <f>('Attainment 25+ by race &amp; gender'!GX31/'Pop 25+ by race &amp; gender'!DB30)*100</f>
        <v>83.505385996409331</v>
      </c>
      <c r="R32" s="352">
        <f>('Attainment 25+ by race &amp; gender'!FU31/'Pop 25+ by race &amp; gender'!BC30)*100</f>
        <v>44.426465300251714</v>
      </c>
      <c r="S32" s="351">
        <f>('Attainment 25+ by race &amp; gender'!GY31/'Pop 25+ by race &amp; gender'!DD30)*100</f>
        <v>56.979802668380522</v>
      </c>
      <c r="T32" s="352">
        <f>('Attainment 25+ by race &amp; gender'!XM31/'Pop 25+ by race &amp; gender'!AT30)*100</f>
        <v>22.311129357829554</v>
      </c>
      <c r="U32" s="351">
        <f>('Attainment 25+ by race &amp; gender'!ZB31/'Pop 25+ by race &amp; gender'!DA30)*100</f>
        <v>26.779283141828159</v>
      </c>
      <c r="V32" s="352">
        <f>('Attainment 25+ by race &amp; gender'!XS31/'Pop 25+ by race &amp; gender'!AZ30)*100</f>
        <v>22.447447447447448</v>
      </c>
      <c r="W32" s="351">
        <f>('Attainment 25+ by race &amp; gender'!ZC31/'Pop 25+ by race &amp; gender'!DB30)*100</f>
        <v>24.371633752244165</v>
      </c>
      <c r="X32" s="352">
        <f>('Attainment 25+ by race &amp; gender'!XV31/'Pop 25+ by race &amp; gender'!BC30)*100</f>
        <v>6.6208198489751888</v>
      </c>
      <c r="Y32" s="437">
        <f>('Attainment 25+ by race &amp; gender'!ZD31/'Pop 25+ by race &amp; gender'!DD30)*100</f>
        <v>8.0134728222706233</v>
      </c>
      <c r="Z32" s="460">
        <f>('Attainment 25+ by race &amp; gender'!FS31/'Pop 25+ by race &amp; gender'!AT30)*100</f>
        <v>86.579082418146356</v>
      </c>
      <c r="AA32" s="461">
        <f>('Attainment 25+ by race &amp; gender'!HB31/'Pop 25+ by race &amp; gender'!DF30)*100</f>
        <v>92.412565144157071</v>
      </c>
      <c r="AB32" s="462">
        <f>('Attainment 25+ by race &amp; gender'!FT31/'Pop 25+ by race &amp; gender'!AZ30)*100</f>
        <v>82.545045045045043</v>
      </c>
      <c r="AC32" s="460">
        <f>('Attainment 25+ by race &amp; gender'!HC31/'Pop 25+ by race &amp; gender'!DG30)*100</f>
        <v>90.718429272646134</v>
      </c>
      <c r="AD32" s="462">
        <f>('Attainment 25+ by race &amp; gender'!FU31/'Pop 25+ by race &amp; gender'!BC30)*100</f>
        <v>44.426465300251714</v>
      </c>
      <c r="AE32" s="460">
        <f>('Attainment 25+ by race &amp; gender'!HD31/'Pop 25+ by race &amp; gender'!DI30)*100</f>
        <v>57.564333904168627</v>
      </c>
      <c r="AF32" s="462">
        <f>('Attainment 25+ by race &amp; gender'!XM31/'Pop 25+ by race &amp; gender'!AT30)*100</f>
        <v>22.311129357829554</v>
      </c>
      <c r="AG32" s="463">
        <f>('Attainment 25+ by race &amp; gender'!ZG31/'Pop 25+ by race &amp; gender'!DF30)*100</f>
        <v>27.239335702108935</v>
      </c>
      <c r="AH32" s="462">
        <f>('Attainment 25+ by race &amp; gender'!XS31/'Pop 25+ by race &amp; gender'!AZ30)*100</f>
        <v>22.447447447447448</v>
      </c>
      <c r="AI32" s="463">
        <f>('Attainment 25+ by race &amp; gender'!ZH31/'Pop 25+ by race &amp; gender'!DG30)*100</f>
        <v>30.566711289602853</v>
      </c>
      <c r="AJ32" s="462">
        <f>('Attainment 25+ by race &amp; gender'!XV31/'Pop 25+ by race &amp; gender'!BC30)*100</f>
        <v>6.6208198489751888</v>
      </c>
      <c r="AK32" s="464">
        <f>('Attainment 25+ by race &amp; gender'!ZI31/'Pop 25+ by race &amp; gender'!DI30)*100</f>
        <v>9.045249232820348</v>
      </c>
      <c r="AL32" s="462">
        <f>('Attainment 25+ by race &amp; gender'!FS31/'Pop 25+ by race &amp; gender'!AT30)*100</f>
        <v>86.579082418146356</v>
      </c>
      <c r="AM32" s="464">
        <f>('Attainment 25+ by race &amp; gender'!HL31/'Pop 25+ by race &amp; gender'!DP30)*100</f>
        <v>93.107677080541023</v>
      </c>
      <c r="AN32" s="462">
        <v>82.545045045045043</v>
      </c>
      <c r="AO32" s="464" t="str">
        <f>IF('Pop 25+ by race &amp; gender'!DQ30&gt;0, ('Attainment 25+ by race &amp; gender'!HM31/'Pop 25+ by race &amp; gender'!DQ30)*100,"—")</f>
        <v>—</v>
      </c>
      <c r="AP32" s="464">
        <f>('Attainment 25+ by race &amp; gender'!FU31/'Pop 25+ by race &amp; gender'!BC30)*100</f>
        <v>44.426465300251714</v>
      </c>
      <c r="AQ32" s="464">
        <f>('Attainment 25+ by race &amp; gender'!HN31/'Pop 25+ by race &amp; gender'!DS30)*100</f>
        <v>61.043514997887627</v>
      </c>
      <c r="AR32" s="464">
        <f>('Attainment 25+ by race &amp; gender'!XM31/'Pop 25+ by race &amp; gender'!AT30)*100</f>
        <v>22.311129357829554</v>
      </c>
      <c r="AS32" s="464">
        <f>('Attainment 25+ by race &amp; gender'!ZQ31/'Pop 25+ by race &amp; gender'!DP30)*100</f>
        <v>27.74087262095588</v>
      </c>
      <c r="AT32" s="464">
        <f>('Attainment 25+ by race &amp; gender'!XS31/'Pop 25+ by race &amp; gender'!AZ30)*100</f>
        <v>22.447447447447448</v>
      </c>
      <c r="AU32" s="464" t="str">
        <f>IF('Pop 25+ by race &amp; gender'!DQ30&gt;0, ('Attainment 25+ by race &amp; gender'!ZR31/'Pop 25+ by race &amp; gender'!DQ30)*100,"—")</f>
        <v>—</v>
      </c>
      <c r="AV32" s="464">
        <f>('Attainment 25+ by race &amp; gender'!XV31/'Pop 25+ by race &amp; gender'!BC30)*100</f>
        <v>6.6208198489751888</v>
      </c>
      <c r="AW32" s="464">
        <f>('Attainment 25+ by race &amp; gender'!ZS31/'Pop 25+ by race &amp; gender'!DS30)*100</f>
        <v>8.1400506970849182</v>
      </c>
      <c r="AX32" s="462">
        <f>('Attainment 25+ by race &amp; gender'!GR31/'Pop 25+ by race &amp; gender'!CV30)*100</f>
        <v>89.499999999999986</v>
      </c>
      <c r="AY32" s="464">
        <f>('Attainment 25+ by race &amp; gender'!HQ31/'Pop 25+ by race &amp; gender'!DU30)*100</f>
        <v>93.213991668734749</v>
      </c>
      <c r="AZ32" s="462" t="str">
        <f>IF('Pop 25+ by race &amp; gender'!CW30&gt;0,('Attainment 25+ by race &amp; gender'!GS31/'Pop 25+ by race &amp; gender'!CW30)*100,"—")</f>
        <v>—</v>
      </c>
      <c r="BA32" s="464" t="str">
        <f>IF('Pop 25+ by race &amp; gender'!DV30&gt;0, ('Attainment 25+ by race &amp; gender'!HR31/'Pop 25+ by race &amp; gender'!DV30)*100,"—")</f>
        <v>—</v>
      </c>
      <c r="BB32" s="464">
        <f>('Attainment 25+ by race &amp; gender'!GT31/'Pop 25+ by race &amp; gender'!CY30)*100</f>
        <v>53.900000000000006</v>
      </c>
      <c r="BC32" s="464">
        <f>('Attainment 25+ by race &amp; gender'!HS31/'Pop 25+ by race &amp; gender'!DX30)*100</f>
        <v>64.086381417106907</v>
      </c>
      <c r="BD32" s="464">
        <f>('Attainment 25+ by race &amp; gender'!YW31/'Pop 25+ by race &amp; gender'!CV30)*100</f>
        <v>24.9</v>
      </c>
      <c r="BE32" s="464">
        <f>('Attainment 25+ by race &amp; gender'!ZV31/'Pop 25+ by race &amp; gender'!DU30)*100</f>
        <v>29.418888390655606</v>
      </c>
      <c r="BF32" s="464" t="str">
        <f>IF('Pop 25+ by race &amp; gender'!CW30&gt;0,('Attainment 25+ by race &amp; gender'!YX31/'Pop 25+ by race &amp; gender'!CW30)*100,"—")</f>
        <v>—</v>
      </c>
      <c r="BG32" s="464" t="str">
        <f>IF('Pop 25+ by race &amp; gender'!DV30&gt;0, ('Attainment 25+ by race &amp; gender'!ZW31/'Pop 25+ by race &amp; gender'!DV30)*100,"—")</f>
        <v>—</v>
      </c>
      <c r="BH32" s="464">
        <f>('Attainment 25+ by race &amp; gender'!YY31/'Pop 25+ by race &amp; gender'!CY30)*100</f>
        <v>7.6</v>
      </c>
      <c r="BI32" s="464">
        <f>('Attainment 25+ by race &amp; gender'!ZX31/'Pop 25+ by race &amp; gender'!DX30)*100</f>
        <v>9.1351776424567497</v>
      </c>
      <c r="BJ32" s="462">
        <f>('Attainment 25+ by race &amp; gender'!GW31/'Pop 25+ by race &amp; gender'!DA30)*100</f>
        <v>92.174469787915172</v>
      </c>
      <c r="BK32" s="464">
        <f>('Attainment 25+ by race &amp; gender'!IA31/'Pop 25+ by race &amp; gender'!EE30)*100</f>
        <v>93.58598169429429</v>
      </c>
      <c r="BL32" s="462">
        <f>IF('Pop 25+ by race &amp; gender'!DB30&gt;0,('Attainment 25+ by race &amp; gender'!GX31/'Pop 25+ by race &amp; gender'!DB30)*100,"—")</f>
        <v>83.505385996409331</v>
      </c>
      <c r="BM32" s="464" t="str">
        <f>IF('Pop 25+ by race &amp; gender'!EF30&gt;0, ('Attainment 25+ by race &amp; gender'!IB31/'Pop 25+ by race &amp; gender'!EF30)*100,"—")</f>
        <v>—</v>
      </c>
      <c r="BN32" s="464">
        <f>('Attainment 25+ by race &amp; gender'!GY31/'Pop 25+ by race &amp; gender'!DD30)*100</f>
        <v>56.979802668380522</v>
      </c>
      <c r="BO32" s="464">
        <f>('Attainment 25+ by race &amp; gender'!IC31/'Pop 25+ by race &amp; gender'!EH30)*100</f>
        <v>65.718979995772401</v>
      </c>
      <c r="BP32" s="464">
        <f>('Attainment 25+ by race &amp; gender'!ZB31/'Pop 25+ by race &amp; gender'!DA30)*100</f>
        <v>26.779283141828159</v>
      </c>
      <c r="BQ32" s="464">
        <f>('Attainment 25+ by race &amp; gender'!AAF31/'Pop 25+ by race &amp; gender'!EE30)*100</f>
        <v>28.511754929063819</v>
      </c>
      <c r="BR32" s="464">
        <f>IF('Pop 25+ by race &amp; gender'!DB30&gt;0,('Attainment 25+ by race &amp; gender'!ZC31/'Pop 25+ by race &amp; gender'!DB30)*100,"—")</f>
        <v>24.371633752244165</v>
      </c>
      <c r="BS32" s="464" t="str">
        <f>IF('Pop 25+ by race &amp; gender'!EF30&gt;0, ('Attainment 25+ by race &amp; gender'!AAG31/'Pop 25+ by race &amp; gender'!EF30)*100,"—")</f>
        <v>—</v>
      </c>
      <c r="BT32" s="464">
        <f>('Attainment 25+ by race &amp; gender'!ZD31/'Pop 25+ by race &amp; gender'!DD30)*100</f>
        <v>8.0134728222706233</v>
      </c>
      <c r="BU32" s="464">
        <f>('Attainment 25+ by race &amp; gender'!AAH31/'Pop 25+ by race &amp; gender'!EH30)*100</f>
        <v>9.8752858433098254</v>
      </c>
      <c r="BV32" s="462">
        <f>('Attainment 25+ by race &amp; gender'!HN31/'Pop 25+ by race &amp; gender'!DR30)*100</f>
        <v>82.543309673088743</v>
      </c>
      <c r="BW32" s="464" t="e">
        <f>('Attainment 25+ by race &amp; gender'!JB31/'Pop 25+ by race &amp; gender'!EQ30)*100</f>
        <v>#VALUE!</v>
      </c>
      <c r="BX32" s="462">
        <f>IF('Pop 25+ by race &amp; gender'!DS30&gt;0,('Attainment 25+ by race &amp; gender'!HO31/'Pop 25+ by race &amp; gender'!DS30)*100,"—")</f>
        <v>56.189269117025773</v>
      </c>
      <c r="BY32" s="464" t="e">
        <f>IF('Pop 25+ by race &amp; gender'!ER30&gt;0, ('Attainment 25+ by race &amp; gender'!JC31/'Pop 25+ by race &amp; gender'!ER30)*100,"—")</f>
        <v>#VALUE!</v>
      </c>
      <c r="BZ32" s="464">
        <f>('Attainment 25+ by race &amp; gender'!HP31/'Pop 25+ by race &amp; gender'!DU30)*100</f>
        <v>104.71448215040799</v>
      </c>
      <c r="CA32" s="464">
        <f>('Attainment 25+ by race &amp; gender'!JD31/'Pop 25+ by race &amp; gender'!ET30)*100</f>
        <v>18.461034480084979</v>
      </c>
      <c r="CB32" s="464">
        <f>('Attainment 25+ by race &amp; gender'!ZS31/'Pop 25+ by race &amp; gender'!DR30)*100</f>
        <v>11.007012382353361</v>
      </c>
      <c r="CC32" s="464">
        <f>('Attainment 25+ by race &amp; gender'!ABB31/'Pop 25+ by race &amp; gender'!EQ30)*100</f>
        <v>21.842363008402497</v>
      </c>
      <c r="CD32" s="464">
        <f>IF('Pop 25+ by race &amp; gender'!DS30&gt;0,('Attainment 25+ by race &amp; gender'!ZT31/'Pop 25+ by race &amp; gender'!DS30)*100,"—")</f>
        <v>14.32509505703422</v>
      </c>
      <c r="CE32" s="464">
        <f>IF('Pop 25+ by race &amp; gender'!ER30&gt;0, ('Attainment 25+ by race &amp; gender'!ABC31/'Pop 25+ by race &amp; gender'!ER30)*100,"—")</f>
        <v>8.8114931017215472</v>
      </c>
      <c r="CF32" s="464">
        <f>('Attainment 25+ by race &amp; gender'!ZU31/'Pop 25+ by race &amp; gender'!DU30)*100</f>
        <v>31.996872846487221</v>
      </c>
      <c r="CG32" s="464">
        <f>('Attainment 25+ by race &amp; gender'!ABD31/'Pop 25+ by race &amp; gender'!ET30)*100</f>
        <v>5.2059345754537771</v>
      </c>
      <c r="CH32" s="462">
        <f>('Attainment 25+ by race &amp; gender'!HG31/'Pop 25+ by race &amp; gender'!DK30)*100</f>
        <v>93.625281380315897</v>
      </c>
      <c r="CI32" s="452">
        <f>('Attainment 25+ by race &amp; gender'!IK31/'Pop 25+ by race &amp; gender'!EO30)*100</f>
        <v>94.154972739763892</v>
      </c>
      <c r="CJ32" s="462">
        <f>IF('Pop 25+ by race &amp; gender'!DL30&gt;0,('Attainment 25+ by race &amp; gender'!HH31/'Pop 25+ by race &amp; gender'!DL30)*100,"—")</f>
        <v>71.889290012033698</v>
      </c>
      <c r="CK32" s="668" t="str">
        <f>IF('Pop 25+ by race &amp; gender'!EP30&gt;0, ('Attainment 25+ by race &amp; gender'!IL31/'Pop 25+ by race &amp; gender'!EP30)*100,"—")</f>
        <v>—</v>
      </c>
      <c r="CL32" s="464">
        <f>('Attainment 25+ by race &amp; gender'!HI31/'Pop 25+ by race &amp; gender'!DN30)*100</f>
        <v>57.924516170513726</v>
      </c>
      <c r="CM32" s="464">
        <f>('Attainment 25+ by race &amp; gender'!IM31/'Pop 25+ by race &amp; gender'!ER30)*100</f>
        <v>68.763490062680233</v>
      </c>
      <c r="CN32" s="464">
        <f>('Attainment 25+ by race &amp; gender'!ZL31/'Pop 25+ by race &amp; gender'!DK30)*100</f>
        <v>26.743069027926825</v>
      </c>
      <c r="CO32" s="464">
        <f>('Attainment 25+ by race &amp; gender'!AAP31/'Pop 25+ by race &amp; gender'!EO30)*100</f>
        <v>30.139485881160592</v>
      </c>
      <c r="CP32" s="464">
        <f>IF('Pop 25+ by race &amp; gender'!DL30&gt;0,('Attainment 25+ by race &amp; gender'!ZM31/'Pop 25+ by race &amp; gender'!DL30)*100,"—")</f>
        <v>19.109506618531888</v>
      </c>
      <c r="CQ32" s="464" t="str">
        <f>IF('Pop 25+ by race &amp; gender'!EP30&gt;0, ('Attainment 25+ by race &amp; gender'!AAQ31/'Pop 25+ by race &amp; gender'!EP30)*100,"—")</f>
        <v>—</v>
      </c>
      <c r="CR32" s="464">
        <f>('Attainment 25+ by race &amp; gender'!ZN31/'Pop 25+ by race &amp; gender'!DN30)*100</f>
        <v>8.3542296234381368</v>
      </c>
      <c r="CS32" s="464">
        <f>('Attainment 25+ by race &amp; gender'!AAR31/'Pop 25+ by race &amp; gender'!ER30)*100</f>
        <v>12.669866869269422</v>
      </c>
      <c r="CT32" s="350">
        <f>IFERROR(('Attainment 25+ by race &amp; gender'!HQ31/'Pop 25+ by race &amp; gender'!DU30)*100,"-")</f>
        <v>93.213991668734749</v>
      </c>
      <c r="CU32" s="452">
        <f>IFERROR(('Attainment 25+ by race &amp; gender'!IP31/'Pop 25+ by race &amp; gender'!ET30)*100,"-")</f>
        <v>94.143444752002353</v>
      </c>
      <c r="CV32" s="350" t="str">
        <f>IFERROR(('Attainment 25+ by race &amp; gender'!HR31/'Pop 25+ by race &amp; gender'!DV30)*100,"-")</f>
        <v>-</v>
      </c>
      <c r="CW32" s="452">
        <f>IFERROR(('Attainment 25+ by race &amp; gender'!IQ31/'Pop 25+ by race &amp; gender'!EU30)*100, "-")</f>
        <v>0</v>
      </c>
      <c r="CX32" s="452">
        <f>IFERROR(('Attainment 25+ by race &amp; gender'!HS31/'Pop 25+ by race &amp; gender'!DX30)*100, "-")</f>
        <v>64.086381417106907</v>
      </c>
      <c r="CY32" s="452">
        <f>IFERROR(('Attainment 25+ by race &amp; gender'!IR31/'Pop 25+ by race &amp; gender'!EW30)*100, "-")</f>
        <v>68.867888666722422</v>
      </c>
      <c r="CZ32" s="452">
        <f>IFERROR(('Attainment 25+ by race &amp; gender'!HU31/'Pop 25+ by race &amp; gender'!DY30)*100, "-")</f>
        <v>89.227525397738162</v>
      </c>
      <c r="DA32" s="452">
        <f>IFERROR(('Attainment 25+ by race &amp; gender'!IT31/'Pop 25+ by race &amp; gender'!EX30)*100, "-")</f>
        <v>85.853072808645351</v>
      </c>
      <c r="DB32" s="452" t="str">
        <f>IFERROR(('Attainment 25+ by race &amp; gender'!HV31/'Pop 25+ by race &amp; gender'!DZ30)*100, "-")</f>
        <v>-</v>
      </c>
      <c r="DC32" s="452" t="str">
        <f>IFERROR(('Attainment 25+ by race &amp; gender'!IU31/'Pop 25+ by race &amp; gender'!EY30)*100, "-")</f>
        <v>-</v>
      </c>
      <c r="DD32" s="452">
        <f>IFERROR(('Attainment 25+ by race &amp; gender'!HW31/'Pop 25+ by race &amp; gender'!EA30)*100, "-")</f>
        <v>84.605597964376585</v>
      </c>
      <c r="DE32" s="452">
        <f>IFERROR(('Attainment 25+ by race &amp; gender'!IV31/'Pop 25+ by race &amp; gender'!EZ30)*100, "-")</f>
        <v>86.817367949865712</v>
      </c>
      <c r="DF32" s="452">
        <f>IFERROR(('Attainment 25+ by race &amp; gender'!HX31/'Pop 25+ by race &amp; gender'!EB30)*100, "-")</f>
        <v>87.528729342234868</v>
      </c>
      <c r="DG32" s="452">
        <f>IFERROR(('Attainment 25+ by race &amp; gender'!IW31/'Pop 25+ by race &amp; gender'!FA30)*100, "-")</f>
        <v>81.501073900246595</v>
      </c>
      <c r="DH32" s="452">
        <f>IFERROR(('Attainment 25+ by race &amp; gender'!HY31/'Pop 25+ by race &amp; gender'!EC30)*100, "-")</f>
        <v>53.652318854789684</v>
      </c>
      <c r="DI32" s="452">
        <f>IFERROR(('Attainment 25+ by race &amp; gender'!IX31/'Pop 25+ by race &amp; gender'!FB30)*100, "-")</f>
        <v>67.071661961107765</v>
      </c>
      <c r="DJ32" s="452">
        <f>IFERROR(('Attainment 25+ by race &amp; gender'!ZV31/'Pop 25+ by race &amp; gender'!DU30)*100, "-")</f>
        <v>29.418888390655606</v>
      </c>
      <c r="DK32" s="452">
        <f>IFERROR(('Attainment 25+ by race &amp; gender'!AAU31/'Pop 25+ by race &amp; gender'!ET30)*100, "-")</f>
        <v>32.630182286214939</v>
      </c>
      <c r="DL32" s="452" t="str">
        <f>IFERROR(('Attainment 25+ by race &amp; gender'!ZW31/'Pop 25+ by race &amp; gender'!DV30)*100, "-")</f>
        <v>-</v>
      </c>
      <c r="DM32" s="452">
        <f>IFERROR(('Attainment 25+ by race &amp; gender'!AAV31/'Pop 25+ by race &amp; gender'!EU30)*100, "-")</f>
        <v>25.578736781937693</v>
      </c>
      <c r="DN32" s="452">
        <f>IFERROR(('Attainment 25+ by race &amp; gender'!ZX31/'Pop 25+ by race &amp; gender'!DX30)*100, "-")</f>
        <v>9.1351776424567497</v>
      </c>
      <c r="DO32" s="452">
        <f>IFERROR(('Attainment 25+ by race &amp; gender'!AAW31/'Pop 25+ by race &amp; gender'!EW30)*100, "-")</f>
        <v>14.551481377296952</v>
      </c>
      <c r="DP32" s="452">
        <f>IFERROR(('Attainment 25+ by race &amp; gender'!ZZ31/'Pop 25+ by race &amp; gender'!DY30)*100, "-")</f>
        <v>42.297616765701875</v>
      </c>
      <c r="DQ32" s="452">
        <f>IFERROR(('Attainment 25+ by race &amp; gender'!AAY31/'Pop 25+ by race &amp; gender'!EX30)*100, "-")</f>
        <v>48.351708328785065</v>
      </c>
      <c r="DR32" s="452" t="str">
        <f>IFERROR(('Attainment 25+ by race &amp; gender'!AAA31/'Pop 25+ by race &amp; gender'!DZ30)*100, "-")</f>
        <v>-</v>
      </c>
      <c r="DS32" s="452" t="str">
        <f>IFERROR(('Attainment 25+ by race &amp; gender'!AAZ31/'Pop 25+ by race &amp; gender'!EY30)*100, "-")</f>
        <v>-</v>
      </c>
      <c r="DT32" s="452">
        <f>IFERROR(('Attainment 25+ by race &amp; gender'!AAB31/'Pop 25+ by race &amp; gender'!EA30)*100, "-")</f>
        <v>15.432569974554708</v>
      </c>
      <c r="DU32" s="452">
        <f>IFERROR(('Attainment 25+ by race &amp; gender'!ABA31/'Pop 25+ by race &amp; gender'!EZ30)*100, "-")</f>
        <v>20.225305878842136</v>
      </c>
      <c r="DV32" s="452">
        <f>IFERROR(('Attainment 25+ by race &amp; gender'!AAC31/'Pop 25+ by race &amp; gender'!EB30)*100, "-")</f>
        <v>29.369596147532011</v>
      </c>
      <c r="DW32" s="452">
        <f>IFERROR(('Attainment 25+ by race &amp; gender'!ABB31/'Pop 25+ by race &amp; gender'!FA30)*100, "-")</f>
        <v>21.066343170789914</v>
      </c>
      <c r="DX32" s="452">
        <f>IFERROR(('Attainment 25+ by race &amp; gender'!AAD31/'Pop 25+ by race &amp; gender'!EC30)*100, "-")</f>
        <v>4.5069778082818575</v>
      </c>
      <c r="DY32" s="452">
        <f>IFERROR(('Attainment 25+ by race &amp; gender'!ABC31/'Pop 25+ by race &amp; gender'!FB30)*100, "-")</f>
        <v>16.188180059004537</v>
      </c>
    </row>
    <row r="33" spans="1:129" s="465" customFormat="1" ht="14.45">
      <c r="A33" s="455" t="s">
        <v>31</v>
      </c>
      <c r="B33" s="456">
        <f>('Attainment 25+ by race &amp; gender'!FS32/'Pop 25+ by race &amp; gender'!AT31)*100</f>
        <v>87.84829025731888</v>
      </c>
      <c r="C33" s="457">
        <f>('Attainment 25+ by race &amp; gender'!GR32/'Pop 25+ by race &amp; gender'!CV31)*100</f>
        <v>92.4</v>
      </c>
      <c r="D33" s="458">
        <f>('Attainment 25+ by race &amp; gender'!FT32/'Pop 25+ by race &amp; gender'!AZ31)*100</f>
        <v>91.150442477876098</v>
      </c>
      <c r="E33" s="456" t="str">
        <f>IF('Pop 25+ by race &amp; gender'!CW31&gt;0,('Attainment 25+ by race &amp; gender'!GS32/'Pop 25+ by race &amp; gender'!CW31)*100,"—")</f>
        <v>—</v>
      </c>
      <c r="F33" s="458">
        <f>('Attainment 25+ by race &amp; gender'!FU32/'Pop 25+ by race &amp; gender'!BC31)*100</f>
        <v>78.030654900139339</v>
      </c>
      <c r="G33" s="456">
        <f>('Attainment 25+ by race &amp; gender'!GT32/'Pop 25+ by race &amp; gender'!CY31)*100</f>
        <v>83.399999999999991</v>
      </c>
      <c r="H33" s="458">
        <f>('Attainment 25+ by race &amp; gender'!XM32/'Pop 25+ by race &amp; gender'!AT31)*100</f>
        <v>25.102393804830896</v>
      </c>
      <c r="I33" s="456">
        <f>('Attainment 25+ by race &amp; gender'!YW32/'Pop 25+ by race &amp; gender'!CV31)*100</f>
        <v>29.2</v>
      </c>
      <c r="J33" s="458">
        <f>('Attainment 25+ by race &amp; gender'!XS32/'Pop 25+ by race &amp; gender'!AZ31)*100</f>
        <v>33.185840707964601</v>
      </c>
      <c r="K33" s="456" t="str">
        <f>IF('Pop 25+ by race &amp; gender'!CW31&gt;0,('Attainment 25+ by race &amp; gender'!YX32/'Pop 25+ by race &amp; gender'!CW31)*100,"—")</f>
        <v>—</v>
      </c>
      <c r="L33" s="458">
        <f>('Attainment 25+ by race &amp; gender'!XV32/'Pop 25+ by race &amp; gender'!BC31)*100</f>
        <v>15.362285183464932</v>
      </c>
      <c r="M33" s="459">
        <f>('Attainment 25+ by race &amp; gender'!YY32/'Pop 25+ by race &amp; gender'!CY31)*100</f>
        <v>18</v>
      </c>
      <c r="N33" s="460">
        <f>('Attainment 25+ by race &amp; gender'!FS32/'Pop 25+ by race &amp; gender'!AT31)*100</f>
        <v>87.84829025731888</v>
      </c>
      <c r="O33" s="461">
        <f>('Attainment 25+ by race &amp; gender'!GW32/'Pop 25+ by race &amp; gender'!DA31)*100</f>
        <v>93.032152542483104</v>
      </c>
      <c r="P33" s="462">
        <f>('Attainment 25+ by race &amp; gender'!FT32/'Pop 25+ by race &amp; gender'!AZ31)*100</f>
        <v>91.150442477876098</v>
      </c>
      <c r="Q33" s="460">
        <f>('Attainment 25+ by race &amp; gender'!GX32/'Pop 25+ by race &amp; gender'!DB31)*100</f>
        <v>89.435723377174369</v>
      </c>
      <c r="R33" s="462">
        <f>('Attainment 25+ by race &amp; gender'!FU32/'Pop 25+ by race &amp; gender'!BC31)*100</f>
        <v>78.030654900139339</v>
      </c>
      <c r="S33" s="460">
        <f>('Attainment 25+ by race &amp; gender'!GY32/'Pop 25+ by race &amp; gender'!DD31)*100</f>
        <v>82.785484862980923</v>
      </c>
      <c r="T33" s="462">
        <f>('Attainment 25+ by race &amp; gender'!XM32/'Pop 25+ by race &amp; gender'!AT31)*100</f>
        <v>25.102393804830896</v>
      </c>
      <c r="U33" s="463">
        <f>('Attainment 25+ by race &amp; gender'!ZB32/'Pop 25+ by race &amp; gender'!DA31)*100</f>
        <v>29.947095280521829</v>
      </c>
      <c r="V33" s="462">
        <f>('Attainment 25+ by race &amp; gender'!XS32/'Pop 25+ by race &amp; gender'!AZ31)*100</f>
        <v>33.185840707964601</v>
      </c>
      <c r="W33" s="463">
        <f>('Attainment 25+ by race &amp; gender'!ZC32/'Pop 25+ by race &amp; gender'!DB31)*100</f>
        <v>30.123037759864236</v>
      </c>
      <c r="X33" s="462">
        <f>('Attainment 25+ by race &amp; gender'!XV32/'Pop 25+ by race &amp; gender'!BC31)*100</f>
        <v>15.362285183464932</v>
      </c>
      <c r="Y33" s="494">
        <f>('Attainment 25+ by race &amp; gender'!ZD32/'Pop 25+ by race &amp; gender'!DD31)*100</f>
        <v>16.82498462379553</v>
      </c>
      <c r="Z33" s="460">
        <f>('Attainment 25+ by race &amp; gender'!FS32/'Pop 25+ by race &amp; gender'!AT31)*100</f>
        <v>87.84829025731888</v>
      </c>
      <c r="AA33" s="461">
        <f>('Attainment 25+ by race &amp; gender'!HB32/'Pop 25+ by race &amp; gender'!DF31)*100</f>
        <v>93.212922130531169</v>
      </c>
      <c r="AB33" s="462">
        <f>('Attainment 25+ by race &amp; gender'!FT32/'Pop 25+ by race &amp; gender'!AZ31)*100</f>
        <v>91.150442477876098</v>
      </c>
      <c r="AC33" s="460">
        <f>('Attainment 25+ by race &amp; gender'!HC32/'Pop 25+ by race &amp; gender'!DG31)*100</f>
        <v>91.542288557213936</v>
      </c>
      <c r="AD33" s="462">
        <f>('Attainment 25+ by race &amp; gender'!FU32/'Pop 25+ by race &amp; gender'!BC31)*100</f>
        <v>78.030654900139339</v>
      </c>
      <c r="AE33" s="460">
        <f>('Attainment 25+ by race &amp; gender'!HD32/'Pop 25+ by race &amp; gender'!DI31)*100</f>
        <v>83.975632366573961</v>
      </c>
      <c r="AF33" s="462">
        <f>('Attainment 25+ by race &amp; gender'!XM32/'Pop 25+ by race &amp; gender'!AT31)*100</f>
        <v>25.102393804830896</v>
      </c>
      <c r="AG33" s="463">
        <f>('Attainment 25+ by race &amp; gender'!ZG32/'Pop 25+ by race &amp; gender'!DF31)*100</f>
        <v>30.13029184273126</v>
      </c>
      <c r="AH33" s="462">
        <f>('Attainment 25+ by race &amp; gender'!XS32/'Pop 25+ by race &amp; gender'!AZ31)*100</f>
        <v>33.185840707964601</v>
      </c>
      <c r="AI33" s="463">
        <f>('Attainment 25+ by race &amp; gender'!ZH32/'Pop 25+ by race &amp; gender'!DG31)*100</f>
        <v>30.003827018752393</v>
      </c>
      <c r="AJ33" s="462">
        <f>('Attainment 25+ by race &amp; gender'!XV32/'Pop 25+ by race &amp; gender'!BC31)*100</f>
        <v>15.362285183464932</v>
      </c>
      <c r="AK33" s="464">
        <f>('Attainment 25+ by race &amp; gender'!ZI32/'Pop 25+ by race &amp; gender'!DI31)*100</f>
        <v>17.322208978943188</v>
      </c>
      <c r="AL33" s="462">
        <f>('Attainment 25+ by race &amp; gender'!FS32/'Pop 25+ by race &amp; gender'!AT31)*100</f>
        <v>87.84829025731888</v>
      </c>
      <c r="AM33" s="464">
        <f>('Attainment 25+ by race &amp; gender'!HL32/'Pop 25+ by race &amp; gender'!DP31)*100</f>
        <v>94.370923117472614</v>
      </c>
      <c r="AN33" s="462">
        <v>91.150442477876098</v>
      </c>
      <c r="AO33" s="464" t="str">
        <f>IF('Pop 25+ by race &amp; gender'!DQ31&gt;0, ('Attainment 25+ by race &amp; gender'!HM32/'Pop 25+ by race &amp; gender'!DQ31)*100,"—")</f>
        <v>—</v>
      </c>
      <c r="AP33" s="464">
        <f>('Attainment 25+ by race &amp; gender'!FU32/'Pop 25+ by race &amp; gender'!BC31)*100</f>
        <v>78.030654900139339</v>
      </c>
      <c r="AQ33" s="464">
        <f>('Attainment 25+ by race &amp; gender'!HN32/'Pop 25+ by race &amp; gender'!DS31)*100</f>
        <v>84.134072201000691</v>
      </c>
      <c r="AR33" s="464">
        <f>('Attainment 25+ by race &amp; gender'!XM32/'Pop 25+ by race &amp; gender'!AT31)*100</f>
        <v>25.102393804830896</v>
      </c>
      <c r="AS33" s="464">
        <f>('Attainment 25+ by race &amp; gender'!ZQ32/'Pop 25+ by race &amp; gender'!DP31)*100</f>
        <v>31.993851039215411</v>
      </c>
      <c r="AT33" s="464">
        <f>('Attainment 25+ by race &amp; gender'!XS32/'Pop 25+ by race &amp; gender'!AZ31)*100</f>
        <v>33.185840707964601</v>
      </c>
      <c r="AU33" s="464" t="str">
        <f>IF('Pop 25+ by race &amp; gender'!DQ31&gt;0, ('Attainment 25+ by race &amp; gender'!ZR32/'Pop 25+ by race &amp; gender'!DQ31)*100,"—")</f>
        <v>—</v>
      </c>
      <c r="AV33" s="464">
        <f>('Attainment 25+ by race &amp; gender'!XV32/'Pop 25+ by race &amp; gender'!BC31)*100</f>
        <v>15.362285183464932</v>
      </c>
      <c r="AW33" s="464">
        <f>('Attainment 25+ by race &amp; gender'!ZS32/'Pop 25+ by race &amp; gender'!DS31)*100</f>
        <v>15.344057674718888</v>
      </c>
      <c r="AX33" s="462">
        <f>('Attainment 25+ by race &amp; gender'!GR32/'Pop 25+ by race &amp; gender'!CV31)*100</f>
        <v>92.4</v>
      </c>
      <c r="AY33" s="464">
        <f>('Attainment 25+ by race &amp; gender'!HQ32/'Pop 25+ by race &amp; gender'!DU31)*100</f>
        <v>93.574175995997251</v>
      </c>
      <c r="AZ33" s="462" t="str">
        <f>IF('Pop 25+ by race &amp; gender'!CW31&gt;0,('Attainment 25+ by race &amp; gender'!GS32/'Pop 25+ by race &amp; gender'!CW31)*100,"—")</f>
        <v>—</v>
      </c>
      <c r="BA33" s="464" t="str">
        <f>IF('Pop 25+ by race &amp; gender'!DV31&gt;0, ('Attainment 25+ by race &amp; gender'!HR32/'Pop 25+ by race &amp; gender'!DV31)*100,"—")</f>
        <v>—</v>
      </c>
      <c r="BB33" s="464">
        <f>('Attainment 25+ by race &amp; gender'!GT32/'Pop 25+ by race &amp; gender'!CY31)*100</f>
        <v>83.399999999999991</v>
      </c>
      <c r="BC33" s="464">
        <f>('Attainment 25+ by race &amp; gender'!HS32/'Pop 25+ by race &amp; gender'!DX31)*100</f>
        <v>82.583710907282565</v>
      </c>
      <c r="BD33" s="464">
        <f>('Attainment 25+ by race &amp; gender'!YW32/'Pop 25+ by race &amp; gender'!CV31)*100</f>
        <v>29.2</v>
      </c>
      <c r="BE33" s="464">
        <f>('Attainment 25+ by race &amp; gender'!ZV32/'Pop 25+ by race &amp; gender'!DU31)*100</f>
        <v>31.924291700544121</v>
      </c>
      <c r="BF33" s="464" t="str">
        <f>IF('Pop 25+ by race &amp; gender'!CW31&gt;0,('Attainment 25+ by race &amp; gender'!YX32/'Pop 25+ by race &amp; gender'!CW31)*100,"—")</f>
        <v>—</v>
      </c>
      <c r="BG33" s="464" t="str">
        <f>IF('Pop 25+ by race &amp; gender'!DV31&gt;0, ('Attainment 25+ by race &amp; gender'!ZW32/'Pop 25+ by race &amp; gender'!DV31)*100,"—")</f>
        <v>—</v>
      </c>
      <c r="BH33" s="464">
        <f>('Attainment 25+ by race &amp; gender'!YY32/'Pop 25+ by race &amp; gender'!CY31)*100</f>
        <v>18</v>
      </c>
      <c r="BI33" s="464">
        <f>('Attainment 25+ by race &amp; gender'!ZX32/'Pop 25+ by race &amp; gender'!DX31)*100</f>
        <v>24.057906951044313</v>
      </c>
      <c r="BJ33" s="462">
        <f>('Attainment 25+ by race &amp; gender'!GW32/'Pop 25+ by race &amp; gender'!DA31)*100</f>
        <v>93.032152542483104</v>
      </c>
      <c r="BK33" s="464">
        <f>('Attainment 25+ by race &amp; gender'!IA32/'Pop 25+ by race &amp; gender'!EE31)*100</f>
        <v>94.057391654658431</v>
      </c>
      <c r="BL33" s="462">
        <f>IF('Pop 25+ by race &amp; gender'!DB31&gt;0,('Attainment 25+ by race &amp; gender'!GX32/'Pop 25+ by race &amp; gender'!DB31)*100,"—")</f>
        <v>89.435723377174369</v>
      </c>
      <c r="BM33" s="464" t="str">
        <f>IF('Pop 25+ by race &amp; gender'!EF31&gt;0, ('Attainment 25+ by race &amp; gender'!IB32/'Pop 25+ by race &amp; gender'!EF31)*100,"—")</f>
        <v>—</v>
      </c>
      <c r="BN33" s="464">
        <f>('Attainment 25+ by race &amp; gender'!GY32/'Pop 25+ by race &amp; gender'!DD31)*100</f>
        <v>82.785484862980923</v>
      </c>
      <c r="BO33" s="464">
        <f>('Attainment 25+ by race &amp; gender'!IC32/'Pop 25+ by race &amp; gender'!EH31)*100</f>
        <v>72.091409044796833</v>
      </c>
      <c r="BP33" s="464">
        <f>('Attainment 25+ by race &amp; gender'!ZB32/'Pop 25+ by race &amp; gender'!DA31)*100</f>
        <v>29.947095280521829</v>
      </c>
      <c r="BQ33" s="464">
        <f>('Attainment 25+ by race &amp; gender'!AAF32/'Pop 25+ by race &amp; gender'!EE31)*100</f>
        <v>33.749205906506141</v>
      </c>
      <c r="BR33" s="464">
        <f>IF('Pop 25+ by race &amp; gender'!DB31&gt;0,('Attainment 25+ by race &amp; gender'!ZC32/'Pop 25+ by race &amp; gender'!DB31)*100,"—")</f>
        <v>30.123037759864236</v>
      </c>
      <c r="BS33" s="464" t="str">
        <f>IF('Pop 25+ by race &amp; gender'!EF31&gt;0, ('Attainment 25+ by race &amp; gender'!AAG32/'Pop 25+ by race &amp; gender'!EF31)*100,"—")</f>
        <v>—</v>
      </c>
      <c r="BT33" s="464">
        <f>('Attainment 25+ by race &amp; gender'!ZD32/'Pop 25+ by race &amp; gender'!DD31)*100</f>
        <v>16.82498462379553</v>
      </c>
      <c r="BU33" s="464">
        <f>('Attainment 25+ by race &amp; gender'!AAH32/'Pop 25+ by race &amp; gender'!EH31)*100</f>
        <v>18.404613166746756</v>
      </c>
      <c r="BV33" s="462">
        <f>('Attainment 25+ by race &amp; gender'!HN32/'Pop 25+ by race &amp; gender'!DR31)*100</f>
        <v>29.546356302076443</v>
      </c>
      <c r="BW33" s="464" t="e">
        <f>('Attainment 25+ by race &amp; gender'!JB32/'Pop 25+ by race &amp; gender'!EQ31)*100</f>
        <v>#VALUE!</v>
      </c>
      <c r="BX33" s="462">
        <f>IF('Pop 25+ by race &amp; gender'!DS31&gt;0,('Attainment 25+ by race &amp; gender'!HO32/'Pop 25+ by race &amp; gender'!DS31)*100,"—")</f>
        <v>247.21579598644215</v>
      </c>
      <c r="BY33" s="464" t="e">
        <f>IF('Pop 25+ by race &amp; gender'!ER31&gt;0, ('Attainment 25+ by race &amp; gender'!JC32/'Pop 25+ by race &amp; gender'!ER31)*100,"—")</f>
        <v>#VALUE!</v>
      </c>
      <c r="BZ33" s="464">
        <f>('Attainment 25+ by race &amp; gender'!HP32/'Pop 25+ by race &amp; gender'!DU31)*100</f>
        <v>103.41140784289198</v>
      </c>
      <c r="CA33" s="464">
        <f>('Attainment 25+ by race &amp; gender'!JD32/'Pop 25+ by race &amp; gender'!ET31)*100</f>
        <v>21.133887532911231</v>
      </c>
      <c r="CB33" s="464">
        <f>('Attainment 25+ by race &amp; gender'!ZS32/'Pop 25+ by race &amp; gender'!DR31)*100</f>
        <v>5.3885540461390216</v>
      </c>
      <c r="CC33" s="464">
        <f>('Attainment 25+ by race &amp; gender'!ABB32/'Pop 25+ by race &amp; gender'!EQ31)*100</f>
        <v>19.76492982641669</v>
      </c>
      <c r="CD33" s="464">
        <f>IF('Pop 25+ by race &amp; gender'!DS31&gt;0,('Attainment 25+ by race &amp; gender'!ZT32/'Pop 25+ by race &amp; gender'!DS31)*100,"—")</f>
        <v>54.920105450045732</v>
      </c>
      <c r="CE33" s="464">
        <f>IF('Pop 25+ by race &amp; gender'!ER31&gt;0, ('Attainment 25+ by race &amp; gender'!ABC32/'Pop 25+ by race &amp; gender'!ER31)*100,"—")</f>
        <v>9.4968781105782281</v>
      </c>
      <c r="CF33" s="464">
        <f>('Attainment 25+ by race &amp; gender'!ZU32/'Pop 25+ by race &amp; gender'!DU31)*100</f>
        <v>34.493401713678153</v>
      </c>
      <c r="CG33" s="464">
        <f>('Attainment 25+ by race &amp; gender'!ABD32/'Pop 25+ by race &amp; gender'!ET31)*100</f>
        <v>6.3350175476518569</v>
      </c>
      <c r="CH33" s="462">
        <f>('Attainment 25+ by race &amp; gender'!HG32/'Pop 25+ by race &amp; gender'!DK31)*100</f>
        <v>93.487233197989454</v>
      </c>
      <c r="CI33" s="452">
        <f>('Attainment 25+ by race &amp; gender'!IK32/'Pop 25+ by race &amp; gender'!EO31)*100</f>
        <v>94.971173200639996</v>
      </c>
      <c r="CJ33" s="462" t="str">
        <f>IF('Pop 25+ by race &amp; gender'!DL31&gt;0,('Attainment 25+ by race &amp; gender'!HH32/'Pop 25+ by race &amp; gender'!DL31)*100,"—")</f>
        <v>—</v>
      </c>
      <c r="CK33" s="668" t="str">
        <f>IF('Pop 25+ by race &amp; gender'!EP31&gt;0, ('Attainment 25+ by race &amp; gender'!IL32/'Pop 25+ by race &amp; gender'!EP31)*100,"—")</f>
        <v>—</v>
      </c>
      <c r="CL33" s="464">
        <f>('Attainment 25+ by race &amp; gender'!HI32/'Pop 25+ by race &amp; gender'!DN31)*100</f>
        <v>83.954727030625833</v>
      </c>
      <c r="CM33" s="464">
        <f>('Attainment 25+ by race &amp; gender'!IM32/'Pop 25+ by race &amp; gender'!ER31)*100</f>
        <v>84.67107049135825</v>
      </c>
      <c r="CN33" s="464">
        <f>('Attainment 25+ by race &amp; gender'!ZL32/'Pop 25+ by race &amp; gender'!DK31)*100</f>
        <v>30.743307332641468</v>
      </c>
      <c r="CO33" s="464">
        <f>('Attainment 25+ by race &amp; gender'!AAP32/'Pop 25+ by race &amp; gender'!EO31)*100</f>
        <v>34.525822679510959</v>
      </c>
      <c r="CP33" s="464">
        <f>CT7</f>
        <v>90.745033937509291</v>
      </c>
      <c r="CQ33" s="464" t="str">
        <f>IF('Pop 25+ by race &amp; gender'!EP31&gt;0, ('Attainment 25+ by race &amp; gender'!AAQ32/'Pop 25+ by race &amp; gender'!EP31)*100,"—")</f>
        <v>—</v>
      </c>
      <c r="CR33" s="464">
        <f>('Attainment 25+ by race &amp; gender'!ZN32/'Pop 25+ by race &amp; gender'!DN31)*100</f>
        <v>20.319573901464715</v>
      </c>
      <c r="CS33" s="464">
        <f>('Attainment 25+ by race &amp; gender'!AAR32/'Pop 25+ by race &amp; gender'!ER31)*100</f>
        <v>26.798479775585921</v>
      </c>
      <c r="CT33" s="350">
        <f>IFERROR(('Attainment 25+ by race &amp; gender'!HQ32/'Pop 25+ by race &amp; gender'!DU31)*100,"-")</f>
        <v>93.574175995997251</v>
      </c>
      <c r="CU33" s="452">
        <f>IFERROR(('Attainment 25+ by race &amp; gender'!IP32/'Pop 25+ by race &amp; gender'!ET31)*100,"-")</f>
        <v>95.451570582389905</v>
      </c>
      <c r="CV33" s="350" t="str">
        <f>IFERROR(('Attainment 25+ by race &amp; gender'!HR32/'Pop 25+ by race &amp; gender'!DV31)*100,"-")</f>
        <v>-</v>
      </c>
      <c r="CW33" s="452" t="str">
        <f>IFERROR(('Attainment 25+ by race &amp; gender'!IQ32/'Pop 25+ by race &amp; gender'!EU31)*100, "-")</f>
        <v>-</v>
      </c>
      <c r="CX33" s="452">
        <f>IFERROR(('Attainment 25+ by race &amp; gender'!HS32/'Pop 25+ by race &amp; gender'!DX31)*100, "-")</f>
        <v>82.583710907282565</v>
      </c>
      <c r="CY33" s="452">
        <f>IFERROR(('Attainment 25+ by race &amp; gender'!IR32/'Pop 25+ by race &amp; gender'!EW31)*100, "-")</f>
        <v>83.663607569235765</v>
      </c>
      <c r="CZ33" s="452" t="str">
        <f>IFERROR(('Attainment 25+ by race &amp; gender'!HU32/'Pop 25+ by race &amp; gender'!DY31)*100, "-")</f>
        <v>-</v>
      </c>
      <c r="DA33" s="452">
        <f>IFERROR(('Attainment 25+ by race &amp; gender'!IT32/'Pop 25+ by race &amp; gender'!EX31)*100, "-")</f>
        <v>87.60304375396322</v>
      </c>
      <c r="DB33" s="452" t="str">
        <f>IFERROR(('Attainment 25+ by race &amp; gender'!HV32/'Pop 25+ by race &amp; gender'!DZ31)*100, "-")</f>
        <v>-</v>
      </c>
      <c r="DC33" s="452" t="str">
        <f>IFERROR(('Attainment 25+ by race &amp; gender'!IU32/'Pop 25+ by race &amp; gender'!EY31)*100, "-")</f>
        <v>-</v>
      </c>
      <c r="DD33" s="452">
        <f>IFERROR(('Attainment 25+ by race &amp; gender'!HW32/'Pop 25+ by race &amp; gender'!EA31)*100, "-")</f>
        <v>84.971712472358632</v>
      </c>
      <c r="DE33" s="452">
        <f>IFERROR(('Attainment 25+ by race &amp; gender'!IV32/'Pop 25+ by race &amp; gender'!EZ31)*100, "-")</f>
        <v>81.997337654821152</v>
      </c>
      <c r="DF33" s="452">
        <f>IFERROR(('Attainment 25+ by race &amp; gender'!HX32/'Pop 25+ by race &amp; gender'!EB31)*100, "-")</f>
        <v>91.878449274374873</v>
      </c>
      <c r="DG33" s="452">
        <f>IFERROR(('Attainment 25+ by race &amp; gender'!IW32/'Pop 25+ by race &amp; gender'!FA31)*100, "-")</f>
        <v>91.910039438869745</v>
      </c>
      <c r="DH33" s="452" t="str">
        <f>IFERROR(('Attainment 25+ by race &amp; gender'!HY32/'Pop 25+ by race &amp; gender'!EC31)*100, "-")</f>
        <v>-</v>
      </c>
      <c r="DI33" s="452">
        <f>IFERROR(('Attainment 25+ by race &amp; gender'!IX32/'Pop 25+ by race &amp; gender'!FB31)*100, "-")</f>
        <v>81.807967313585294</v>
      </c>
      <c r="DJ33" s="452">
        <f>IFERROR(('Attainment 25+ by race &amp; gender'!ZV32/'Pop 25+ by race &amp; gender'!DU31)*100, "-")</f>
        <v>31.924291700544121</v>
      </c>
      <c r="DK33" s="452">
        <f>IFERROR(('Attainment 25+ by race &amp; gender'!AAU32/'Pop 25+ by race &amp; gender'!ET31)*100, "-")</f>
        <v>36.280258066065635</v>
      </c>
      <c r="DL33" s="452" t="str">
        <f>IFERROR(('Attainment 25+ by race &amp; gender'!ZW32/'Pop 25+ by race &amp; gender'!DV31)*100, "-")</f>
        <v>-</v>
      </c>
      <c r="DM33" s="452" t="str">
        <f>IFERROR(('Attainment 25+ by race &amp; gender'!AAV32/'Pop 25+ by race &amp; gender'!EU31)*100, "-")</f>
        <v>-</v>
      </c>
      <c r="DN33" s="452">
        <f>IFERROR(('Attainment 25+ by race &amp; gender'!ZX32/'Pop 25+ by race &amp; gender'!DX31)*100, "-")</f>
        <v>24.057906951044313</v>
      </c>
      <c r="DO33" s="452">
        <f>IFERROR(('Attainment 25+ by race &amp; gender'!AAW32/'Pop 25+ by race &amp; gender'!EW31)*100, "-")</f>
        <v>19.325103549094454</v>
      </c>
      <c r="DP33" s="452" t="str">
        <f>IFERROR(('Attainment 25+ by race &amp; gender'!ZZ32/'Pop 25+ by race &amp; gender'!DY31)*100, "-")</f>
        <v>-</v>
      </c>
      <c r="DQ33" s="452">
        <f>IFERROR(('Attainment 25+ by race &amp; gender'!AAY32/'Pop 25+ by race &amp; gender'!EX31)*100, "-")</f>
        <v>50.681674064679768</v>
      </c>
      <c r="DR33" s="452" t="str">
        <f>IFERROR(('Attainment 25+ by race &amp; gender'!AAA32/'Pop 25+ by race &amp; gender'!DZ31)*100, "-")</f>
        <v>-</v>
      </c>
      <c r="DS33" s="452" t="str">
        <f>IFERROR(('Attainment 25+ by race &amp; gender'!AAZ32/'Pop 25+ by race &amp; gender'!EY31)*100, "-")</f>
        <v>-</v>
      </c>
      <c r="DT33" s="452">
        <f>IFERROR(('Attainment 25+ by race &amp; gender'!AAB32/'Pop 25+ by race &amp; gender'!EA31)*100, "-")</f>
        <v>14.936388960684644</v>
      </c>
      <c r="DU33" s="452">
        <f>IFERROR(('Attainment 25+ by race &amp; gender'!ABA32/'Pop 25+ by race &amp; gender'!EZ31)*100, "-")</f>
        <v>13.193077902535016</v>
      </c>
      <c r="DV33" s="452">
        <f>IFERROR(('Attainment 25+ by race &amp; gender'!AAC32/'Pop 25+ by race &amp; gender'!EB31)*100, "-")</f>
        <v>25.052803706479526</v>
      </c>
      <c r="DW33" s="452">
        <f>IFERROR(('Attainment 25+ by race &amp; gender'!ABB32/'Pop 25+ by race &amp; gender'!FA31)*100, "-")</f>
        <v>32.6568818331586</v>
      </c>
      <c r="DX33" s="452" t="str">
        <f>IFERROR(('Attainment 25+ by race &amp; gender'!AAD32/'Pop 25+ by race &amp; gender'!EC31)*100, "-")</f>
        <v>-</v>
      </c>
      <c r="DY33" s="452">
        <f>IFERROR(('Attainment 25+ by race &amp; gender'!ABC32/'Pop 25+ by race &amp; gender'!FB31)*100, "-")</f>
        <v>21.440245148110318</v>
      </c>
    </row>
    <row r="34" spans="1:129">
      <c r="A34" s="38" t="s">
        <v>32</v>
      </c>
      <c r="B34" s="351">
        <f>('Attainment 25+ by race &amp; gender'!FS33/'Pop 25+ by race &amp; gender'!AT32)*100</f>
        <v>83.869314021455992</v>
      </c>
      <c r="C34" s="444">
        <f>('Attainment 25+ by race &amp; gender'!GR33/'Pop 25+ by race &amp; gender'!CV32)*100</f>
        <v>85.299999999999983</v>
      </c>
      <c r="D34" s="352">
        <f>('Attainment 25+ by race &amp; gender'!FT33/'Pop 25+ by race &amp; gender'!AZ32)*100</f>
        <v>78.934698325013315</v>
      </c>
      <c r="E34" s="351">
        <f>IF('Pop 25+ by race &amp; gender'!CW32&gt;0,('Attainment 25+ by race &amp; gender'!GS33/'Pop 25+ by race &amp; gender'!CW32)*100,"—")</f>
        <v>87.5</v>
      </c>
      <c r="F34" s="352">
        <f>('Attainment 25+ by race &amp; gender'!FU33/'Pop 25+ by race &amp; gender'!BC32)*100</f>
        <v>0</v>
      </c>
      <c r="G34" s="351">
        <f>('Attainment 25+ by race &amp; gender'!GT33/'Pop 25+ by race &amp; gender'!CY32)*100</f>
        <v>57.699999999999996</v>
      </c>
      <c r="H34" s="352">
        <f>('Attainment 25+ by race &amp; gender'!XM33/'Pop 25+ by race &amp; gender'!AT32)*100</f>
        <v>19.328772330647865</v>
      </c>
      <c r="I34" s="351">
        <f>('Attainment 25+ by race &amp; gender'!YW33/'Pop 25+ by race &amp; gender'!CV32)*100</f>
        <v>22.400000000000002</v>
      </c>
      <c r="J34" s="352">
        <f>('Attainment 25+ by race &amp; gender'!XS33/'Pop 25+ by race &amp; gender'!AZ32)*100</f>
        <v>12.018853102906519</v>
      </c>
      <c r="K34" s="351">
        <f>IF('Pop 25+ by race &amp; gender'!CW32&gt;0,('Attainment 25+ by race &amp; gender'!YX33/'Pop 25+ by race &amp; gender'!CW32)*100,"—")</f>
        <v>16.600000000000001</v>
      </c>
      <c r="L34" s="352">
        <f>('Attainment 25+ by race &amp; gender'!XV33/'Pop 25+ by race &amp; gender'!BC32)*100</f>
        <v>6.3974668367739058</v>
      </c>
      <c r="M34" s="437">
        <f>('Attainment 25+ by race &amp; gender'!YY33/'Pop 25+ by race &amp; gender'!CY32)*100</f>
        <v>8.1</v>
      </c>
      <c r="N34" s="351">
        <f>('Attainment 25+ by race &amp; gender'!FS33/'Pop 25+ by race &amp; gender'!AT32)*100</f>
        <v>83.869314021455992</v>
      </c>
      <c r="O34" s="445">
        <f>('Attainment 25+ by race &amp; gender'!GW33/'Pop 25+ by race &amp; gender'!DA32)*100</f>
        <v>92.184890672472278</v>
      </c>
      <c r="P34" s="352">
        <f>('Attainment 25+ by race &amp; gender'!FT33/'Pop 25+ by race &amp; gender'!AZ32)*100</f>
        <v>78.934698325013315</v>
      </c>
      <c r="Q34" s="351">
        <f>('Attainment 25+ by race &amp; gender'!GX33/'Pop 25+ by race &amp; gender'!DB32)*100</f>
        <v>87.544219766781666</v>
      </c>
      <c r="R34" s="352">
        <f>('Attainment 25+ by race &amp; gender'!FU33/'Pop 25+ by race &amp; gender'!BC32)*100</f>
        <v>0</v>
      </c>
      <c r="S34" s="351">
        <f>('Attainment 25+ by race &amp; gender'!GY33/'Pop 25+ by race &amp; gender'!DD32)*100</f>
        <v>59.43165792073659</v>
      </c>
      <c r="T34" s="352">
        <f>('Attainment 25+ by race &amp; gender'!XM33/'Pop 25+ by race &amp; gender'!AT32)*100</f>
        <v>19.328772330647865</v>
      </c>
      <c r="U34" s="351">
        <f>('Attainment 25+ by race &amp; gender'!ZB33/'Pop 25+ by race &amp; gender'!DA32)*100</f>
        <v>26.092702113552431</v>
      </c>
      <c r="V34" s="352">
        <f>('Attainment 25+ by race &amp; gender'!XS33/'Pop 25+ by race &amp; gender'!AZ32)*100</f>
        <v>12.018853102906519</v>
      </c>
      <c r="W34" s="351">
        <f>('Attainment 25+ by race &amp; gender'!ZC33/'Pop 25+ by race &amp; gender'!DB32)*100</f>
        <v>16.24958145899754</v>
      </c>
      <c r="X34" s="352">
        <f>('Attainment 25+ by race &amp; gender'!XV33/'Pop 25+ by race &amp; gender'!BC32)*100</f>
        <v>6.3974668367739058</v>
      </c>
      <c r="Y34" s="437">
        <f>('Attainment 25+ by race &amp; gender'!ZD33/'Pop 25+ by race &amp; gender'!DD32)*100</f>
        <v>8.4466654675227524</v>
      </c>
      <c r="Z34" s="460">
        <f>('Attainment 25+ by race &amp; gender'!FS33/'Pop 25+ by race &amp; gender'!AT32)*100</f>
        <v>83.869314021455992</v>
      </c>
      <c r="AA34" s="461">
        <f>('Attainment 25+ by race &amp; gender'!HB33/'Pop 25+ by race &amp; gender'!DF32)*100</f>
        <v>92.406135935039018</v>
      </c>
      <c r="AB34" s="462">
        <f>('Attainment 25+ by race &amp; gender'!FT33/'Pop 25+ by race &amp; gender'!AZ32)*100</f>
        <v>78.934698325013315</v>
      </c>
      <c r="AC34" s="460">
        <f>('Attainment 25+ by race &amp; gender'!HC33/'Pop 25+ by race &amp; gender'!DG32)*100</f>
        <v>86.755690695214142</v>
      </c>
      <c r="AD34" s="462">
        <f>('Attainment 25+ by race &amp; gender'!FU33/'Pop 25+ by race &amp; gender'!BC32)*100</f>
        <v>0</v>
      </c>
      <c r="AE34" s="460">
        <f>('Attainment 25+ by race &amp; gender'!HD33/'Pop 25+ by race &amp; gender'!DI32)*100</f>
        <v>60.65266051244739</v>
      </c>
      <c r="AF34" s="462">
        <f>('Attainment 25+ by race &amp; gender'!XM33/'Pop 25+ by race &amp; gender'!AT32)*100</f>
        <v>19.328772330647865</v>
      </c>
      <c r="AG34" s="463">
        <f>('Attainment 25+ by race &amp; gender'!ZG33/'Pop 25+ by race &amp; gender'!DF32)*100</f>
        <v>26.659560911888946</v>
      </c>
      <c r="AH34" s="462">
        <f>('Attainment 25+ by race &amp; gender'!XS33/'Pop 25+ by race &amp; gender'!AZ32)*100</f>
        <v>12.018853102906519</v>
      </c>
      <c r="AI34" s="463">
        <f>('Attainment 25+ by race &amp; gender'!ZH33/'Pop 25+ by race &amp; gender'!DG32)*100</f>
        <v>16.685699873189801</v>
      </c>
      <c r="AJ34" s="462">
        <f>('Attainment 25+ by race &amp; gender'!XV33/'Pop 25+ by race &amp; gender'!BC32)*100</f>
        <v>6.3974668367739058</v>
      </c>
      <c r="AK34" s="464">
        <f>('Attainment 25+ by race &amp; gender'!ZI33/'Pop 25+ by race &amp; gender'!DI32)*100</f>
        <v>8.5519900158150293</v>
      </c>
      <c r="AL34" s="462">
        <f>('Attainment 25+ by race &amp; gender'!FS33/'Pop 25+ by race &amp; gender'!AT32)*100</f>
        <v>83.869314021455992</v>
      </c>
      <c r="AM34" s="464">
        <f>('Attainment 25+ by race &amp; gender'!HL33/'Pop 25+ by race &amp; gender'!DP32)*100</f>
        <v>93.044986841094385</v>
      </c>
      <c r="AN34" s="462">
        <v>78.934698325013315</v>
      </c>
      <c r="AO34" s="464">
        <f>IF('Pop 25+ by race &amp; gender'!DQ32&gt;0, ('Attainment 25+ by race &amp; gender'!HM33/'Pop 25+ by race &amp; gender'!DQ32)*100,"—")</f>
        <v>88.176556355763708</v>
      </c>
      <c r="AP34" s="464">
        <f>('Attainment 25+ by race &amp; gender'!FU33/'Pop 25+ by race &amp; gender'!BC32)*100</f>
        <v>0</v>
      </c>
      <c r="AQ34" s="464">
        <f>('Attainment 25+ by race &amp; gender'!HN33/'Pop 25+ by race &amp; gender'!DS32)*100</f>
        <v>62.977094935553446</v>
      </c>
      <c r="AR34" s="464">
        <f>('Attainment 25+ by race &amp; gender'!XM33/'Pop 25+ by race &amp; gender'!AT32)*100</f>
        <v>19.328772330647865</v>
      </c>
      <c r="AS34" s="464">
        <f>('Attainment 25+ by race &amp; gender'!ZQ33/'Pop 25+ by race &amp; gender'!DP32)*100</f>
        <v>28.774140293766092</v>
      </c>
      <c r="AT34" s="464">
        <f>('Attainment 25+ by race &amp; gender'!XS33/'Pop 25+ by race &amp; gender'!AZ32)*100</f>
        <v>12.018853102906519</v>
      </c>
      <c r="AU34" s="464">
        <f>IF('Pop 25+ by race &amp; gender'!DQ32&gt;0, ('Attainment 25+ by race &amp; gender'!ZR33/'Pop 25+ by race &amp; gender'!DQ32)*100,"—")</f>
        <v>16.732836376719202</v>
      </c>
      <c r="AV34" s="464">
        <f>('Attainment 25+ by race &amp; gender'!XV33/'Pop 25+ by race &amp; gender'!BC32)*100</f>
        <v>6.3974668367739058</v>
      </c>
      <c r="AW34" s="464">
        <f>('Attainment 25+ by race &amp; gender'!ZS33/'Pop 25+ by race &amp; gender'!DS32)*100</f>
        <v>8.3123544909747782</v>
      </c>
      <c r="AX34" s="462">
        <f>('Attainment 25+ by race &amp; gender'!GR33/'Pop 25+ by race &amp; gender'!CV32)*100</f>
        <v>85.299999999999983</v>
      </c>
      <c r="AY34" s="464">
        <f>('Attainment 25+ by race &amp; gender'!HQ33/'Pop 25+ by race &amp; gender'!DU32)*100</f>
        <v>93.395816423983376</v>
      </c>
      <c r="AZ34" s="462">
        <f>('Attainment 25+ by race &amp; gender'!GS33/'Pop 25+ by race &amp; gender'!CW32)*100</f>
        <v>87.5</v>
      </c>
      <c r="BA34" s="464">
        <f>IF('Pop 25+ by race &amp; gender'!DV32&gt;0, ('Attainment 25+ by race &amp; gender'!HR33/'Pop 25+ by race &amp; gender'!DV32)*100,"—")</f>
        <v>90.634577248963396</v>
      </c>
      <c r="BB34" s="464">
        <f>('Attainment 25+ by race &amp; gender'!GT33/'Pop 25+ by race &amp; gender'!CY32)*100</f>
        <v>57.699999999999996</v>
      </c>
      <c r="BC34" s="464">
        <f>('Attainment 25+ by race &amp; gender'!HS33/'Pop 25+ by race &amp; gender'!DX32)*100</f>
        <v>63.477138442749947</v>
      </c>
      <c r="BD34" s="464">
        <f>('Attainment 25+ by race &amp; gender'!YW33/'Pop 25+ by race &amp; gender'!CV32)*100</f>
        <v>22.400000000000002</v>
      </c>
      <c r="BE34" s="464">
        <f>('Attainment 25+ by race &amp; gender'!ZV33/'Pop 25+ by race &amp; gender'!DU32)*100</f>
        <v>27.701741637229276</v>
      </c>
      <c r="BF34" s="464">
        <f>('Attainment 25+ by race &amp; gender'!YX33/'Pop 25+ by race &amp; gender'!CW32)*100</f>
        <v>16.600000000000001</v>
      </c>
      <c r="BG34" s="464">
        <f>IF('Pop 25+ by race &amp; gender'!DV32&gt;0, ('Attainment 25+ by race &amp; gender'!ZW33/'Pop 25+ by race &amp; gender'!DV32)*100,"—")</f>
        <v>18.495883660837688</v>
      </c>
      <c r="BH34" s="464">
        <f>('Attainment 25+ by race &amp; gender'!YY33/'Pop 25+ by race &amp; gender'!CY32)*100</f>
        <v>8.1</v>
      </c>
      <c r="BI34" s="464">
        <f>('Attainment 25+ by race &amp; gender'!ZX33/'Pop 25+ by race &amp; gender'!DX32)*100</f>
        <v>9.5768422562328475</v>
      </c>
      <c r="BJ34" s="462">
        <f>('Attainment 25+ by race &amp; gender'!GW33/'Pop 25+ by race &amp; gender'!DA32)*100</f>
        <v>92.184890672472278</v>
      </c>
      <c r="BK34" s="464">
        <f>('Attainment 25+ by race &amp; gender'!IA33/'Pop 25+ by race &amp; gender'!EE32)*100</f>
        <v>94.064113012768274</v>
      </c>
      <c r="BL34" s="462">
        <f>('Attainment 25+ by race &amp; gender'!GX33/'Pop 25+ by race &amp; gender'!DB32)*100</f>
        <v>87.544219766781666</v>
      </c>
      <c r="BM34" s="464">
        <f>IF('Pop 25+ by race &amp; gender'!EF32&gt;0, ('Attainment 25+ by race &amp; gender'!IB33/'Pop 25+ by race &amp; gender'!EF32)*100,"—")</f>
        <v>89.032026890985719</v>
      </c>
      <c r="BN34" s="464">
        <f>('Attainment 25+ by race &amp; gender'!GY33/'Pop 25+ by race &amp; gender'!DD32)*100</f>
        <v>59.43165792073659</v>
      </c>
      <c r="BO34" s="464">
        <f>('Attainment 25+ by race &amp; gender'!IC33/'Pop 25+ by race &amp; gender'!EH32)*100</f>
        <v>66.124510529558435</v>
      </c>
      <c r="BP34" s="464">
        <f>('Attainment 25+ by race &amp; gender'!ZB33/'Pop 25+ by race &amp; gender'!DA32)*100</f>
        <v>26.092702113552431</v>
      </c>
      <c r="BQ34" s="464">
        <f>('Attainment 25+ by race &amp; gender'!AAF33/'Pop 25+ by race &amp; gender'!EE32)*100</f>
        <v>29.727681989295679</v>
      </c>
      <c r="BR34" s="464">
        <f>('Attainment 25+ by race &amp; gender'!ZC33/'Pop 25+ by race &amp; gender'!DB32)*100</f>
        <v>16.24958145899754</v>
      </c>
      <c r="BS34" s="464">
        <f>IF('Pop 25+ by race &amp; gender'!EF32&gt;0, ('Attainment 25+ by race &amp; gender'!AAG33/'Pop 25+ by race &amp; gender'!EF32)*100,"—")</f>
        <v>18.467077311583939</v>
      </c>
      <c r="BT34" s="464">
        <f>('Attainment 25+ by race &amp; gender'!ZD33/'Pop 25+ by race &amp; gender'!DD32)*100</f>
        <v>8.4466654675227524</v>
      </c>
      <c r="BU34" s="464">
        <f>('Attainment 25+ by race &amp; gender'!AAH33/'Pop 25+ by race &amp; gender'!EH32)*100</f>
        <v>10.344107540842613</v>
      </c>
      <c r="BV34" s="462">
        <f>('Attainment 25+ by race &amp; gender'!HN33/'Pop 25+ by race &amp; gender'!DR32)*100</f>
        <v>66.600883308426233</v>
      </c>
      <c r="BW34" s="464" t="e">
        <f>('Attainment 25+ by race &amp; gender'!JB33/'Pop 25+ by race &amp; gender'!EQ32)*100</f>
        <v>#VALUE!</v>
      </c>
      <c r="BX34" s="462">
        <f>('Attainment 25+ by race &amp; gender'!HO33/'Pop 25+ by race &amp; gender'!DS32)*100</f>
        <v>74.600913678355468</v>
      </c>
      <c r="BY34" s="464" t="e">
        <f>IF('Pop 25+ by race &amp; gender'!ER32&gt;0, ('Attainment 25+ by race &amp; gender'!JC33/'Pop 25+ by race &amp; gender'!ER32)*100,"—")</f>
        <v>#VALUE!</v>
      </c>
      <c r="BZ34" s="464">
        <f>('Attainment 25+ by race &amp; gender'!HP33/'Pop 25+ by race &amp; gender'!DU32)*100</f>
        <v>153.13139770879599</v>
      </c>
      <c r="CA34" s="464">
        <f>('Attainment 25+ by race &amp; gender'!JD33/'Pop 25+ by race &amp; gender'!ET32)*100</f>
        <v>22.584732340829902</v>
      </c>
      <c r="CB34" s="464">
        <f>('Attainment 25+ by race &amp; gender'!ZS33/'Pop 25+ by race &amp; gender'!DR32)*100</f>
        <v>8.7906587631298585</v>
      </c>
      <c r="CC34" s="464">
        <f>('Attainment 25+ by race &amp; gender'!ABB33/'Pop 25+ by race &amp; gender'!EQ32)*100</f>
        <v>11.569081486382181</v>
      </c>
      <c r="CD34" s="464">
        <f>('Attainment 25+ by race &amp; gender'!ZT33/'Pop 25+ by race &amp; gender'!DS32)*100</f>
        <v>20.504123272203579</v>
      </c>
      <c r="CE34" s="464">
        <f>IF('Pop 25+ by race &amp; gender'!ER32&gt;0, ('Attainment 25+ by race &amp; gender'!ABC33/'Pop 25+ by race &amp; gender'!ER32)*100,"—")</f>
        <v>5.0785626451701056</v>
      </c>
      <c r="CF34" s="464">
        <f>('Attainment 25+ by race &amp; gender'!ZU33/'Pop 25+ by race &amp; gender'!DU32)*100</f>
        <v>41.757427648634845</v>
      </c>
      <c r="CG34" s="464">
        <f>('Attainment 25+ by race &amp; gender'!ABD33/'Pop 25+ by race &amp; gender'!ET32)*100</f>
        <v>7.1401727664646222</v>
      </c>
      <c r="CH34" s="462">
        <f>('Attainment 25+ by race &amp; gender'!HG33/'Pop 25+ by race &amp; gender'!DK32)*100</f>
        <v>92.648460658263431</v>
      </c>
      <c r="CI34" s="452">
        <f>('Attainment 25+ by race &amp; gender'!IK33/'Pop 25+ by race &amp; gender'!EO32)*100</f>
        <v>94.22134897289223</v>
      </c>
      <c r="CJ34" s="462">
        <f>('Attainment 25+ by race &amp; gender'!HH33/'Pop 25+ by race &amp; gender'!DL32)*100</f>
        <v>86.307871582696137</v>
      </c>
      <c r="CK34" s="464">
        <f>IF('Pop 25+ by race &amp; gender'!EP32&gt;0, ('Attainment 25+ by race &amp; gender'!IL33/'Pop 25+ by race &amp; gender'!EP32)*100,"—")</f>
        <v>90.35420308196619</v>
      </c>
      <c r="CL34" s="464">
        <f>('Attainment 25+ by race &amp; gender'!HI33/'Pop 25+ by race &amp; gender'!DN32)*100</f>
        <v>62.813306789163789</v>
      </c>
      <c r="CM34" s="464">
        <f>('Attainment 25+ by race &amp; gender'!IM33/'Pop 25+ by race &amp; gender'!ER32)*100</f>
        <v>67.044873421427596</v>
      </c>
      <c r="CN34" s="464">
        <f>('Attainment 25+ by race &amp; gender'!ZL33/'Pop 25+ by race &amp; gender'!DK32)*100</f>
        <v>27.689410662317886</v>
      </c>
      <c r="CO34" s="464">
        <f>('Attainment 25+ by race &amp; gender'!AAP33/'Pop 25+ by race &amp; gender'!EO32)*100</f>
        <v>30.74515696289145</v>
      </c>
      <c r="CP34" s="464">
        <f>('Attainment 25+ by race &amp; gender'!ZM33/'Pop 25+ by race &amp; gender'!DL32)*100</f>
        <v>14.321907405467686</v>
      </c>
      <c r="CQ34" s="464">
        <f>IF('Pop 25+ by race &amp; gender'!EP32&gt;0, ('Attainment 25+ by race &amp; gender'!AAQ33/'Pop 25+ by race &amp; gender'!EP32)*100,"—")</f>
        <v>18.160882577191789</v>
      </c>
      <c r="CR34" s="464">
        <f>('Attainment 25+ by race &amp; gender'!ZN33/'Pop 25+ by race &amp; gender'!DN32)*100</f>
        <v>8.9202010040824558</v>
      </c>
      <c r="CS34" s="464">
        <f>('Attainment 25+ by race &amp; gender'!AAR33/'Pop 25+ by race &amp; gender'!ER32)*100</f>
        <v>10.632404895282338</v>
      </c>
      <c r="CT34" s="350">
        <f>IFERROR(('Attainment 25+ by race &amp; gender'!HQ33/'Pop 25+ by race &amp; gender'!DU32)*100,"-")</f>
        <v>93.395816423983376</v>
      </c>
      <c r="CU34" s="452">
        <f>IFERROR(('Attainment 25+ by race &amp; gender'!IP33/'Pop 25+ by race &amp; gender'!ET32)*100,"-")</f>
        <v>94.425713462505527</v>
      </c>
      <c r="CV34" s="350">
        <f>IFERROR(('Attainment 25+ by race &amp; gender'!HR33/'Pop 25+ by race &amp; gender'!DV32)*100,"-")</f>
        <v>90.634577248963396</v>
      </c>
      <c r="CW34" s="452">
        <f>IFERROR(('Attainment 25+ by race &amp; gender'!IQ33/'Pop 25+ by race &amp; gender'!EU32)*100, "-")</f>
        <v>91.100539875478631</v>
      </c>
      <c r="CX34" s="452">
        <f>IFERROR(('Attainment 25+ by race &amp; gender'!HS33/'Pop 25+ by race &amp; gender'!DX32)*100, "-")</f>
        <v>63.477138442749947</v>
      </c>
      <c r="CY34" s="452">
        <f>IFERROR(('Attainment 25+ by race &amp; gender'!IR33/'Pop 25+ by race &amp; gender'!EW32)*100, "-")</f>
        <v>68.950672350631407</v>
      </c>
      <c r="CZ34" s="452">
        <f>IFERROR(('Attainment 25+ by race &amp; gender'!HU33/'Pop 25+ by race &amp; gender'!DY32)*100, "-")</f>
        <v>90.196703077163974</v>
      </c>
      <c r="DA34" s="452">
        <f>IFERROR(('Attainment 25+ by race &amp; gender'!IT33/'Pop 25+ by race &amp; gender'!EX32)*100, "-")</f>
        <v>89.440967161107778</v>
      </c>
      <c r="DB34" s="452">
        <f>IFERROR(('Attainment 25+ by race &amp; gender'!HV33/'Pop 25+ by race &amp; gender'!DZ32)*100, "-")</f>
        <v>93.158320596961246</v>
      </c>
      <c r="DC34" s="452">
        <f>IFERROR(('Attainment 25+ by race &amp; gender'!IU33/'Pop 25+ by race &amp; gender'!EY32)*100, "-")</f>
        <v>92.133037078183591</v>
      </c>
      <c r="DD34" s="452">
        <f>IFERROR(('Attainment 25+ by race &amp; gender'!HW33/'Pop 25+ by race &amp; gender'!EA32)*100, "-")</f>
        <v>87.134095344298856</v>
      </c>
      <c r="DE34" s="452">
        <f>IFERROR(('Attainment 25+ by race &amp; gender'!IV33/'Pop 25+ by race &amp; gender'!EZ32)*100, "-")</f>
        <v>72.996963326325627</v>
      </c>
      <c r="DF34" s="452">
        <f>IFERROR(('Attainment 25+ by race &amp; gender'!HX33/'Pop 25+ by race &amp; gender'!EB32)*100, "-")</f>
        <v>89.830424022986605</v>
      </c>
      <c r="DG34" s="452">
        <f>IFERROR(('Attainment 25+ by race &amp; gender'!IW33/'Pop 25+ by race &amp; gender'!FA32)*100, "-")</f>
        <v>79.26075916819336</v>
      </c>
      <c r="DH34" s="452">
        <f>IFERROR(('Attainment 25+ by race &amp; gender'!HY33/'Pop 25+ by race &amp; gender'!EC32)*100, "-")</f>
        <v>58.607081776144931</v>
      </c>
      <c r="DI34" s="452">
        <f>IFERROR(('Attainment 25+ by race &amp; gender'!IX33/'Pop 25+ by race &amp; gender'!FB32)*100, "-")</f>
        <v>62.346508294081502</v>
      </c>
      <c r="DJ34" s="452">
        <f>IFERROR(('Attainment 25+ by race &amp; gender'!ZV33/'Pop 25+ by race &amp; gender'!DU32)*100, "-")</f>
        <v>27.701741637229276</v>
      </c>
      <c r="DK34" s="452">
        <f>IFERROR(('Attainment 25+ by race &amp; gender'!AAU33/'Pop 25+ by race &amp; gender'!ET32)*100, "-")</f>
        <v>33.047357768316843</v>
      </c>
      <c r="DL34" s="452">
        <f>IFERROR(('Attainment 25+ by race &amp; gender'!ZW33/'Pop 25+ by race &amp; gender'!DV32)*100, "-")</f>
        <v>18.495883660837688</v>
      </c>
      <c r="DM34" s="452">
        <f>IFERROR(('Attainment 25+ by race &amp; gender'!AAV33/'Pop 25+ by race &amp; gender'!EU32)*100, "-")</f>
        <v>23.068274625852506</v>
      </c>
      <c r="DN34" s="452">
        <f>IFERROR(('Attainment 25+ by race &amp; gender'!ZX33/'Pop 25+ by race &amp; gender'!DX32)*100, "-")</f>
        <v>9.5768422562328475</v>
      </c>
      <c r="DO34" s="452">
        <f>IFERROR(('Attainment 25+ by race &amp; gender'!AAW33/'Pop 25+ by race &amp; gender'!EW32)*100, "-")</f>
        <v>13.616471310846087</v>
      </c>
      <c r="DP34" s="452">
        <f>IFERROR(('Attainment 25+ by race &amp; gender'!ZZ33/'Pop 25+ by race &amp; gender'!DY32)*100, "-")</f>
        <v>37.546907987451604</v>
      </c>
      <c r="DQ34" s="452">
        <f>IFERROR(('Attainment 25+ by race &amp; gender'!AAY33/'Pop 25+ by race &amp; gender'!EX32)*100, "-")</f>
        <v>40.890946678479906</v>
      </c>
      <c r="DR34" s="452">
        <f>IFERROR(('Attainment 25+ by race &amp; gender'!AAA33/'Pop 25+ by race &amp; gender'!DZ32)*100, "-")</f>
        <v>10.986244718151578</v>
      </c>
      <c r="DS34" s="452">
        <f>IFERROR(('Attainment 25+ by race &amp; gender'!AAZ33/'Pop 25+ by race &amp; gender'!EY32)*100, "-")</f>
        <v>17.754478544646577</v>
      </c>
      <c r="DT34" s="452">
        <f>IFERROR(('Attainment 25+ by race &amp; gender'!AAB33/'Pop 25+ by race &amp; gender'!EA32)*100, "-")</f>
        <v>10.096645293188365</v>
      </c>
      <c r="DU34" s="452">
        <f>IFERROR(('Attainment 25+ by race &amp; gender'!ABA33/'Pop 25+ by race &amp; gender'!EZ32)*100, "-")</f>
        <v>11.616111055494377</v>
      </c>
      <c r="DV34" s="452">
        <f>IFERROR(('Attainment 25+ by race &amp; gender'!AAC33/'Pop 25+ by race &amp; gender'!EB32)*100, "-")</f>
        <v>22.90355262502284</v>
      </c>
      <c r="DW34" s="452">
        <f>IFERROR(('Attainment 25+ by race &amp; gender'!ABB33/'Pop 25+ by race &amp; gender'!FA32)*100, "-")</f>
        <v>18.547231060971299</v>
      </c>
      <c r="DX34" s="452">
        <f>IFERROR(('Attainment 25+ by race &amp; gender'!AAD33/'Pop 25+ by race &amp; gender'!EC32)*100, "-")</f>
        <v>7.2705390511180079</v>
      </c>
      <c r="DY34" s="452">
        <f>IFERROR(('Attainment 25+ by race &amp; gender'!ABC33/'Pop 25+ by race &amp; gender'!FB32)*100, "-")</f>
        <v>10.656973172230186</v>
      </c>
    </row>
    <row r="35" spans="1:129">
      <c r="A35" s="38" t="s">
        <v>33</v>
      </c>
      <c r="B35" s="351">
        <f>('Attainment 25+ by race &amp; gender'!FS34/'Pop 25+ by race &amp; gender'!AT33)*100</f>
        <v>83.308694362416276</v>
      </c>
      <c r="C35" s="444">
        <f>('Attainment 25+ by race &amp; gender'!GR34/'Pop 25+ by race &amp; gender'!CV33)*100</f>
        <v>85.6</v>
      </c>
      <c r="D35" s="352">
        <f>('Attainment 25+ by race &amp; gender'!FT34/'Pop 25+ by race &amp; gender'!AZ33)*100</f>
        <v>79.373801254471005</v>
      </c>
      <c r="E35" s="351">
        <f>IF('Pop 25+ by race &amp; gender'!CW33&gt;0,('Attainment 25+ by race &amp; gender'!GS34/'Pop 25+ by race &amp; gender'!CW33)*100,"—")</f>
        <v>87.5</v>
      </c>
      <c r="F35" s="352">
        <f>('Attainment 25+ by race &amp; gender'!FU34/'Pop 25+ by race &amp; gender'!BC33)*100</f>
        <v>64.3710661189033</v>
      </c>
      <c r="G35" s="351">
        <f>('Attainment 25+ by race &amp; gender'!GT34/'Pop 25+ by race &amp; gender'!CY33)*100</f>
        <v>71.000000000000014</v>
      </c>
      <c r="H35" s="352">
        <f>('Attainment 25+ by race &amp; gender'!XM34/'Pop 25+ by race &amp; gender'!AT33)*100</f>
        <v>28.001020553906852</v>
      </c>
      <c r="I35" s="351">
        <f>('Attainment 25+ by race &amp; gender'!YW34/'Pop 25+ by race &amp; gender'!CV33)*100</f>
        <v>28.9</v>
      </c>
      <c r="J35" s="352">
        <f>('Attainment 25+ by race &amp; gender'!XS34/'Pop 25+ by race &amp; gender'!AZ33)*100</f>
        <v>18.796329894769581</v>
      </c>
      <c r="K35" s="351">
        <f>IF('Pop 25+ by race &amp; gender'!CW33&gt;0,('Attainment 25+ by race &amp; gender'!YX34/'Pop 25+ by race &amp; gender'!CW33)*100,"—")</f>
        <v>24.7</v>
      </c>
      <c r="L35" s="352">
        <f>('Attainment 25+ by race &amp; gender'!XV34/'Pop 25+ by race &amp; gender'!BC33)*100</f>
        <v>10.769775437612715</v>
      </c>
      <c r="M35" s="437">
        <f>('Attainment 25+ by race &amp; gender'!YY34/'Pop 25+ by race &amp; gender'!CY33)*100</f>
        <v>13</v>
      </c>
      <c r="N35" s="351">
        <f>('Attainment 25+ by race &amp; gender'!FS34/'Pop 25+ by race &amp; gender'!AT33)*100</f>
        <v>83.308694362416276</v>
      </c>
      <c r="O35" s="445">
        <f>('Attainment 25+ by race &amp; gender'!GW34/'Pop 25+ by race &amp; gender'!DA33)*100</f>
        <v>94.160041877288194</v>
      </c>
      <c r="P35" s="352">
        <f>('Attainment 25+ by race &amp; gender'!FT34/'Pop 25+ by race &amp; gender'!AZ33)*100</f>
        <v>79.373801254471005</v>
      </c>
      <c r="Q35" s="351">
        <f>('Attainment 25+ by race &amp; gender'!GX34/'Pop 25+ by race &amp; gender'!DB33)*100</f>
        <v>87.694461107778437</v>
      </c>
      <c r="R35" s="352">
        <f>('Attainment 25+ by race &amp; gender'!FU34/'Pop 25+ by race &amp; gender'!BC33)*100</f>
        <v>64.3710661189033</v>
      </c>
      <c r="S35" s="351">
        <f>('Attainment 25+ by race &amp; gender'!GY34/'Pop 25+ by race &amp; gender'!DD33)*100</f>
        <v>72.185124168430931</v>
      </c>
      <c r="T35" s="352">
        <f>('Attainment 25+ by race &amp; gender'!XM34/'Pop 25+ by race &amp; gender'!AT33)*100</f>
        <v>28.001020553906852</v>
      </c>
      <c r="U35" s="351">
        <f>('Attainment 25+ by race &amp; gender'!ZB34/'Pop 25+ by race &amp; gender'!DA33)*100</f>
        <v>38.215232863580319</v>
      </c>
      <c r="V35" s="352">
        <f>('Attainment 25+ by race &amp; gender'!XS34/'Pop 25+ by race &amp; gender'!AZ33)*100</f>
        <v>18.796329894769581</v>
      </c>
      <c r="W35" s="351">
        <f>('Attainment 25+ by race &amp; gender'!ZC34/'Pop 25+ by race &amp; gender'!DB33)*100</f>
        <v>26.690661867626474</v>
      </c>
      <c r="X35" s="352">
        <f>('Attainment 25+ by race &amp; gender'!XV34/'Pop 25+ by race &amp; gender'!BC33)*100</f>
        <v>10.769775437612715</v>
      </c>
      <c r="Y35" s="437">
        <f>('Attainment 25+ by race &amp; gender'!ZD34/'Pop 25+ by race &amp; gender'!DD33)*100</f>
        <v>13.261722636425727</v>
      </c>
      <c r="Z35" s="460">
        <f>('Attainment 25+ by race &amp; gender'!FS34/'Pop 25+ by race &amp; gender'!AT33)*100</f>
        <v>83.308694362416276</v>
      </c>
      <c r="AA35" s="461">
        <f>('Attainment 25+ by race &amp; gender'!HB34/'Pop 25+ by race &amp; gender'!DF33)*100</f>
        <v>94.102587691887962</v>
      </c>
      <c r="AB35" s="462">
        <f>('Attainment 25+ by race &amp; gender'!FT34/'Pop 25+ by race &amp; gender'!AZ33)*100</f>
        <v>79.373801254471005</v>
      </c>
      <c r="AC35" s="460">
        <f>('Attainment 25+ by race &amp; gender'!HC34/'Pop 25+ by race &amp; gender'!DG33)*100</f>
        <v>88.761685945175088</v>
      </c>
      <c r="AD35" s="462">
        <f>('Attainment 25+ by race &amp; gender'!FU34/'Pop 25+ by race &amp; gender'!BC33)*100</f>
        <v>64.3710661189033</v>
      </c>
      <c r="AE35" s="460">
        <f>('Attainment 25+ by race &amp; gender'!HD34/'Pop 25+ by race &amp; gender'!DI33)*100</f>
        <v>72.727159938036806</v>
      </c>
      <c r="AF35" s="462">
        <f>('Attainment 25+ by race &amp; gender'!XM34/'Pop 25+ by race &amp; gender'!AT33)*100</f>
        <v>28.001020553906852</v>
      </c>
      <c r="AG35" s="463">
        <f>('Attainment 25+ by race &amp; gender'!ZG34/'Pop 25+ by race &amp; gender'!DF33)*100</f>
        <v>38.542238351896913</v>
      </c>
      <c r="AH35" s="462">
        <f>('Attainment 25+ by race &amp; gender'!XS34/'Pop 25+ by race &amp; gender'!AZ33)*100</f>
        <v>18.796329894769581</v>
      </c>
      <c r="AI35" s="463">
        <f>('Attainment 25+ by race &amp; gender'!ZH34/'Pop 25+ by race &amp; gender'!DG33)*100</f>
        <v>26.984630011091742</v>
      </c>
      <c r="AJ35" s="462">
        <f>('Attainment 25+ by race &amp; gender'!XV34/'Pop 25+ by race &amp; gender'!BC33)*100</f>
        <v>10.769775437612715</v>
      </c>
      <c r="AK35" s="464">
        <f>('Attainment 25+ by race &amp; gender'!ZI34/'Pop 25+ by race &amp; gender'!DI33)*100</f>
        <v>13.881454645998092</v>
      </c>
      <c r="AL35" s="462">
        <f>('Attainment 25+ by race &amp; gender'!FS34/'Pop 25+ by race &amp; gender'!AT33)*100</f>
        <v>83.308694362416276</v>
      </c>
      <c r="AM35" s="464">
        <f>('Attainment 25+ by race &amp; gender'!HL34/'Pop 25+ by race &amp; gender'!DP33)*100</f>
        <v>94.585402100307746</v>
      </c>
      <c r="AN35" s="462">
        <v>79.373801254471005</v>
      </c>
      <c r="AO35" s="464">
        <f>IF('Pop 25+ by race &amp; gender'!DQ33&gt;0, ('Attainment 25+ by race &amp; gender'!HM34/'Pop 25+ by race &amp; gender'!DQ33)*100,"—")</f>
        <v>90.299531871458242</v>
      </c>
      <c r="AP35" s="464">
        <f>('Attainment 25+ by race &amp; gender'!FU34/'Pop 25+ by race &amp; gender'!BC33)*100</f>
        <v>64.3710661189033</v>
      </c>
      <c r="AQ35" s="464">
        <f>('Attainment 25+ by race &amp; gender'!HN34/'Pop 25+ by race &amp; gender'!DS33)*100</f>
        <v>74.974706149970459</v>
      </c>
      <c r="AR35" s="464">
        <f>('Attainment 25+ by race &amp; gender'!XM34/'Pop 25+ by race &amp; gender'!AT33)*100</f>
        <v>28.001020553906852</v>
      </c>
      <c r="AS35" s="464">
        <f>('Attainment 25+ by race &amp; gender'!ZQ34/'Pop 25+ by race &amp; gender'!DP33)*100</f>
        <v>39.830893982538981</v>
      </c>
      <c r="AT35" s="464">
        <f>('Attainment 25+ by race &amp; gender'!XS34/'Pop 25+ by race &amp; gender'!AZ33)*100</f>
        <v>18.796329894769581</v>
      </c>
      <c r="AU35" s="464">
        <f>IF('Pop 25+ by race &amp; gender'!DQ33&gt;0, ('Attainment 25+ by race &amp; gender'!ZR34/'Pop 25+ by race &amp; gender'!DQ33)*100,"—")</f>
        <v>31.744746753018198</v>
      </c>
      <c r="AV35" s="464">
        <f>('Attainment 25+ by race &amp; gender'!XV34/'Pop 25+ by race &amp; gender'!BC33)*100</f>
        <v>10.769775437612715</v>
      </c>
      <c r="AW35" s="464">
        <f>('Attainment 25+ by race &amp; gender'!ZS34/'Pop 25+ by race &amp; gender'!DS33)*100</f>
        <v>14.36113506576401</v>
      </c>
      <c r="AX35" s="462">
        <f>('Attainment 25+ by race &amp; gender'!GR34/'Pop 25+ by race &amp; gender'!CV33)*100</f>
        <v>85.6</v>
      </c>
      <c r="AY35" s="464">
        <f>('Attainment 25+ by race &amp; gender'!HQ34/'Pop 25+ by race &amp; gender'!DU33)*100</f>
        <v>94.769442979431219</v>
      </c>
      <c r="AZ35" s="462">
        <f>('Attainment 25+ by race &amp; gender'!GS34/'Pop 25+ by race &amp; gender'!CW33)*100</f>
        <v>87.5</v>
      </c>
      <c r="BA35" s="464">
        <f>IF('Pop 25+ by race &amp; gender'!DV33&gt;0, ('Attainment 25+ by race &amp; gender'!HR34/'Pop 25+ by race &amp; gender'!DV33)*100,"—")</f>
        <v>92.175789680204048</v>
      </c>
      <c r="BB35" s="464">
        <f>('Attainment 25+ by race &amp; gender'!GT34/'Pop 25+ by race &amp; gender'!CY33)*100</f>
        <v>71.000000000000014</v>
      </c>
      <c r="BC35" s="464">
        <f>('Attainment 25+ by race &amp; gender'!HS34/'Pop 25+ by race &amp; gender'!DX33)*100</f>
        <v>75.942414634024033</v>
      </c>
      <c r="BD35" s="464">
        <f>('Attainment 25+ by race &amp; gender'!YW34/'Pop 25+ by race &amp; gender'!CV33)*100</f>
        <v>28.9</v>
      </c>
      <c r="BE35" s="464">
        <f>('Attainment 25+ by race &amp; gender'!ZV34/'Pop 25+ by race &amp; gender'!DU33)*100</f>
        <v>40.23952290153759</v>
      </c>
      <c r="BF35" s="464">
        <f>('Attainment 25+ by race &amp; gender'!YX34/'Pop 25+ by race &amp; gender'!CW33)*100</f>
        <v>24.7</v>
      </c>
      <c r="BG35" s="464">
        <f>IF('Pop 25+ by race &amp; gender'!DV33&gt;0, ('Attainment 25+ by race &amp; gender'!ZW34/'Pop 25+ by race &amp; gender'!DV33)*100,"—")</f>
        <v>28.616833431430255</v>
      </c>
      <c r="BH35" s="464">
        <f>('Attainment 25+ by race &amp; gender'!YY34/'Pop 25+ by race &amp; gender'!CY33)*100</f>
        <v>13</v>
      </c>
      <c r="BI35" s="464">
        <f>('Attainment 25+ by race &amp; gender'!ZX34/'Pop 25+ by race &amp; gender'!DX33)*100</f>
        <v>15.430645002231408</v>
      </c>
      <c r="BJ35" s="462">
        <f>('Attainment 25+ by race &amp; gender'!GW34/'Pop 25+ by race &amp; gender'!DA33)*100</f>
        <v>94.160041877288194</v>
      </c>
      <c r="BK35" s="464">
        <f>('Attainment 25+ by race &amp; gender'!IA34/'Pop 25+ by race &amp; gender'!EE33)*100</f>
        <v>94.906442337005331</v>
      </c>
      <c r="BL35" s="462">
        <f>('Attainment 25+ by race &amp; gender'!GX34/'Pop 25+ by race &amp; gender'!DB33)*100</f>
        <v>87.694461107778437</v>
      </c>
      <c r="BM35" s="464">
        <f>IF('Pop 25+ by race &amp; gender'!EF33&gt;0, ('Attainment 25+ by race &amp; gender'!IB34/'Pop 25+ by race &amp; gender'!EF33)*100,"—")</f>
        <v>88.36624775583482</v>
      </c>
      <c r="BN35" s="464">
        <f>('Attainment 25+ by race &amp; gender'!GY34/'Pop 25+ by race &amp; gender'!DD33)*100</f>
        <v>72.185124168430931</v>
      </c>
      <c r="BO35" s="464">
        <f>('Attainment 25+ by race &amp; gender'!IC34/'Pop 25+ by race &amp; gender'!EH33)*100</f>
        <v>77.531231351034123</v>
      </c>
      <c r="BP35" s="464">
        <f>('Attainment 25+ by race &amp; gender'!ZB34/'Pop 25+ by race &amp; gender'!DA33)*100</f>
        <v>38.215232863580319</v>
      </c>
      <c r="BQ35" s="464">
        <f>('Attainment 25+ by race &amp; gender'!AAF34/'Pop 25+ by race &amp; gender'!EE33)*100</f>
        <v>39.937051471133486</v>
      </c>
      <c r="BR35" s="464">
        <f>('Attainment 25+ by race &amp; gender'!ZC34/'Pop 25+ by race &amp; gender'!DB33)*100</f>
        <v>26.690661867626474</v>
      </c>
      <c r="BS35" s="464">
        <f>IF('Pop 25+ by race &amp; gender'!EF33&gt;0, ('Attainment 25+ by race &amp; gender'!AAG34/'Pop 25+ by race &amp; gender'!EF33)*100,"—")</f>
        <v>22.459605026929982</v>
      </c>
      <c r="BT35" s="464">
        <f>('Attainment 25+ by race &amp; gender'!ZD34/'Pop 25+ by race &amp; gender'!DD33)*100</f>
        <v>13.261722636425727</v>
      </c>
      <c r="BU35" s="464">
        <f>('Attainment 25+ by race &amp; gender'!AAH34/'Pop 25+ by race &amp; gender'!EH33)*100</f>
        <v>16.06951510215924</v>
      </c>
      <c r="BV35" s="462">
        <f>('Attainment 25+ by race &amp; gender'!HN34/'Pop 25+ by race &amp; gender'!DR33)*100</f>
        <v>148.16362953221866</v>
      </c>
      <c r="BW35" s="464" t="e">
        <f>('Attainment 25+ by race &amp; gender'!JB34/'Pop 25+ by race &amp; gender'!EQ33)*100</f>
        <v>#VALUE!</v>
      </c>
      <c r="BX35" s="462">
        <f>('Attainment 25+ by race &amp; gender'!HO34/'Pop 25+ by race &amp; gender'!DS33)*100</f>
        <v>34.285559078964347</v>
      </c>
      <c r="BY35" s="464" t="e">
        <f>IF('Pop 25+ by race &amp; gender'!ER33&gt;0, ('Attainment 25+ by race &amp; gender'!JC34/'Pop 25+ by race &amp; gender'!ER33)*100,"—")</f>
        <v>#VALUE!</v>
      </c>
      <c r="BZ35" s="464">
        <f>('Attainment 25+ by race &amp; gender'!HP34/'Pop 25+ by race &amp; gender'!DU33)*100</f>
        <v>192.85812811878776</v>
      </c>
      <c r="CA35" s="464">
        <f>('Attainment 25+ by race &amp; gender'!JD34/'Pop 25+ by race &amp; gender'!ET33)*100</f>
        <v>40.498873043054495</v>
      </c>
      <c r="CB35" s="464">
        <f>('Attainment 25+ by race &amp; gender'!ZS34/'Pop 25+ by race &amp; gender'!DR33)*100</f>
        <v>28.380209870910605</v>
      </c>
      <c r="CC35" s="464">
        <f>('Attainment 25+ by race &amp; gender'!ABB34/'Pop 25+ by race &amp; gender'!EQ33)*100</f>
        <v>24.89299613990536</v>
      </c>
      <c r="CD35" s="464">
        <f>('Attainment 25+ by race &amp; gender'!ZT34/'Pop 25+ by race &amp; gender'!DS33)*100</f>
        <v>6.0793513909919943</v>
      </c>
      <c r="CE35" s="464">
        <f>IF('Pop 25+ by race &amp; gender'!ER33&gt;0, ('Attainment 25+ by race &amp; gender'!ABC34/'Pop 25+ by race &amp; gender'!ER33)*100,"—")</f>
        <v>4.8201978370785179</v>
      </c>
      <c r="CF35" s="464">
        <f>('Attainment 25+ by race &amp; gender'!ZU34/'Pop 25+ by race &amp; gender'!DU33)*100</f>
        <v>61.379041746115462</v>
      </c>
      <c r="CG35" s="464">
        <f>('Attainment 25+ by race &amp; gender'!ABD34/'Pop 25+ by race &amp; gender'!ET33)*100</f>
        <v>18.91409406875453</v>
      </c>
      <c r="CH35" s="462">
        <f>('Attainment 25+ by race &amp; gender'!HG34/'Pop 25+ by race &amp; gender'!DK33)*100</f>
        <v>94.677926569348941</v>
      </c>
      <c r="CI35" s="452">
        <f>('Attainment 25+ by race &amp; gender'!IK34/'Pop 25+ by race &amp; gender'!EO33)*100</f>
        <v>94.366654684918501</v>
      </c>
      <c r="CJ35" s="462">
        <f>('Attainment 25+ by race &amp; gender'!HH34/'Pop 25+ by race &amp; gender'!DL33)*100</f>
        <v>88.577618975216666</v>
      </c>
      <c r="CK35" s="464">
        <f>IF('Pop 25+ by race &amp; gender'!EP33&gt;0, ('Attainment 25+ by race &amp; gender'!IL34/'Pop 25+ by race &amp; gender'!EP33)*100,"—")</f>
        <v>87.042147943711882</v>
      </c>
      <c r="CL35" s="464">
        <f>('Attainment 25+ by race &amp; gender'!HI34/'Pop 25+ by race &amp; gender'!DN33)*100</f>
        <v>73.764357201151157</v>
      </c>
      <c r="CM35" s="464">
        <f>('Attainment 25+ by race &amp; gender'!IM34/'Pop 25+ by race &amp; gender'!ER33)*100</f>
        <v>78.001208141159083</v>
      </c>
      <c r="CN35" s="464">
        <f>('Attainment 25+ by race &amp; gender'!ZL34/'Pop 25+ by race &amp; gender'!DK33)*100</f>
        <v>39.356576989584589</v>
      </c>
      <c r="CO35" s="464">
        <f>('Attainment 25+ by race &amp; gender'!AAP34/'Pop 25+ by race &amp; gender'!EO33)*100</f>
        <v>41.185830318659541</v>
      </c>
      <c r="CP35" s="464">
        <f>('Attainment 25+ by race &amp; gender'!ZM34/'Pop 25+ by race &amp; gender'!DL33)*100</f>
        <v>26.664892808271247</v>
      </c>
      <c r="CQ35" s="464">
        <f>IF('Pop 25+ by race &amp; gender'!EP33&gt;0, ('Attainment 25+ by race &amp; gender'!AAQ34/'Pop 25+ by race &amp; gender'!EP33)*100,"—")</f>
        <v>28.375753858734537</v>
      </c>
      <c r="CR35" s="464">
        <f>('Attainment 25+ by race &amp; gender'!ZN34/'Pop 25+ by race &amp; gender'!DN33)*100</f>
        <v>14.088913706455909</v>
      </c>
      <c r="CS35" s="464">
        <f>('Attainment 25+ by race &amp; gender'!AAR34/'Pop 25+ by race &amp; gender'!ER33)*100</f>
        <v>16.476540340340659</v>
      </c>
      <c r="CT35" s="350">
        <f>IFERROR(('Attainment 25+ by race &amp; gender'!HQ34/'Pop 25+ by race &amp; gender'!DU33)*100,"-")</f>
        <v>94.769442979431219</v>
      </c>
      <c r="CU35" s="452">
        <f>IFERROR(('Attainment 25+ by race &amp; gender'!IP34/'Pop 25+ by race &amp; gender'!ET33)*100,"-")</f>
        <v>95.734315669777928</v>
      </c>
      <c r="CV35" s="350">
        <f>IFERROR(('Attainment 25+ by race &amp; gender'!HR34/'Pop 25+ by race &amp; gender'!DV33)*100,"-")</f>
        <v>92.175789680204048</v>
      </c>
      <c r="CW35" s="452">
        <f>IFERROR(('Attainment 25+ by race &amp; gender'!IQ34/'Pop 25+ by race &amp; gender'!EU33)*100, "-")</f>
        <v>90.716690716690721</v>
      </c>
      <c r="CX35" s="452">
        <f>IFERROR(('Attainment 25+ by race &amp; gender'!HS34/'Pop 25+ by race &amp; gender'!DX33)*100, "-")</f>
        <v>75.942414634024033</v>
      </c>
      <c r="CY35" s="452">
        <f>IFERROR(('Attainment 25+ by race &amp; gender'!IR34/'Pop 25+ by race &amp; gender'!EW33)*100, "-")</f>
        <v>80.222398974493615</v>
      </c>
      <c r="CZ35" s="452">
        <f>IFERROR(('Attainment 25+ by race &amp; gender'!HU34/'Pop 25+ by race &amp; gender'!DY33)*100, "-")</f>
        <v>90.624595329563604</v>
      </c>
      <c r="DA35" s="452">
        <f>IFERROR(('Attainment 25+ by race &amp; gender'!IT34/'Pop 25+ by race &amp; gender'!EX33)*100, "-")</f>
        <v>89.991483839571757</v>
      </c>
      <c r="DB35" s="452" t="str">
        <f>IFERROR(('Attainment 25+ by race &amp; gender'!HV34/'Pop 25+ by race &amp; gender'!DZ33)*100, "-")</f>
        <v>-</v>
      </c>
      <c r="DC35" s="452" t="str">
        <f>IFERROR(('Attainment 25+ by race &amp; gender'!IU34/'Pop 25+ by race &amp; gender'!EY33)*100, "-")</f>
        <v>-</v>
      </c>
      <c r="DD35" s="452">
        <f>IFERROR(('Attainment 25+ by race &amp; gender'!HW34/'Pop 25+ by race &amp; gender'!EA33)*100, "-")</f>
        <v>80.765461347696032</v>
      </c>
      <c r="DE35" s="452">
        <f>IFERROR(('Attainment 25+ by race &amp; gender'!IV34/'Pop 25+ by race &amp; gender'!EZ33)*100, "-")</f>
        <v>83.071709303146548</v>
      </c>
      <c r="DF35" s="452">
        <f>IFERROR(('Attainment 25+ by race &amp; gender'!HX34/'Pop 25+ by race &amp; gender'!EB33)*100, "-")</f>
        <v>0</v>
      </c>
      <c r="DG35" s="452">
        <f>IFERROR(('Attainment 25+ by race &amp; gender'!IW34/'Pop 25+ by race &amp; gender'!FA33)*100, "-")</f>
        <v>81.926117171693775</v>
      </c>
      <c r="DH35" s="452">
        <f>IFERROR(('Attainment 25+ by race &amp; gender'!HY34/'Pop 25+ by race &amp; gender'!EC33)*100, "-")</f>
        <v>71.904422994232164</v>
      </c>
      <c r="DI35" s="452">
        <f>IFERROR(('Attainment 25+ by race &amp; gender'!IX34/'Pop 25+ by race &amp; gender'!FB33)*100, "-")</f>
        <v>75.523391577421691</v>
      </c>
      <c r="DJ35" s="452">
        <f>IFERROR(('Attainment 25+ by race &amp; gender'!ZV34/'Pop 25+ by race &amp; gender'!DU33)*100, "-")</f>
        <v>40.23952290153759</v>
      </c>
      <c r="DK35" s="452">
        <f>IFERROR(('Attainment 25+ by race &amp; gender'!AAU34/'Pop 25+ by race &amp; gender'!ET33)*100, "-")</f>
        <v>43.954028278835544</v>
      </c>
      <c r="DL35" s="452">
        <f>IFERROR(('Attainment 25+ by race &amp; gender'!ZW34/'Pop 25+ by race &amp; gender'!DV33)*100, "-")</f>
        <v>28.616833431430255</v>
      </c>
      <c r="DM35" s="452">
        <f>IFERROR(('Attainment 25+ by race &amp; gender'!AAV34/'Pop 25+ by race &amp; gender'!EU33)*100, "-")</f>
        <v>26.9325912183055</v>
      </c>
      <c r="DN35" s="452">
        <f>IFERROR(('Attainment 25+ by race &amp; gender'!ZX34/'Pop 25+ by race &amp; gender'!DX33)*100, "-")</f>
        <v>15.430645002231408</v>
      </c>
      <c r="DO35" s="452">
        <f>IFERROR(('Attainment 25+ by race &amp; gender'!AAW34/'Pop 25+ by race &amp; gender'!EW33)*100, "-")</f>
        <v>19.469176892128775</v>
      </c>
      <c r="DP35" s="452">
        <f>IFERROR(('Attainment 25+ by race &amp; gender'!ZZ34/'Pop 25+ by race &amp; gender'!DY33)*100, "-")</f>
        <v>50.118703328009673</v>
      </c>
      <c r="DQ35" s="452">
        <f>IFERROR(('Attainment 25+ by race &amp; gender'!AAY34/'Pop 25+ by race &amp; gender'!EX33)*100, "-")</f>
        <v>52.560931100206822</v>
      </c>
      <c r="DR35" s="452" t="str">
        <f>IFERROR(('Attainment 25+ by race &amp; gender'!AAA34/'Pop 25+ by race &amp; gender'!DZ33)*100, "-")</f>
        <v>-</v>
      </c>
      <c r="DS35" s="452" t="str">
        <f>IFERROR(('Attainment 25+ by race &amp; gender'!AAZ34/'Pop 25+ by race &amp; gender'!EY33)*100, "-")</f>
        <v>-</v>
      </c>
      <c r="DT35" s="452">
        <f>IFERROR(('Attainment 25+ by race &amp; gender'!AAB34/'Pop 25+ by race &amp; gender'!EA33)*100, "-")</f>
        <v>11.24841274575809</v>
      </c>
      <c r="DU35" s="452">
        <f>IFERROR(('Attainment 25+ by race &amp; gender'!ABA34/'Pop 25+ by race &amp; gender'!EZ33)*100, "-")</f>
        <v>11.687180814760772</v>
      </c>
      <c r="DV35" s="452">
        <f>IFERROR(('Attainment 25+ by race &amp; gender'!AAC34/'Pop 25+ by race &amp; gender'!EB33)*100, "-")</f>
        <v>0</v>
      </c>
      <c r="DW35" s="452">
        <f>IFERROR(('Attainment 25+ by race &amp; gender'!ABB34/'Pop 25+ by race &amp; gender'!FA33)*100, "-")</f>
        <v>22.641269142934878</v>
      </c>
      <c r="DX35" s="452">
        <f>IFERROR(('Attainment 25+ by race &amp; gender'!AAD34/'Pop 25+ by race &amp; gender'!EC33)*100, "-")</f>
        <v>11.834437969841199</v>
      </c>
      <c r="DY35" s="452">
        <f>IFERROR(('Attainment 25+ by race &amp; gender'!ABC34/'Pop 25+ by race &amp; gender'!FB33)*100, "-")</f>
        <v>15.300144939206056</v>
      </c>
    </row>
    <row r="36" spans="1:129">
      <c r="A36" s="38" t="s">
        <v>34</v>
      </c>
      <c r="B36" s="351">
        <f>('Attainment 25+ by race &amp; gender'!FS35/'Pop 25+ by race &amp; gender'!AT34)*100</f>
        <v>87.108066304501449</v>
      </c>
      <c r="C36" s="444">
        <f>('Attainment 25+ by race &amp; gender'!GR35/'Pop 25+ by race &amp; gender'!CV34)*100</f>
        <v>90.9</v>
      </c>
      <c r="D36" s="352">
        <f>('Attainment 25+ by race &amp; gender'!FT35/'Pop 25+ by race &amp; gender'!AZ34)*100</f>
        <v>79.7718182414268</v>
      </c>
      <c r="E36" s="351">
        <f>IF('Pop 25+ by race &amp; gender'!CW34&gt;0,('Attainment 25+ by race &amp; gender'!GS35/'Pop 25+ by race &amp; gender'!CW34)*100,"—")</f>
        <v>84.899999999999991</v>
      </c>
      <c r="F36" s="352">
        <f>('Attainment 25+ by race &amp; gender'!FU35/'Pop 25+ by race &amp; gender'!BC34)*100</f>
        <v>48.820338278884336</v>
      </c>
      <c r="G36" s="351">
        <f>('Attainment 25+ by race &amp; gender'!GT35/'Pop 25+ by race &amp; gender'!CY34)*100</f>
        <v>56.699999999999996</v>
      </c>
      <c r="H36" s="352">
        <f>('Attainment 25+ by race &amp; gender'!XM35/'Pop 25+ by race &amp; gender'!AT34)*100</f>
        <v>25.708173003230822</v>
      </c>
      <c r="I36" s="351">
        <f>('Attainment 25+ by race &amp; gender'!YW35/'Pop 25+ by race &amp; gender'!CV34)*100</f>
        <v>29.7</v>
      </c>
      <c r="J36" s="352">
        <f>('Attainment 25+ by race &amp; gender'!XS35/'Pop 25+ by race &amp; gender'!AZ34)*100</f>
        <v>17.798832863418792</v>
      </c>
      <c r="K36" s="351">
        <f>IF('Pop 25+ by race &amp; gender'!CW34&gt;0,('Attainment 25+ by race &amp; gender'!YX35/'Pop 25+ by race &amp; gender'!CW34)*100,"—")</f>
        <v>23.3</v>
      </c>
      <c r="L36" s="352">
        <f>('Attainment 25+ by race &amp; gender'!XV35/'Pop 25+ by race &amp; gender'!BC34)*100</f>
        <v>9.6274458106628948</v>
      </c>
      <c r="M36" s="437">
        <f>('Attainment 25+ by race &amp; gender'!YY35/'Pop 25+ by race &amp; gender'!CY34)*100</f>
        <v>11.3</v>
      </c>
      <c r="N36" s="351">
        <f>('Attainment 25+ by race &amp; gender'!FS35/'Pop 25+ by race &amp; gender'!AT34)*100</f>
        <v>87.108066304501449</v>
      </c>
      <c r="O36" s="445">
        <f>('Attainment 25+ by race &amp; gender'!GW35/'Pop 25+ by race &amp; gender'!DA34)*100</f>
        <v>92.676667964628564</v>
      </c>
      <c r="P36" s="352">
        <f>('Attainment 25+ by race &amp; gender'!FT35/'Pop 25+ by race &amp; gender'!AZ34)*100</f>
        <v>79.7718182414268</v>
      </c>
      <c r="Q36" s="351">
        <f>('Attainment 25+ by race &amp; gender'!GX35/'Pop 25+ by race &amp; gender'!DB34)*100</f>
        <v>86.119095525534163</v>
      </c>
      <c r="R36" s="352">
        <f>('Attainment 25+ by race &amp; gender'!FU35/'Pop 25+ by race &amp; gender'!BC34)*100</f>
        <v>48.820338278884336</v>
      </c>
      <c r="S36" s="351">
        <f>('Attainment 25+ by race &amp; gender'!GY35/'Pop 25+ by race &amp; gender'!DD34)*100</f>
        <v>57.792554743870085</v>
      </c>
      <c r="T36" s="352">
        <f>('Attainment 25+ by race &amp; gender'!XM35/'Pop 25+ by race &amp; gender'!AT34)*100</f>
        <v>25.708173003230822</v>
      </c>
      <c r="U36" s="351">
        <f>('Attainment 25+ by race &amp; gender'!ZB35/'Pop 25+ by race &amp; gender'!DA34)*100</f>
        <v>30.810393300692784</v>
      </c>
      <c r="V36" s="352">
        <f>('Attainment 25+ by race &amp; gender'!XS35/'Pop 25+ by race &amp; gender'!AZ34)*100</f>
        <v>17.798832863418792</v>
      </c>
      <c r="W36" s="351">
        <f>('Attainment 25+ by race &amp; gender'!ZC35/'Pop 25+ by race &amp; gender'!DB34)*100</f>
        <v>23.119670403372616</v>
      </c>
      <c r="X36" s="352">
        <f>('Attainment 25+ by race &amp; gender'!XV35/'Pop 25+ by race &amp; gender'!BC34)*100</f>
        <v>9.6274458106628948</v>
      </c>
      <c r="Y36" s="437">
        <f>('Attainment 25+ by race &amp; gender'!ZD35/'Pop 25+ by race &amp; gender'!DD34)*100</f>
        <v>11.424710060659397</v>
      </c>
      <c r="Z36" s="460">
        <f>('Attainment 25+ by race &amp; gender'!FS35/'Pop 25+ by race &amp; gender'!AT34)*100</f>
        <v>87.108066304501449</v>
      </c>
      <c r="AA36" s="461">
        <f>('Attainment 25+ by race &amp; gender'!HB35/'Pop 25+ by race &amp; gender'!DF34)*100</f>
        <v>93.053755062684303</v>
      </c>
      <c r="AB36" s="462">
        <f>('Attainment 25+ by race &amp; gender'!FT35/'Pop 25+ by race &amp; gender'!AZ34)*100</f>
        <v>79.7718182414268</v>
      </c>
      <c r="AC36" s="460">
        <f>('Attainment 25+ by race &amp; gender'!HC35/'Pop 25+ by race &amp; gender'!DG34)*100</f>
        <v>87.008185285089752</v>
      </c>
      <c r="AD36" s="462">
        <f>('Attainment 25+ by race &amp; gender'!FU35/'Pop 25+ by race &amp; gender'!BC34)*100</f>
        <v>48.820338278884336</v>
      </c>
      <c r="AE36" s="460">
        <f>('Attainment 25+ by race &amp; gender'!HD35/'Pop 25+ by race &amp; gender'!DI34)*100</f>
        <v>58.957552377669067</v>
      </c>
      <c r="AF36" s="462">
        <f>('Attainment 25+ by race &amp; gender'!XM35/'Pop 25+ by race &amp; gender'!AT34)*100</f>
        <v>25.708173003230822</v>
      </c>
      <c r="AG36" s="463">
        <f>('Attainment 25+ by race &amp; gender'!ZG35/'Pop 25+ by race &amp; gender'!DF34)*100</f>
        <v>31.615538702188147</v>
      </c>
      <c r="AH36" s="462">
        <f>('Attainment 25+ by race &amp; gender'!XS35/'Pop 25+ by race &amp; gender'!AZ34)*100</f>
        <v>17.798832863418792</v>
      </c>
      <c r="AI36" s="463">
        <f>('Attainment 25+ by race &amp; gender'!ZH35/'Pop 25+ by race &amp; gender'!DG34)*100</f>
        <v>22.121198028090411</v>
      </c>
      <c r="AJ36" s="462">
        <f>('Attainment 25+ by race &amp; gender'!XV35/'Pop 25+ by race &amp; gender'!BC34)*100</f>
        <v>9.6274458106628948</v>
      </c>
      <c r="AK36" s="464">
        <f>('Attainment 25+ by race &amp; gender'!ZI35/'Pop 25+ by race &amp; gender'!DI34)*100</f>
        <v>12.330189873141526</v>
      </c>
      <c r="AL36" s="462">
        <f>('Attainment 25+ by race &amp; gender'!FS35/'Pop 25+ by race &amp; gender'!AT34)*100</f>
        <v>87.108066304501449</v>
      </c>
      <c r="AM36" s="464">
        <f>('Attainment 25+ by race &amp; gender'!HL35/'Pop 25+ by race &amp; gender'!DP34)*100</f>
        <v>93.427988489521496</v>
      </c>
      <c r="AN36" s="462">
        <v>79.7718182414268</v>
      </c>
      <c r="AO36" s="464">
        <f>IF('Pop 25+ by race &amp; gender'!DQ34&gt;0, ('Attainment 25+ by race &amp; gender'!HM35/'Pop 25+ by race &amp; gender'!DQ34)*100,"—")</f>
        <v>87.687994392710522</v>
      </c>
      <c r="AP36" s="464">
        <f>('Attainment 25+ by race &amp; gender'!FU35/'Pop 25+ by race &amp; gender'!BC34)*100</f>
        <v>48.820338278884336</v>
      </c>
      <c r="AQ36" s="464">
        <f>('Attainment 25+ by race &amp; gender'!HN35/'Pop 25+ by race &amp; gender'!DS34)*100</f>
        <v>61.858179301549775</v>
      </c>
      <c r="AR36" s="464">
        <f>('Attainment 25+ by race &amp; gender'!XM35/'Pop 25+ by race &amp; gender'!AT34)*100</f>
        <v>25.708173003230822</v>
      </c>
      <c r="AS36" s="464">
        <f>('Attainment 25+ by race &amp; gender'!ZQ35/'Pop 25+ by race &amp; gender'!DP34)*100</f>
        <v>33.62996547207166</v>
      </c>
      <c r="AT36" s="464">
        <f>('Attainment 25+ by race &amp; gender'!XS35/'Pop 25+ by race &amp; gender'!AZ34)*100</f>
        <v>17.798832863418792</v>
      </c>
      <c r="AU36" s="464">
        <f>IF('Pop 25+ by race &amp; gender'!DQ34&gt;0, ('Attainment 25+ by race &amp; gender'!ZR35/'Pop 25+ by race &amp; gender'!DQ34)*100,"—")</f>
        <v>28.667267447681986</v>
      </c>
      <c r="AV36" s="464">
        <f>('Attainment 25+ by race &amp; gender'!XV35/'Pop 25+ by race &amp; gender'!BC34)*100</f>
        <v>9.6274458106628948</v>
      </c>
      <c r="AW36" s="464">
        <f>('Attainment 25+ by race &amp; gender'!ZS35/'Pop 25+ by race &amp; gender'!DS34)*100</f>
        <v>15.268781250243006</v>
      </c>
      <c r="AX36" s="462">
        <f>('Attainment 25+ by race &amp; gender'!GR35/'Pop 25+ by race &amp; gender'!CV34)*100</f>
        <v>90.9</v>
      </c>
      <c r="AY36" s="464">
        <f>('Attainment 25+ by race &amp; gender'!HQ35/'Pop 25+ by race &amp; gender'!DU34)*100</f>
        <v>93.686429037501398</v>
      </c>
      <c r="AZ36" s="462">
        <f>('Attainment 25+ by race &amp; gender'!GS35/'Pop 25+ by race &amp; gender'!CW34)*100</f>
        <v>84.899999999999991</v>
      </c>
      <c r="BA36" s="464">
        <f>IF('Pop 25+ by race &amp; gender'!DV34&gt;0, ('Attainment 25+ by race &amp; gender'!HR35/'Pop 25+ by race &amp; gender'!DV34)*100,"—")</f>
        <v>86.70446232626189</v>
      </c>
      <c r="BB36" s="464">
        <f>('Attainment 25+ by race &amp; gender'!GT35/'Pop 25+ by race &amp; gender'!CY34)*100</f>
        <v>56.699999999999996</v>
      </c>
      <c r="BC36" s="464">
        <f>('Attainment 25+ by race &amp; gender'!HS35/'Pop 25+ by race &amp; gender'!DX34)*100</f>
        <v>62.931383875305393</v>
      </c>
      <c r="BD36" s="464">
        <f>('Attainment 25+ by race &amp; gender'!YW35/'Pop 25+ by race &amp; gender'!CV34)*100</f>
        <v>29.7</v>
      </c>
      <c r="BE36" s="464">
        <f>('Attainment 25+ by race &amp; gender'!ZV35/'Pop 25+ by race &amp; gender'!DU34)*100</f>
        <v>34.479014062214965</v>
      </c>
      <c r="BF36" s="464">
        <f>('Attainment 25+ by race &amp; gender'!YX35/'Pop 25+ by race &amp; gender'!CW34)*100</f>
        <v>23.3</v>
      </c>
      <c r="BG36" s="464">
        <f>IF('Pop 25+ by race &amp; gender'!DV34&gt;0, ('Attainment 25+ by race &amp; gender'!ZW35/'Pop 25+ by race &amp; gender'!DV34)*100,"—")</f>
        <v>21.576038364626513</v>
      </c>
      <c r="BH36" s="464">
        <f>('Attainment 25+ by race &amp; gender'!YY35/'Pop 25+ by race &amp; gender'!CY34)*100</f>
        <v>11.3</v>
      </c>
      <c r="BI36" s="464">
        <f>('Attainment 25+ by race &amp; gender'!ZX35/'Pop 25+ by race &amp; gender'!DX34)*100</f>
        <v>13.808071816821652</v>
      </c>
      <c r="BJ36" s="462">
        <f>('Attainment 25+ by race &amp; gender'!GW35/'Pop 25+ by race &amp; gender'!DA34)*100</f>
        <v>92.676667964628564</v>
      </c>
      <c r="BK36" s="464">
        <f>('Attainment 25+ by race &amp; gender'!IA35/'Pop 25+ by race &amp; gender'!EE34)*100</f>
        <v>94.006753881129129</v>
      </c>
      <c r="BL36" s="462">
        <f>('Attainment 25+ by race &amp; gender'!GX35/'Pop 25+ by race &amp; gender'!DB34)*100</f>
        <v>86.119095525534163</v>
      </c>
      <c r="BM36" s="464">
        <f>IF('Pop 25+ by race &amp; gender'!EF34&gt;0, ('Attainment 25+ by race &amp; gender'!IB35/'Pop 25+ by race &amp; gender'!EF34)*100,"—")</f>
        <v>88.421925901944519</v>
      </c>
      <c r="BN36" s="464">
        <f>('Attainment 25+ by race &amp; gender'!GY35/'Pop 25+ by race &amp; gender'!DD34)*100</f>
        <v>57.792554743870085</v>
      </c>
      <c r="BO36" s="464">
        <f>('Attainment 25+ by race &amp; gender'!IC35/'Pop 25+ by race &amp; gender'!EH34)*100</f>
        <v>68.218945696702832</v>
      </c>
      <c r="BP36" s="464">
        <f>('Attainment 25+ by race &amp; gender'!ZB35/'Pop 25+ by race &amp; gender'!DA34)*100</f>
        <v>30.810393300692784</v>
      </c>
      <c r="BQ36" s="464">
        <f>('Attainment 25+ by race &amp; gender'!AAF35/'Pop 25+ by race &amp; gender'!EE34)*100</f>
        <v>35.2781003586529</v>
      </c>
      <c r="BR36" s="464">
        <f>('Attainment 25+ by race &amp; gender'!ZC35/'Pop 25+ by race &amp; gender'!DB34)*100</f>
        <v>23.119670403372616</v>
      </c>
      <c r="BS36" s="464">
        <f>IF('Pop 25+ by race &amp; gender'!EF34&gt;0, ('Attainment 25+ by race &amp; gender'!AAG35/'Pop 25+ by race &amp; gender'!EF34)*100,"—")</f>
        <v>28.878412011088407</v>
      </c>
      <c r="BT36" s="464">
        <f>('Attainment 25+ by race &amp; gender'!ZD35/'Pop 25+ by race &amp; gender'!DD34)*100</f>
        <v>11.424710060659397</v>
      </c>
      <c r="BU36" s="464">
        <f>('Attainment 25+ by race &amp; gender'!AAH35/'Pop 25+ by race &amp; gender'!EH34)*100</f>
        <v>16.530652758477558</v>
      </c>
      <c r="BV36" s="462">
        <f>('Attainment 25+ by race &amp; gender'!HN35/'Pop 25+ by race &amp; gender'!DR34)*100</f>
        <v>53.128652432060584</v>
      </c>
      <c r="BW36" s="464" t="e">
        <f>('Attainment 25+ by race &amp; gender'!JB35/'Pop 25+ by race &amp; gender'!EQ34)*100</f>
        <v>#VALUE!</v>
      </c>
      <c r="BX36" s="462">
        <f>('Attainment 25+ by race &amp; gender'!HO35/'Pop 25+ by race &amp; gender'!DS34)*100</f>
        <v>93.519000925357119</v>
      </c>
      <c r="BY36" s="464" t="e">
        <f>IF('Pop 25+ by race &amp; gender'!ER34&gt;0, ('Attainment 25+ by race &amp; gender'!JC35/'Pop 25+ by race &amp; gender'!ER34)*100,"—")</f>
        <v>#VALUE!</v>
      </c>
      <c r="BZ36" s="464">
        <f>('Attainment 25+ by race &amp; gender'!HP35/'Pop 25+ by race &amp; gender'!DU34)*100</f>
        <v>111.28630000340698</v>
      </c>
      <c r="CA36" s="464">
        <f>('Attainment 25+ by race &amp; gender'!JD35/'Pop 25+ by race &amp; gender'!ET34)*100</f>
        <v>25.545957362652704</v>
      </c>
      <c r="CB36" s="464">
        <f>('Attainment 25+ by race &amp; gender'!ZS35/'Pop 25+ by race &amp; gender'!DR34)*100</f>
        <v>13.114026006985954</v>
      </c>
      <c r="CC36" s="464">
        <f>('Attainment 25+ by race &amp; gender'!ABB35/'Pop 25+ by race &amp; gender'!EQ34)*100</f>
        <v>22.528708159961759</v>
      </c>
      <c r="CD36" s="464">
        <f>('Attainment 25+ by race &amp; gender'!ZT35/'Pop 25+ by race &amp; gender'!DS34)*100</f>
        <v>35.673294504622902</v>
      </c>
      <c r="CE36" s="464">
        <f>IF('Pop 25+ by race &amp; gender'!ER34&gt;0, ('Attainment 25+ by race &amp; gender'!ABC35/'Pop 25+ by race &amp; gender'!ER34)*100,"—")</f>
        <v>7.6373486106828716</v>
      </c>
      <c r="CF36" s="464">
        <f>('Attainment 25+ by race &amp; gender'!ZU35/'Pop 25+ by race &amp; gender'!DU34)*100</f>
        <v>40.302885110923178</v>
      </c>
      <c r="CG36" s="464">
        <f>('Attainment 25+ by race &amp; gender'!ABD35/'Pop 25+ by race &amp; gender'!ET34)*100</f>
        <v>8.4153588895452369</v>
      </c>
      <c r="CH36" s="462">
        <f>('Attainment 25+ by race &amp; gender'!HG35/'Pop 25+ by race &amp; gender'!DK34)*100</f>
        <v>92.909261956461819</v>
      </c>
      <c r="CI36" s="452">
        <f>('Attainment 25+ by race &amp; gender'!IK35/'Pop 25+ by race &amp; gender'!EO34)*100</f>
        <v>94.38327163686202</v>
      </c>
      <c r="CJ36" s="462">
        <f>('Attainment 25+ by race &amp; gender'!HH35/'Pop 25+ by race &amp; gender'!DL34)*100</f>
        <v>86.709094263051099</v>
      </c>
      <c r="CK36" s="464">
        <f>IF('Pop 25+ by race &amp; gender'!EP34&gt;0, ('Attainment 25+ by race &amp; gender'!IL35/'Pop 25+ by race &amp; gender'!EP34)*100,"—")</f>
        <v>90.429683707745184</v>
      </c>
      <c r="CL36" s="464">
        <f>('Attainment 25+ by race &amp; gender'!HI35/'Pop 25+ by race &amp; gender'!DN34)*100</f>
        <v>62.60906464062721</v>
      </c>
      <c r="CM36" s="464">
        <f>('Attainment 25+ by race &amp; gender'!IM35/'Pop 25+ by race &amp; gender'!ER34)*100</f>
        <v>68.903233506728597</v>
      </c>
      <c r="CN36" s="464">
        <f>('Attainment 25+ by race &amp; gender'!ZL35/'Pop 25+ by race &amp; gender'!DK34)*100</f>
        <v>32.463574427674367</v>
      </c>
      <c r="CO36" s="464">
        <f>('Attainment 25+ by race &amp; gender'!AAP35/'Pop 25+ by race &amp; gender'!EO34)*100</f>
        <v>36.102766389260481</v>
      </c>
      <c r="CP36" s="464">
        <f>('Attainment 25+ by race &amp; gender'!ZM35/'Pop 25+ by race &amp; gender'!DL34)*100</f>
        <v>25.606437926581808</v>
      </c>
      <c r="CQ36" s="464">
        <f>IF('Pop 25+ by race &amp; gender'!EP34&gt;0, ('Attainment 25+ by race &amp; gender'!AAQ35/'Pop 25+ by race &amp; gender'!EP34)*100,"—")</f>
        <v>30.4700697046774</v>
      </c>
      <c r="CR36" s="464">
        <f>('Attainment 25+ by race &amp; gender'!ZN35/'Pop 25+ by race &amp; gender'!DN34)*100</f>
        <v>12.739800763806098</v>
      </c>
      <c r="CS36" s="464">
        <f>('Attainment 25+ by race &amp; gender'!AAR35/'Pop 25+ by race &amp; gender'!ER34)*100</f>
        <v>15.957337470948834</v>
      </c>
      <c r="CT36" s="350">
        <f>IFERROR(('Attainment 25+ by race &amp; gender'!HQ35/'Pop 25+ by race &amp; gender'!DU34)*100,"-")</f>
        <v>93.686429037501398</v>
      </c>
      <c r="CU36" s="452">
        <f>IFERROR(('Attainment 25+ by race &amp; gender'!IP35/'Pop 25+ by race &amp; gender'!ET34)*100,"-")</f>
        <v>94.904441034881387</v>
      </c>
      <c r="CV36" s="350">
        <f>IFERROR(('Attainment 25+ by race &amp; gender'!HR35/'Pop 25+ by race &amp; gender'!DV34)*100,"-")</f>
        <v>86.70446232626189</v>
      </c>
      <c r="CW36" s="452">
        <f>IFERROR(('Attainment 25+ by race &amp; gender'!IQ35/'Pop 25+ by race &amp; gender'!EU34)*100, "-")</f>
        <v>91.363681053977004</v>
      </c>
      <c r="CX36" s="452">
        <f>IFERROR(('Attainment 25+ by race &amp; gender'!HS35/'Pop 25+ by race &amp; gender'!DX34)*100, "-")</f>
        <v>62.931383875305393</v>
      </c>
      <c r="CY36" s="452">
        <f>IFERROR(('Attainment 25+ by race &amp; gender'!IR35/'Pop 25+ by race &amp; gender'!EW34)*100, "-")</f>
        <v>72.049189395149895</v>
      </c>
      <c r="CZ36" s="452">
        <f>IFERROR(('Attainment 25+ by race &amp; gender'!HU35/'Pop 25+ by race &amp; gender'!DY34)*100, "-")</f>
        <v>85.504101746684796</v>
      </c>
      <c r="DA36" s="452">
        <f>IFERROR(('Attainment 25+ by race &amp; gender'!IT35/'Pop 25+ by race &amp; gender'!EX34)*100, "-")</f>
        <v>87.679599247872076</v>
      </c>
      <c r="DB36" s="452">
        <f>IFERROR(('Attainment 25+ by race &amp; gender'!HV35/'Pop 25+ by race &amp; gender'!DZ34)*100, "-")</f>
        <v>87.846684918462088</v>
      </c>
      <c r="DC36" s="452">
        <f>IFERROR(('Attainment 25+ by race &amp; gender'!IU35/'Pop 25+ by race &amp; gender'!EY34)*100, "-")</f>
        <v>84.753913844264815</v>
      </c>
      <c r="DD36" s="452">
        <f>IFERROR(('Attainment 25+ by race &amp; gender'!HW35/'Pop 25+ by race &amp; gender'!EA34)*100, "-")</f>
        <v>83.829091280793207</v>
      </c>
      <c r="DE36" s="452">
        <f>IFERROR(('Attainment 25+ by race &amp; gender'!IV35/'Pop 25+ by race &amp; gender'!EZ34)*100, "-")</f>
        <v>79.767832167832168</v>
      </c>
      <c r="DF36" s="452">
        <f>IFERROR(('Attainment 25+ by race &amp; gender'!HX35/'Pop 25+ by race &amp; gender'!EB34)*100, "-")</f>
        <v>87.387825425179955</v>
      </c>
      <c r="DG36" s="452">
        <f>IFERROR(('Attainment 25+ by race &amp; gender'!IW35/'Pop 25+ by race &amp; gender'!FA34)*100, "-")</f>
        <v>85.12846561761485</v>
      </c>
      <c r="DH36" s="452">
        <f>IFERROR(('Attainment 25+ by race &amp; gender'!HY35/'Pop 25+ by race &amp; gender'!EC34)*100, "-")</f>
        <v>58.328466300665816</v>
      </c>
      <c r="DI36" s="452">
        <f>IFERROR(('Attainment 25+ by race &amp; gender'!IX35/'Pop 25+ by race &amp; gender'!FB34)*100, "-")</f>
        <v>66.259956919607362</v>
      </c>
      <c r="DJ36" s="452">
        <f>IFERROR(('Attainment 25+ by race &amp; gender'!ZV35/'Pop 25+ by race &amp; gender'!DU34)*100, "-")</f>
        <v>34.479014062214965</v>
      </c>
      <c r="DK36" s="452">
        <f>IFERROR(('Attainment 25+ by race &amp; gender'!AAU35/'Pop 25+ by race &amp; gender'!ET34)*100, "-")</f>
        <v>38.09699847862251</v>
      </c>
      <c r="DL36" s="452">
        <f>IFERROR(('Attainment 25+ by race &amp; gender'!ZW35/'Pop 25+ by race &amp; gender'!DV34)*100, "-")</f>
        <v>21.576038364626513</v>
      </c>
      <c r="DM36" s="452">
        <f>IFERROR(('Attainment 25+ by race &amp; gender'!AAV35/'Pop 25+ by race &amp; gender'!EU34)*100, "-")</f>
        <v>30.921246681742211</v>
      </c>
      <c r="DN36" s="452">
        <f>IFERROR(('Attainment 25+ by race &amp; gender'!ZX35/'Pop 25+ by race &amp; gender'!DX34)*100, "-")</f>
        <v>13.808071816821652</v>
      </c>
      <c r="DO36" s="452">
        <f>IFERROR(('Attainment 25+ by race &amp; gender'!AAW35/'Pop 25+ by race &amp; gender'!EW34)*100, "-")</f>
        <v>19.952617411718432</v>
      </c>
      <c r="DP36" s="452">
        <f>IFERROR(('Attainment 25+ by race &amp; gender'!ZZ35/'Pop 25+ by race &amp; gender'!DY34)*100, "-")</f>
        <v>50.833284652040021</v>
      </c>
      <c r="DQ36" s="452">
        <f>IFERROR(('Attainment 25+ by race &amp; gender'!AAY35/'Pop 25+ by race &amp; gender'!EX34)*100, "-")</f>
        <v>52.127201481290101</v>
      </c>
      <c r="DR36" s="452">
        <f>IFERROR(('Attainment 25+ by race &amp; gender'!AAA35/'Pop 25+ by race &amp; gender'!DZ34)*100, "-")</f>
        <v>9.5583859064397085</v>
      </c>
      <c r="DS36" s="452">
        <f>IFERROR(('Attainment 25+ by race &amp; gender'!AAZ35/'Pop 25+ by race &amp; gender'!EY34)*100, "-")</f>
        <v>15.655377059244858</v>
      </c>
      <c r="DT36" s="452">
        <f>IFERROR(('Attainment 25+ by race &amp; gender'!AAB35/'Pop 25+ by race &amp; gender'!EA34)*100, "-")</f>
        <v>14.787556645882313</v>
      </c>
      <c r="DU36" s="452">
        <f>IFERROR(('Attainment 25+ by race &amp; gender'!ABA35/'Pop 25+ by race &amp; gender'!EZ34)*100, "-")</f>
        <v>15.675524475524474</v>
      </c>
      <c r="DV36" s="452">
        <f>IFERROR(('Attainment 25+ by race &amp; gender'!AAC35/'Pop 25+ by race &amp; gender'!EB34)*100, "-")</f>
        <v>26.127030769393382</v>
      </c>
      <c r="DW36" s="452">
        <f>IFERROR(('Attainment 25+ by race &amp; gender'!ABB35/'Pop 25+ by race &amp; gender'!FA34)*100, "-")</f>
        <v>29.882125770937805</v>
      </c>
      <c r="DX36" s="452">
        <f>IFERROR(('Attainment 25+ by race &amp; gender'!AAD35/'Pop 25+ by race &amp; gender'!EC34)*100, "-")</f>
        <v>11.597652143441186</v>
      </c>
      <c r="DY36" s="452">
        <f>IFERROR(('Attainment 25+ by race &amp; gender'!ABC35/'Pop 25+ by race &amp; gender'!FB34)*100, "-")</f>
        <v>16.651005450103366</v>
      </c>
    </row>
    <row r="37" spans="1:129">
      <c r="A37" s="38" t="s">
        <v>35</v>
      </c>
      <c r="B37" s="351">
        <f>('Attainment 25+ by race &amp; gender'!FS36/'Pop 25+ by race &amp; gender'!AT35)*100</f>
        <v>89.863992650940887</v>
      </c>
      <c r="C37" s="444">
        <f>('Attainment 25+ by race &amp; gender'!GR36/'Pop 25+ by race &amp; gender'!CV35)*100</f>
        <v>91.999999999999986</v>
      </c>
      <c r="D37" s="352">
        <f>('Attainment 25+ by race &amp; gender'!FT36/'Pop 25+ by race &amp; gender'!AZ35)*100</f>
        <v>83.179089544772395</v>
      </c>
      <c r="E37" s="351">
        <f>IF('Pop 25+ by race &amp; gender'!CW35&gt;0,('Attainment 25+ by race &amp; gender'!GS36/'Pop 25+ by race &amp; gender'!CW35)*100,"—")</f>
        <v>82.999999999999986</v>
      </c>
      <c r="F37" s="352">
        <f>('Attainment 25+ by race &amp; gender'!FU36/'Pop 25+ by race &amp; gender'!BC35)*100</f>
        <v>56.494894842481891</v>
      </c>
      <c r="G37" s="351">
        <f>('Attainment 25+ by race &amp; gender'!GT36/'Pop 25+ by race &amp; gender'!CY35)*100</f>
        <v>63.4</v>
      </c>
      <c r="H37" s="352">
        <f>('Attainment 25+ by race &amp; gender'!XM36/'Pop 25+ by race &amp; gender'!AT35)*100</f>
        <v>27.100945445029939</v>
      </c>
      <c r="I37" s="351">
        <f>('Attainment 25+ by race &amp; gender'!YW36/'Pop 25+ by race &amp; gender'!CV35)*100</f>
        <v>30.3</v>
      </c>
      <c r="J37" s="352">
        <f>('Attainment 25+ by race &amp; gender'!XS36/'Pop 25+ by race &amp; gender'!AZ35)*100</f>
        <v>19.772386193096548</v>
      </c>
      <c r="K37" s="351">
        <f>IF('Pop 25+ by race &amp; gender'!CW35&gt;0,('Attainment 25+ by race &amp; gender'!YX36/'Pop 25+ by race &amp; gender'!CW35)*100,"—")</f>
        <v>18.899999999999999</v>
      </c>
      <c r="L37" s="352">
        <f>('Attainment 25+ by race &amp; gender'!XV36/'Pop 25+ by race &amp; gender'!BC35)*100</f>
        <v>9.7587049480757493</v>
      </c>
      <c r="M37" s="437">
        <f>('Attainment 25+ by race &amp; gender'!YY36/'Pop 25+ by race &amp; gender'!CY35)*100</f>
        <v>11.5</v>
      </c>
      <c r="N37" s="351">
        <f>('Attainment 25+ by race &amp; gender'!FS36/'Pop 25+ by race &amp; gender'!AT35)*100</f>
        <v>89.863992650940887</v>
      </c>
      <c r="O37" s="445">
        <f>('Attainment 25+ by race &amp; gender'!GW36/'Pop 25+ by race &amp; gender'!DA35)*100</f>
        <v>94.524094208971675</v>
      </c>
      <c r="P37" s="352">
        <f>('Attainment 25+ by race &amp; gender'!FT36/'Pop 25+ by race &amp; gender'!AZ35)*100</f>
        <v>83.179089544772395</v>
      </c>
      <c r="Q37" s="351">
        <f>('Attainment 25+ by race &amp; gender'!GX36/'Pop 25+ by race &amp; gender'!DB35)*100</f>
        <v>85.967543979271781</v>
      </c>
      <c r="R37" s="352">
        <f>('Attainment 25+ by race &amp; gender'!FU36/'Pop 25+ by race &amp; gender'!BC35)*100</f>
        <v>56.494894842481891</v>
      </c>
      <c r="S37" s="351">
        <f>('Attainment 25+ by race &amp; gender'!GY36/'Pop 25+ by race &amp; gender'!DD35)*100</f>
        <v>63.991500212494692</v>
      </c>
      <c r="T37" s="352">
        <f>('Attainment 25+ by race &amp; gender'!XM36/'Pop 25+ by race &amp; gender'!AT35)*100</f>
        <v>27.100945445029939</v>
      </c>
      <c r="U37" s="351">
        <f>('Attainment 25+ by race &amp; gender'!ZB36/'Pop 25+ by race &amp; gender'!DA35)*100</f>
        <v>32.432440486167756</v>
      </c>
      <c r="V37" s="352">
        <f>('Attainment 25+ by race &amp; gender'!XS36/'Pop 25+ by race &amp; gender'!AZ35)*100</f>
        <v>19.772386193096548</v>
      </c>
      <c r="W37" s="351">
        <f>('Attainment 25+ by race &amp; gender'!ZC36/'Pop 25+ by race &amp; gender'!DB35)*100</f>
        <v>22.43965634801582</v>
      </c>
      <c r="X37" s="352">
        <f>('Attainment 25+ by race &amp; gender'!XV36/'Pop 25+ by race &amp; gender'!BC35)*100</f>
        <v>9.7587049480757493</v>
      </c>
      <c r="Y37" s="437">
        <f>('Attainment 25+ by race &amp; gender'!ZD36/'Pop 25+ by race &amp; gender'!DD35)*100</f>
        <v>12.372857345233037</v>
      </c>
      <c r="Z37" s="460">
        <f>('Attainment 25+ by race &amp; gender'!FS36/'Pop 25+ by race &amp; gender'!AT35)*100</f>
        <v>89.863992650940887</v>
      </c>
      <c r="AA37" s="461">
        <f>('Attainment 25+ by race &amp; gender'!HB36/'Pop 25+ by race &amp; gender'!DF35)*100</f>
        <v>94.83367462458574</v>
      </c>
      <c r="AB37" s="462">
        <f>('Attainment 25+ by race &amp; gender'!FT36/'Pop 25+ by race &amp; gender'!AZ35)*100</f>
        <v>83.179089544772395</v>
      </c>
      <c r="AC37" s="460">
        <f>('Attainment 25+ by race &amp; gender'!HC36/'Pop 25+ by race &amp; gender'!DG35)*100</f>
        <v>85.464221595280847</v>
      </c>
      <c r="AD37" s="462">
        <f>('Attainment 25+ by race &amp; gender'!FU36/'Pop 25+ by race &amp; gender'!BC35)*100</f>
        <v>56.494894842481891</v>
      </c>
      <c r="AE37" s="460">
        <f>('Attainment 25+ by race &amp; gender'!HD36/'Pop 25+ by race &amp; gender'!DI35)*100</f>
        <v>64.487212849715689</v>
      </c>
      <c r="AF37" s="462">
        <f>('Attainment 25+ by race &amp; gender'!XM36/'Pop 25+ by race &amp; gender'!AT35)*100</f>
        <v>27.100945445029939</v>
      </c>
      <c r="AG37" s="463">
        <f>('Attainment 25+ by race &amp; gender'!ZG36/'Pop 25+ by race &amp; gender'!DF35)*100</f>
        <v>33.106816702752319</v>
      </c>
      <c r="AH37" s="462">
        <f>('Attainment 25+ by race &amp; gender'!XS36/'Pop 25+ by race &amp; gender'!AZ35)*100</f>
        <v>19.772386193096548</v>
      </c>
      <c r="AI37" s="463">
        <f>('Attainment 25+ by race &amp; gender'!ZH36/'Pop 25+ by race &amp; gender'!DG35)*100</f>
        <v>22.473711208002051</v>
      </c>
      <c r="AJ37" s="462">
        <f>('Attainment 25+ by race &amp; gender'!XV36/'Pop 25+ by race &amp; gender'!BC35)*100</f>
        <v>9.7587049480757493</v>
      </c>
      <c r="AK37" s="464">
        <f>('Attainment 25+ by race &amp; gender'!ZI36/'Pop 25+ by race &amp; gender'!DI35)*100</f>
        <v>12.758359125413179</v>
      </c>
      <c r="AL37" s="462">
        <f>('Attainment 25+ by race &amp; gender'!FS36/'Pop 25+ by race &amp; gender'!AT35)*100</f>
        <v>89.863992650940887</v>
      </c>
      <c r="AM37" s="464">
        <f>('Attainment 25+ by race &amp; gender'!HL36/'Pop 25+ by race &amp; gender'!DP35)*100</f>
        <v>95.122779073250342</v>
      </c>
      <c r="AN37" s="462">
        <v>83.179089544772395</v>
      </c>
      <c r="AO37" s="464">
        <f>IF('Pop 25+ by race &amp; gender'!DQ35&gt;0, ('Attainment 25+ by race &amp; gender'!HM36/'Pop 25+ by race &amp; gender'!DQ35)*100,"—")</f>
        <v>88.755160183731604</v>
      </c>
      <c r="AP37" s="464">
        <f>('Attainment 25+ by race &amp; gender'!FU36/'Pop 25+ by race &amp; gender'!BC35)*100</f>
        <v>56.494894842481891</v>
      </c>
      <c r="AQ37" s="464">
        <f>('Attainment 25+ by race &amp; gender'!HN36/'Pop 25+ by race &amp; gender'!DS35)*100</f>
        <v>68.023382975762033</v>
      </c>
      <c r="AR37" s="464">
        <f>('Attainment 25+ by race &amp; gender'!XM36/'Pop 25+ by race &amp; gender'!AT35)*100</f>
        <v>27.100945445029939</v>
      </c>
      <c r="AS37" s="464">
        <f>('Attainment 25+ by race &amp; gender'!ZQ36/'Pop 25+ by race &amp; gender'!DP35)*100</f>
        <v>34.551069767962666</v>
      </c>
      <c r="AT37" s="464">
        <f>('Attainment 25+ by race &amp; gender'!XS36/'Pop 25+ by race &amp; gender'!AZ35)*100</f>
        <v>19.772386193096548</v>
      </c>
      <c r="AU37" s="464">
        <f>IF('Pop 25+ by race &amp; gender'!DQ35&gt;0, ('Attainment 25+ by race &amp; gender'!ZR36/'Pop 25+ by race &amp; gender'!DQ35)*100,"—")</f>
        <v>25.803825803825802</v>
      </c>
      <c r="AV37" s="464">
        <f>('Attainment 25+ by race &amp; gender'!XV36/'Pop 25+ by race &amp; gender'!BC35)*100</f>
        <v>9.7587049480757493</v>
      </c>
      <c r="AW37" s="464">
        <f>('Attainment 25+ by race &amp; gender'!ZS36/'Pop 25+ by race &amp; gender'!DS35)*100</f>
        <v>11.472769570317936</v>
      </c>
      <c r="AX37" s="462">
        <f>('Attainment 25+ by race &amp; gender'!GR36/'Pop 25+ by race &amp; gender'!CV35)*100</f>
        <v>91.999999999999986</v>
      </c>
      <c r="AY37" s="464">
        <f>('Attainment 25+ by race &amp; gender'!HQ36/'Pop 25+ by race &amp; gender'!DU35)*100</f>
        <v>95.428115895577278</v>
      </c>
      <c r="AZ37" s="462">
        <f>('Attainment 25+ by race &amp; gender'!GS36/'Pop 25+ by race &amp; gender'!CW35)*100</f>
        <v>82.999999999999986</v>
      </c>
      <c r="BA37" s="464">
        <f>IF('Pop 25+ by race &amp; gender'!DV35&gt;0, ('Attainment 25+ by race &amp; gender'!HR36/'Pop 25+ by race &amp; gender'!DV35)*100,"—")</f>
        <v>84.108101865219155</v>
      </c>
      <c r="BB37" s="464">
        <f>('Attainment 25+ by race &amp; gender'!GT36/'Pop 25+ by race &amp; gender'!CY35)*100</f>
        <v>63.4</v>
      </c>
      <c r="BC37" s="464">
        <f>('Attainment 25+ by race &amp; gender'!HS36/'Pop 25+ by race &amp; gender'!DX35)*100</f>
        <v>68.045356475972099</v>
      </c>
      <c r="BD37" s="464">
        <f>('Attainment 25+ by race &amp; gender'!YW36/'Pop 25+ by race &amp; gender'!CV35)*100</f>
        <v>30.3</v>
      </c>
      <c r="BE37" s="464">
        <f>('Attainment 25+ by race &amp; gender'!ZV36/'Pop 25+ by race &amp; gender'!DU35)*100</f>
        <v>35.344918507925946</v>
      </c>
      <c r="BF37" s="464">
        <f>('Attainment 25+ by race &amp; gender'!YX36/'Pop 25+ by race &amp; gender'!CW35)*100</f>
        <v>18.899999999999999</v>
      </c>
      <c r="BG37" s="464">
        <f>IF('Pop 25+ by race &amp; gender'!DV35&gt;0, ('Attainment 25+ by race &amp; gender'!ZW36/'Pop 25+ by race &amp; gender'!DV35)*100,"—")</f>
        <v>22.359531096610265</v>
      </c>
      <c r="BH37" s="464">
        <f>('Attainment 25+ by race &amp; gender'!YY36/'Pop 25+ by race &amp; gender'!CY35)*100</f>
        <v>11.5</v>
      </c>
      <c r="BI37" s="464">
        <f>('Attainment 25+ by race &amp; gender'!ZX36/'Pop 25+ by race &amp; gender'!DX35)*100</f>
        <v>13.094166932729612</v>
      </c>
      <c r="BJ37" s="462">
        <f>('Attainment 25+ by race &amp; gender'!GW36/'Pop 25+ by race &amp; gender'!DA35)*100</f>
        <v>94.524094208971675</v>
      </c>
      <c r="BK37" s="464">
        <f>('Attainment 25+ by race &amp; gender'!IA36/'Pop 25+ by race &amp; gender'!EE35)*100</f>
        <v>95.618314394640407</v>
      </c>
      <c r="BL37" s="462">
        <f>('Attainment 25+ by race &amp; gender'!GX36/'Pop 25+ by race &amp; gender'!DB35)*100</f>
        <v>85.967543979271781</v>
      </c>
      <c r="BM37" s="464">
        <f>IF('Pop 25+ by race &amp; gender'!EF35&gt;0, ('Attainment 25+ by race &amp; gender'!IB36/'Pop 25+ by race &amp; gender'!EF35)*100,"—")</f>
        <v>86.341233221476514</v>
      </c>
      <c r="BN37" s="464">
        <f>('Attainment 25+ by race &amp; gender'!GY36/'Pop 25+ by race &amp; gender'!DD35)*100</f>
        <v>63.991500212494692</v>
      </c>
      <c r="BO37" s="464">
        <f>('Attainment 25+ by race &amp; gender'!IC36/'Pop 25+ by race &amp; gender'!EH35)*100</f>
        <v>70.118745446699108</v>
      </c>
      <c r="BP37" s="464">
        <f>('Attainment 25+ by race &amp; gender'!ZB36/'Pop 25+ by race &amp; gender'!DA35)*100</f>
        <v>32.432440486167756</v>
      </c>
      <c r="BQ37" s="464">
        <f>('Attainment 25+ by race &amp; gender'!AAF36/'Pop 25+ by race &amp; gender'!EE35)*100</f>
        <v>37.332252083704873</v>
      </c>
      <c r="BR37" s="464">
        <f>('Attainment 25+ by race &amp; gender'!ZC36/'Pop 25+ by race &amp; gender'!DB35)*100</f>
        <v>22.43965634801582</v>
      </c>
      <c r="BS37" s="464">
        <f>IF('Pop 25+ by race &amp; gender'!EF35&gt;0, ('Attainment 25+ by race &amp; gender'!AAG36/'Pop 25+ by race &amp; gender'!EF35)*100,"—")</f>
        <v>31.910654362416107</v>
      </c>
      <c r="BT37" s="464">
        <f>('Attainment 25+ by race &amp; gender'!ZD36/'Pop 25+ by race &amp; gender'!DD35)*100</f>
        <v>12.372857345233037</v>
      </c>
      <c r="BU37" s="464">
        <f>('Attainment 25+ by race &amp; gender'!AAH36/'Pop 25+ by race &amp; gender'!EH35)*100</f>
        <v>14.369173514985869</v>
      </c>
      <c r="BV37" s="462">
        <f>('Attainment 25+ by race &amp; gender'!HN36/'Pop 25+ by race &amp; gender'!DR35)*100</f>
        <v>78.501606241395137</v>
      </c>
      <c r="BW37" s="464" t="e">
        <f>('Attainment 25+ by race &amp; gender'!JB36/'Pop 25+ by race &amp; gender'!EQ35)*100</f>
        <v>#VALUE!</v>
      </c>
      <c r="BX37" s="462">
        <f>('Attainment 25+ by race &amp; gender'!HO36/'Pop 25+ by race &amp; gender'!DS35)*100</f>
        <v>66.199570516771729</v>
      </c>
      <c r="BY37" s="464" t="e">
        <f>IF('Pop 25+ by race &amp; gender'!ER35&gt;0, ('Attainment 25+ by race &amp; gender'!JC36/'Pop 25+ by race &amp; gender'!ER35)*100,"—")</f>
        <v>#VALUE!</v>
      </c>
      <c r="BZ37" s="464">
        <f>('Attainment 25+ by race &amp; gender'!HP36/'Pop 25+ by race &amp; gender'!DU35)*100</f>
        <v>112.03300774856145</v>
      </c>
      <c r="CA37" s="464">
        <f>('Attainment 25+ by race &amp; gender'!JD36/'Pop 25+ by race &amp; gender'!ET35)*100</f>
        <v>20.168672376023725</v>
      </c>
      <c r="CB37" s="464">
        <f>('Attainment 25+ by race &amp; gender'!ZS36/'Pop 25+ by race &amp; gender'!DR35)*100</f>
        <v>13.240018357044518</v>
      </c>
      <c r="CC37" s="464">
        <f>('Attainment 25+ by race &amp; gender'!ABB36/'Pop 25+ by race &amp; gender'!EQ35)*100</f>
        <v>21.822240896642146</v>
      </c>
      <c r="CD37" s="464">
        <f>('Attainment 25+ by race &amp; gender'!ZT36/'Pop 25+ by race &amp; gender'!DS35)*100</f>
        <v>19.83377408386853</v>
      </c>
      <c r="CE37" s="464">
        <f>IF('Pop 25+ by race &amp; gender'!ER35&gt;0, ('Attainment 25+ by race &amp; gender'!ABC36/'Pop 25+ by race &amp; gender'!ER35)*100,"—")</f>
        <v>6.8893206542672019</v>
      </c>
      <c r="CF37" s="464">
        <f>('Attainment 25+ by race &amp; gender'!ZU36/'Pop 25+ by race &amp; gender'!DU35)*100</f>
        <v>39.786198876547623</v>
      </c>
      <c r="CG37" s="464">
        <f>('Attainment 25+ by race &amp; gender'!ABD36/'Pop 25+ by race &amp; gender'!ET35)*100</f>
        <v>6.2375765411074342</v>
      </c>
      <c r="CH37" s="462">
        <f>('Attainment 25+ by race &amp; gender'!HG36/'Pop 25+ by race &amp; gender'!DK35)*100</f>
        <v>95.386938160717577</v>
      </c>
      <c r="CI37" s="452">
        <f>('Attainment 25+ by race &amp; gender'!IK36/'Pop 25+ by race &amp; gender'!EO35)*100</f>
        <v>96.07907041364723</v>
      </c>
      <c r="CJ37" s="462">
        <f>('Attainment 25+ by race &amp; gender'!HH36/'Pop 25+ by race &amp; gender'!DL35)*100</f>
        <v>88.940547451618528</v>
      </c>
      <c r="CK37" s="464">
        <f>IF('Pop 25+ by race &amp; gender'!EP35&gt;0, ('Attainment 25+ by race &amp; gender'!IL36/'Pop 25+ by race &amp; gender'!EP35)*100,"—")</f>
        <v>86.251692832422137</v>
      </c>
      <c r="CL37" s="464">
        <f>('Attainment 25+ by race &amp; gender'!HI36/'Pop 25+ by race &amp; gender'!DN35)*100</f>
        <v>65.423795253740735</v>
      </c>
      <c r="CM37" s="464">
        <f>('Attainment 25+ by race &amp; gender'!IM36/'Pop 25+ by race &amp; gender'!ER35)*100</f>
        <v>74.762267510035699</v>
      </c>
      <c r="CN37" s="464">
        <f>('Attainment 25+ by race &amp; gender'!ZL36/'Pop 25+ by race &amp; gender'!DK35)*100</f>
        <v>33.788412197282071</v>
      </c>
      <c r="CO37" s="464">
        <f>('Attainment 25+ by race &amp; gender'!AAP36/'Pop 25+ by race &amp; gender'!EO35)*100</f>
        <v>37.641547285005892</v>
      </c>
      <c r="CP37" s="464">
        <f>('Attainment 25+ by race &amp; gender'!ZM36/'Pop 25+ by race &amp; gender'!DL35)*100</f>
        <v>22.98483175451851</v>
      </c>
      <c r="CQ37" s="464">
        <f>IF('Pop 25+ by race &amp; gender'!EP35&gt;0, ('Attainment 25+ by race &amp; gender'!AAQ36/'Pop 25+ by race &amp; gender'!EP35)*100,"—")</f>
        <v>17.439935797762953</v>
      </c>
      <c r="CR37" s="464">
        <f>('Attainment 25+ by race &amp; gender'!ZN36/'Pop 25+ by race &amp; gender'!DN35)*100</f>
        <v>12.167898534653057</v>
      </c>
      <c r="CS37" s="464">
        <f>('Attainment 25+ by race &amp; gender'!AAR36/'Pop 25+ by race &amp; gender'!ER35)*100</f>
        <v>15.644980442169592</v>
      </c>
      <c r="CT37" s="350">
        <f>IFERROR(('Attainment 25+ by race &amp; gender'!HQ36/'Pop 25+ by race &amp; gender'!DU35)*100,"-")</f>
        <v>95.428115895577278</v>
      </c>
      <c r="CU37" s="452">
        <f>IFERROR(('Attainment 25+ by race &amp; gender'!IP36/'Pop 25+ by race &amp; gender'!ET35)*100,"-")</f>
        <v>96.008112302083077</v>
      </c>
      <c r="CV37" s="350">
        <f>IFERROR(('Attainment 25+ by race &amp; gender'!HR36/'Pop 25+ by race &amp; gender'!DV35)*100,"-")</f>
        <v>84.108101865219155</v>
      </c>
      <c r="CW37" s="452">
        <f>IFERROR(('Attainment 25+ by race &amp; gender'!IQ36/'Pop 25+ by race &amp; gender'!EU35)*100, "-")</f>
        <v>90.711145590897331</v>
      </c>
      <c r="CX37" s="452">
        <f>IFERROR(('Attainment 25+ by race &amp; gender'!HS36/'Pop 25+ by race &amp; gender'!DX35)*100, "-")</f>
        <v>68.045356475972099</v>
      </c>
      <c r="CY37" s="452">
        <f>IFERROR(('Attainment 25+ by race &amp; gender'!IR36/'Pop 25+ by race &amp; gender'!EW35)*100, "-")</f>
        <v>76.909661530243099</v>
      </c>
      <c r="CZ37" s="452">
        <f>IFERROR(('Attainment 25+ by race &amp; gender'!HU36/'Pop 25+ by race &amp; gender'!DY35)*100, "-")</f>
        <v>86.143875567077117</v>
      </c>
      <c r="DA37" s="452">
        <f>IFERROR(('Attainment 25+ by race &amp; gender'!IT36/'Pop 25+ by race &amp; gender'!EX35)*100, "-")</f>
        <v>88.427006009190521</v>
      </c>
      <c r="DB37" s="452">
        <f>IFERROR(('Attainment 25+ by race &amp; gender'!HV36/'Pop 25+ by race &amp; gender'!DZ35)*100, "-")</f>
        <v>89.792387543252588</v>
      </c>
      <c r="DC37" s="452">
        <f>IFERROR(('Attainment 25+ by race &amp; gender'!IU36/'Pop 25+ by race &amp; gender'!EY35)*100, "-")</f>
        <v>92.699748670290489</v>
      </c>
      <c r="DD37" s="452">
        <f>IFERROR(('Attainment 25+ by race &amp; gender'!HW36/'Pop 25+ by race &amp; gender'!EA35)*100, "-")</f>
        <v>86.557565317255239</v>
      </c>
      <c r="DE37" s="452">
        <f>IFERROR(('Attainment 25+ by race &amp; gender'!IV36/'Pop 25+ by race &amp; gender'!EZ35)*100, "-")</f>
        <v>78.366089021371181</v>
      </c>
      <c r="DF37" s="452">
        <f>IFERROR(('Attainment 25+ by race &amp; gender'!HX36/'Pop 25+ by race &amp; gender'!EB35)*100, "-")</f>
        <v>90.233055229952413</v>
      </c>
      <c r="DG37" s="452">
        <f>IFERROR(('Attainment 25+ by race &amp; gender'!IW36/'Pop 25+ by race &amp; gender'!FA35)*100, "-")</f>
        <v>85.415453438509175</v>
      </c>
      <c r="DH37" s="452">
        <f>IFERROR(('Attainment 25+ by race &amp; gender'!HY36/'Pop 25+ by race &amp; gender'!EC35)*100, "-")</f>
        <v>57.909520315509489</v>
      </c>
      <c r="DI37" s="452">
        <f>IFERROR(('Attainment 25+ by race &amp; gender'!IX36/'Pop 25+ by race &amp; gender'!FB35)*100, "-")</f>
        <v>72.553063583815032</v>
      </c>
      <c r="DJ37" s="452">
        <f>IFERROR(('Attainment 25+ by race &amp; gender'!ZV36/'Pop 25+ by race &amp; gender'!DU35)*100, "-")</f>
        <v>35.344918507925946</v>
      </c>
      <c r="DK37" s="452">
        <f>IFERROR(('Attainment 25+ by race &amp; gender'!AAU36/'Pop 25+ by race &amp; gender'!ET35)*100, "-")</f>
        <v>39.658799447335248</v>
      </c>
      <c r="DL37" s="452">
        <f>IFERROR(('Attainment 25+ by race &amp; gender'!ZW36/'Pop 25+ by race &amp; gender'!DV35)*100, "-")</f>
        <v>22.359531096610265</v>
      </c>
      <c r="DM37" s="452">
        <f>IFERROR(('Attainment 25+ by race &amp; gender'!AAV36/'Pop 25+ by race &amp; gender'!EU35)*100, "-")</f>
        <v>29.237134729764673</v>
      </c>
      <c r="DN37" s="452">
        <f>IFERROR(('Attainment 25+ by race &amp; gender'!ZX36/'Pop 25+ by race &amp; gender'!DX35)*100, "-")</f>
        <v>13.094166932729612</v>
      </c>
      <c r="DO37" s="452">
        <f>IFERROR(('Attainment 25+ by race &amp; gender'!AAW36/'Pop 25+ by race &amp; gender'!EW35)*100, "-")</f>
        <v>19.46564435733168</v>
      </c>
      <c r="DP37" s="452">
        <f>IFERROR(('Attainment 25+ by race &amp; gender'!ZZ36/'Pop 25+ by race &amp; gender'!DY35)*100, "-")</f>
        <v>47.256426874054867</v>
      </c>
      <c r="DQ37" s="452">
        <f>IFERROR(('Attainment 25+ by race &amp; gender'!AAY36/'Pop 25+ by race &amp; gender'!EX35)*100, "-")</f>
        <v>45.756451042771296</v>
      </c>
      <c r="DR37" s="452">
        <f>IFERROR(('Attainment 25+ by race &amp; gender'!AAA36/'Pop 25+ by race &amp; gender'!DZ35)*100, "-")</f>
        <v>7.3396326856534468</v>
      </c>
      <c r="DS37" s="452">
        <f>IFERROR(('Attainment 25+ by race &amp; gender'!AAZ36/'Pop 25+ by race &amp; gender'!EY35)*100, "-")</f>
        <v>21.111695598807646</v>
      </c>
      <c r="DT37" s="452">
        <f>IFERROR(('Attainment 25+ by race &amp; gender'!AAB36/'Pop 25+ by race &amp; gender'!EA35)*100, "-")</f>
        <v>10.835486649440137</v>
      </c>
      <c r="DU37" s="452">
        <f>IFERROR(('Attainment 25+ by race &amp; gender'!ABA36/'Pop 25+ by race &amp; gender'!EZ35)*100, "-")</f>
        <v>18.425706057697166</v>
      </c>
      <c r="DV37" s="452">
        <f>IFERROR(('Attainment 25+ by race &amp; gender'!AAC36/'Pop 25+ by race &amp; gender'!EB35)*100, "-")</f>
        <v>35.254774874163971</v>
      </c>
      <c r="DW37" s="452">
        <f>IFERROR(('Attainment 25+ by race &amp; gender'!ABB36/'Pop 25+ by race &amp; gender'!FA35)*100, "-")</f>
        <v>28.526523373391921</v>
      </c>
      <c r="DX37" s="452">
        <f>IFERROR(('Attainment 25+ by race &amp; gender'!AAD36/'Pop 25+ by race &amp; gender'!EC35)*100, "-")</f>
        <v>10.00183435751628</v>
      </c>
      <c r="DY37" s="452">
        <f>IFERROR(('Attainment 25+ by race &amp; gender'!ABC36/'Pop 25+ by race &amp; gender'!FB35)*100, "-")</f>
        <v>14.888323699421965</v>
      </c>
    </row>
    <row r="38" spans="1:129">
      <c r="A38" s="38" t="s">
        <v>36</v>
      </c>
      <c r="B38" s="351">
        <f>('Attainment 25+ by race &amp; gender'!FS37/'Pop 25+ by race &amp; gender'!AT36)*100</f>
        <v>89.258588520892616</v>
      </c>
      <c r="C38" s="444">
        <f>('Attainment 25+ by race &amp; gender'!GR37/'Pop 25+ by race &amp; gender'!CV36)*100</f>
        <v>92</v>
      </c>
      <c r="D38" s="352">
        <f>('Attainment 25+ by race &amp; gender'!FT37/'Pop 25+ by race &amp; gender'!AZ36)*100</f>
        <v>83.951603910344573</v>
      </c>
      <c r="E38" s="351">
        <f>IF('Pop 25+ by race &amp; gender'!CW36&gt;0,('Attainment 25+ by race &amp; gender'!GS37/'Pop 25+ by race &amp; gender'!CW36)*100,"—")</f>
        <v>87.6</v>
      </c>
      <c r="F38" s="352">
        <f>('Attainment 25+ by race &amp; gender'!FU37/'Pop 25+ by race &amp; gender'!BC36)*100</f>
        <v>53.012954658694568</v>
      </c>
      <c r="G38" s="351">
        <f>('Attainment 25+ by race &amp; gender'!GT37/'Pop 25+ by race &amp; gender'!CY36)*100</f>
        <v>59.099999999999994</v>
      </c>
      <c r="H38" s="352">
        <f>('Attainment 25+ by race &amp; gender'!XM37/'Pop 25+ by race &amp; gender'!AT36)*100</f>
        <v>28.54812985590549</v>
      </c>
      <c r="I38" s="351">
        <f>('Attainment 25+ by race &amp; gender'!YW37/'Pop 25+ by race &amp; gender'!CV36)*100</f>
        <v>31.900000000000002</v>
      </c>
      <c r="J38" s="352">
        <f>('Attainment 25+ by race &amp; gender'!XS37/'Pop 25+ by race &amp; gender'!AZ36)*100</f>
        <v>19.373304092480392</v>
      </c>
      <c r="K38" s="351">
        <f>IF('Pop 25+ by race &amp; gender'!CW36&gt;0,('Attainment 25+ by race &amp; gender'!YX37/'Pop 25+ by race &amp; gender'!CW36)*100,"—")</f>
        <v>20.8</v>
      </c>
      <c r="L38" s="352">
        <f>('Attainment 25+ by race &amp; gender'!XV37/'Pop 25+ by race &amp; gender'!BC36)*100</f>
        <v>11.128550074738415</v>
      </c>
      <c r="M38" s="437">
        <f>('Attainment 25+ by race &amp; gender'!YY37/'Pop 25+ by race &amp; gender'!CY36)*100</f>
        <v>12.299999999999999</v>
      </c>
      <c r="N38" s="351">
        <f>('Attainment 25+ by race &amp; gender'!FS37/'Pop 25+ by race &amp; gender'!AT36)*100</f>
        <v>89.258588520892616</v>
      </c>
      <c r="O38" s="445">
        <f>('Attainment 25+ by race &amp; gender'!GW37/'Pop 25+ by race &amp; gender'!DA36)*100</f>
        <v>93.805393769677565</v>
      </c>
      <c r="P38" s="352">
        <f>('Attainment 25+ by race &amp; gender'!FT37/'Pop 25+ by race &amp; gender'!AZ36)*100</f>
        <v>83.951603910344573</v>
      </c>
      <c r="Q38" s="351">
        <f>('Attainment 25+ by race &amp; gender'!GX37/'Pop 25+ by race &amp; gender'!DB36)*100</f>
        <v>88.191906483201194</v>
      </c>
      <c r="R38" s="352">
        <f>('Attainment 25+ by race &amp; gender'!FU37/'Pop 25+ by race &amp; gender'!BC36)*100</f>
        <v>53.012954658694568</v>
      </c>
      <c r="S38" s="351">
        <f>('Attainment 25+ by race &amp; gender'!GY37/'Pop 25+ by race &amp; gender'!DD36)*100</f>
        <v>60.655096956370301</v>
      </c>
      <c r="T38" s="352">
        <f>('Attainment 25+ by race &amp; gender'!XM37/'Pop 25+ by race &amp; gender'!AT36)*100</f>
        <v>28.54812985590549</v>
      </c>
      <c r="U38" s="351">
        <f>('Attainment 25+ by race &amp; gender'!ZB37/'Pop 25+ by race &amp; gender'!DA36)*100</f>
        <v>33.167366392360584</v>
      </c>
      <c r="V38" s="352">
        <f>('Attainment 25+ by race &amp; gender'!XS37/'Pop 25+ by race &amp; gender'!AZ36)*100</f>
        <v>19.373304092480392</v>
      </c>
      <c r="W38" s="351">
        <f>('Attainment 25+ by race &amp; gender'!ZC37/'Pop 25+ by race &amp; gender'!DB36)*100</f>
        <v>20.166556827032533</v>
      </c>
      <c r="X38" s="352">
        <f>('Attainment 25+ by race &amp; gender'!XV37/'Pop 25+ by race &amp; gender'!BC36)*100</f>
        <v>11.128550074738415</v>
      </c>
      <c r="Y38" s="437">
        <f>('Attainment 25+ by race &amp; gender'!ZD37/'Pop 25+ by race &amp; gender'!DD36)*100</f>
        <v>12.267314017394447</v>
      </c>
      <c r="Z38" s="460">
        <f>('Attainment 25+ by race &amp; gender'!FS37/'Pop 25+ by race &amp; gender'!AT36)*100</f>
        <v>89.258588520892616</v>
      </c>
      <c r="AA38" s="461">
        <f>('Attainment 25+ by race &amp; gender'!HB37/'Pop 25+ by race &amp; gender'!DF36)*100</f>
        <v>93.954087705899269</v>
      </c>
      <c r="AB38" s="462">
        <f>('Attainment 25+ by race &amp; gender'!FT37/'Pop 25+ by race &amp; gender'!AZ36)*100</f>
        <v>83.951603910344573</v>
      </c>
      <c r="AC38" s="460">
        <f>('Attainment 25+ by race &amp; gender'!HC37/'Pop 25+ by race &amp; gender'!DG36)*100</f>
        <v>87.638670819283931</v>
      </c>
      <c r="AD38" s="462">
        <f>('Attainment 25+ by race &amp; gender'!FU37/'Pop 25+ by race &amp; gender'!BC36)*100</f>
        <v>53.012954658694568</v>
      </c>
      <c r="AE38" s="460">
        <f>('Attainment 25+ by race &amp; gender'!HD37/'Pop 25+ by race &amp; gender'!DI36)*100</f>
        <v>61.761465628153864</v>
      </c>
      <c r="AF38" s="462">
        <f>('Attainment 25+ by race &amp; gender'!XM37/'Pop 25+ by race &amp; gender'!AT36)*100</f>
        <v>28.54812985590549</v>
      </c>
      <c r="AG38" s="463">
        <f>('Attainment 25+ by race &amp; gender'!ZG37/'Pop 25+ by race &amp; gender'!DF36)*100</f>
        <v>33.727604839994171</v>
      </c>
      <c r="AH38" s="462">
        <f>('Attainment 25+ by race &amp; gender'!XS37/'Pop 25+ by race &amp; gender'!AZ36)*100</f>
        <v>19.373304092480392</v>
      </c>
      <c r="AI38" s="463">
        <f>('Attainment 25+ by race &amp; gender'!ZH37/'Pop 25+ by race &amp; gender'!DG36)*100</f>
        <v>20.359836297649998</v>
      </c>
      <c r="AJ38" s="462">
        <f>('Attainment 25+ by race &amp; gender'!XV37/'Pop 25+ by race &amp; gender'!BC36)*100</f>
        <v>11.128550074738415</v>
      </c>
      <c r="AK38" s="464">
        <f>('Attainment 25+ by race &amp; gender'!ZI37/'Pop 25+ by race &amp; gender'!DI36)*100</f>
        <v>13.173242116778761</v>
      </c>
      <c r="AL38" s="462">
        <f>('Attainment 25+ by race &amp; gender'!FS37/'Pop 25+ by race &amp; gender'!AT36)*100</f>
        <v>89.258588520892616</v>
      </c>
      <c r="AM38" s="464">
        <f>('Attainment 25+ by race &amp; gender'!HL37/'Pop 25+ by race &amp; gender'!DP36)*100</f>
        <v>94.380060457124031</v>
      </c>
      <c r="AN38" s="462">
        <v>83.951603910344573</v>
      </c>
      <c r="AO38" s="464">
        <f>IF('Pop 25+ by race &amp; gender'!DQ36&gt;0, ('Attainment 25+ by race &amp; gender'!HM37/'Pop 25+ by race &amp; gender'!DQ36)*100,"—")</f>
        <v>90.416717214606336</v>
      </c>
      <c r="AP38" s="464">
        <f>('Attainment 25+ by race &amp; gender'!FU37/'Pop 25+ by race &amp; gender'!BC36)*100</f>
        <v>53.012954658694568</v>
      </c>
      <c r="AQ38" s="464">
        <f>('Attainment 25+ by race &amp; gender'!HN37/'Pop 25+ by race &amp; gender'!DS36)*100</f>
        <v>64.41491308325709</v>
      </c>
      <c r="AR38" s="464">
        <f>('Attainment 25+ by race &amp; gender'!XM37/'Pop 25+ by race &amp; gender'!AT36)*100</f>
        <v>28.54812985590549</v>
      </c>
      <c r="AS38" s="464">
        <f>('Attainment 25+ by race &amp; gender'!ZQ37/'Pop 25+ by race &amp; gender'!DP36)*100</f>
        <v>35.802613799596678</v>
      </c>
      <c r="AT38" s="464">
        <f>('Attainment 25+ by race &amp; gender'!XS37/'Pop 25+ by race &amp; gender'!AZ36)*100</f>
        <v>19.373304092480392</v>
      </c>
      <c r="AU38" s="464">
        <f>IF('Pop 25+ by race &amp; gender'!DQ36&gt;0, ('Attainment 25+ by race &amp; gender'!ZR37/'Pop 25+ by race &amp; gender'!DQ36)*100,"—")</f>
        <v>23.228193618828097</v>
      </c>
      <c r="AV38" s="464">
        <f>('Attainment 25+ by race &amp; gender'!XV37/'Pop 25+ by race &amp; gender'!BC36)*100</f>
        <v>11.128550074738415</v>
      </c>
      <c r="AW38" s="464">
        <f>('Attainment 25+ by race &amp; gender'!ZS37/'Pop 25+ by race &amp; gender'!DS36)*100</f>
        <v>13.785224153705396</v>
      </c>
      <c r="AX38" s="462">
        <f>('Attainment 25+ by race &amp; gender'!GR37/'Pop 25+ by race &amp; gender'!CV36)*100</f>
        <v>92</v>
      </c>
      <c r="AY38" s="464">
        <f>('Attainment 25+ by race &amp; gender'!HQ37/'Pop 25+ by race &amp; gender'!DU36)*100</f>
        <v>94.699692133203797</v>
      </c>
      <c r="AZ38" s="462">
        <f>('Attainment 25+ by race &amp; gender'!GS37/'Pop 25+ by race &amp; gender'!CW36)*100</f>
        <v>87.6</v>
      </c>
      <c r="BA38" s="464">
        <f>IF('Pop 25+ by race &amp; gender'!DV36&gt;0, ('Attainment 25+ by race &amp; gender'!HR37/'Pop 25+ by race &amp; gender'!DV36)*100,"—")</f>
        <v>85.867513097654225</v>
      </c>
      <c r="BB38" s="464">
        <f>('Attainment 25+ by race &amp; gender'!GT37/'Pop 25+ by race &amp; gender'!CY36)*100</f>
        <v>59.099999999999994</v>
      </c>
      <c r="BC38" s="464">
        <f>('Attainment 25+ by race &amp; gender'!HS37/'Pop 25+ by race &amp; gender'!DX36)*100</f>
        <v>64.694431728790661</v>
      </c>
      <c r="BD38" s="464">
        <f>('Attainment 25+ by race &amp; gender'!YW37/'Pop 25+ by race &amp; gender'!CV36)*100</f>
        <v>31.900000000000002</v>
      </c>
      <c r="BE38" s="464">
        <f>('Attainment 25+ by race &amp; gender'!ZV37/'Pop 25+ by race &amp; gender'!DU36)*100</f>
        <v>36.688799211990009</v>
      </c>
      <c r="BF38" s="464">
        <f>('Attainment 25+ by race &amp; gender'!YX37/'Pop 25+ by race &amp; gender'!CW36)*100</f>
        <v>20.8</v>
      </c>
      <c r="BG38" s="464">
        <f>IF('Pop 25+ by race &amp; gender'!DV36&gt;0, ('Attainment 25+ by race &amp; gender'!ZW37/'Pop 25+ by race &amp; gender'!DV36)*100,"—")</f>
        <v>25.191744937933642</v>
      </c>
      <c r="BH38" s="464">
        <f>('Attainment 25+ by race &amp; gender'!YY37/'Pop 25+ by race &amp; gender'!CY36)*100</f>
        <v>12.299999999999999</v>
      </c>
      <c r="BI38" s="464">
        <f>('Attainment 25+ by race &amp; gender'!ZX37/'Pop 25+ by race &amp; gender'!DX36)*100</f>
        <v>15.268191656259583</v>
      </c>
      <c r="BJ38" s="462">
        <f>('Attainment 25+ by race &amp; gender'!GW37/'Pop 25+ by race &amp; gender'!DA36)*100</f>
        <v>93.805393769677565</v>
      </c>
      <c r="BK38" s="464">
        <f>('Attainment 25+ by race &amp; gender'!IA37/'Pop 25+ by race &amp; gender'!EE36)*100</f>
        <v>94.936027004163677</v>
      </c>
      <c r="BL38" s="462">
        <f>('Attainment 25+ by race &amp; gender'!GX37/'Pop 25+ by race &amp; gender'!DB36)*100</f>
        <v>88.191906483201194</v>
      </c>
      <c r="BM38" s="464">
        <f>IF('Pop 25+ by race &amp; gender'!EF36&gt;0, ('Attainment 25+ by race &amp; gender'!IB37/'Pop 25+ by race &amp; gender'!EF36)*100,"—")</f>
        <v>90.52793808286367</v>
      </c>
      <c r="BN38" s="464">
        <f>('Attainment 25+ by race &amp; gender'!GY37/'Pop 25+ by race &amp; gender'!DD36)*100</f>
        <v>60.655096956370301</v>
      </c>
      <c r="BO38" s="464">
        <f>('Attainment 25+ by race &amp; gender'!IC37/'Pop 25+ by race &amp; gender'!EH36)*100</f>
        <v>65.783395314203986</v>
      </c>
      <c r="BP38" s="464">
        <f>('Attainment 25+ by race &amp; gender'!ZB37/'Pop 25+ by race &amp; gender'!DA36)*100</f>
        <v>33.167366392360584</v>
      </c>
      <c r="BQ38" s="464">
        <f>('Attainment 25+ by race &amp; gender'!AAF37/'Pop 25+ by race &amp; gender'!EE36)*100</f>
        <v>36.926148873845747</v>
      </c>
      <c r="BR38" s="464">
        <f>('Attainment 25+ by race &amp; gender'!ZC37/'Pop 25+ by race &amp; gender'!DB36)*100</f>
        <v>20.166556827032533</v>
      </c>
      <c r="BS38" s="464">
        <f>IF('Pop 25+ by race &amp; gender'!EF36&gt;0, ('Attainment 25+ by race &amp; gender'!AAG37/'Pop 25+ by race &amp; gender'!EF36)*100,"—")</f>
        <v>25.779870181004128</v>
      </c>
      <c r="BT38" s="464">
        <f>('Attainment 25+ by race &amp; gender'!ZD37/'Pop 25+ by race &amp; gender'!DD36)*100</f>
        <v>12.267314017394447</v>
      </c>
      <c r="BU38" s="464">
        <f>('Attainment 25+ by race &amp; gender'!AAH37/'Pop 25+ by race &amp; gender'!EH36)*100</f>
        <v>16.040424324626478</v>
      </c>
      <c r="BV38" s="462">
        <f>('Attainment 25+ by race &amp; gender'!HN37/'Pop 25+ by race &amp; gender'!DR36)*100</f>
        <v>34.909986128827128</v>
      </c>
      <c r="BW38" s="464" t="e">
        <f>('Attainment 25+ by race &amp; gender'!JB37/'Pop 25+ by race &amp; gender'!EQ36)*100</f>
        <v>#VALUE!</v>
      </c>
      <c r="BX38" s="462">
        <f>('Attainment 25+ by race &amp; gender'!HO37/'Pop 25+ by race &amp; gender'!DS36)*100</f>
        <v>152.47346752058556</v>
      </c>
      <c r="BY38" s="464" t="e">
        <f>IF('Pop 25+ by race &amp; gender'!ER36&gt;0, ('Attainment 25+ by race &amp; gender'!JC37/'Pop 25+ by race &amp; gender'!ER36)*100,"—")</f>
        <v>#VALUE!</v>
      </c>
      <c r="BZ38" s="464">
        <f>('Attainment 25+ by race &amp; gender'!HP37/'Pop 25+ by race &amp; gender'!DU36)*100</f>
        <v>121.95658688468636</v>
      </c>
      <c r="CA38" s="464">
        <f>('Attainment 25+ by race &amp; gender'!JD37/'Pop 25+ by race &amp; gender'!ET36)*100</f>
        <v>27.507216557588581</v>
      </c>
      <c r="CB38" s="464">
        <f>('Attainment 25+ by race &amp; gender'!ZS37/'Pop 25+ by race &amp; gender'!DR36)*100</f>
        <v>7.4709715647154047</v>
      </c>
      <c r="CC38" s="464">
        <f>('Attainment 25+ by race &amp; gender'!ABB37/'Pop 25+ by race &amp; gender'!EQ36)*100</f>
        <v>15.948259975195869</v>
      </c>
      <c r="CD38" s="464">
        <f>('Attainment 25+ by race &amp; gender'!ZT37/'Pop 25+ by race &amp; gender'!DS36)*100</f>
        <v>64.374656907593774</v>
      </c>
      <c r="CE38" s="464">
        <f>IF('Pop 25+ by race &amp; gender'!ER36&gt;0, ('Attainment 25+ by race &amp; gender'!ABC37/'Pop 25+ by race &amp; gender'!ER36)*100,"—")</f>
        <v>7.9714224622428498</v>
      </c>
      <c r="CF38" s="464">
        <f>('Attainment 25+ by race &amp; gender'!ZU37/'Pop 25+ by race &amp; gender'!DU36)*100</f>
        <v>47.186801638910275</v>
      </c>
      <c r="CG38" s="464">
        <f>('Attainment 25+ by race &amp; gender'!ABD37/'Pop 25+ by race &amp; gender'!ET36)*100</f>
        <v>9.5188356557471128</v>
      </c>
      <c r="CH38" s="462">
        <f>('Attainment 25+ by race &amp; gender'!HG37/'Pop 25+ by race &amp; gender'!DK36)*100</f>
        <v>94.123673337013187</v>
      </c>
      <c r="CI38" s="452">
        <f>('Attainment 25+ by race &amp; gender'!IK37/'Pop 25+ by race &amp; gender'!EO36)*100</f>
        <v>95.186597392158063</v>
      </c>
      <c r="CJ38" s="462">
        <f>('Attainment 25+ by race &amp; gender'!HH37/'Pop 25+ by race &amp; gender'!DL36)*100</f>
        <v>87.500860520567997</v>
      </c>
      <c r="CK38" s="464">
        <f>IF('Pop 25+ by race &amp; gender'!EP36&gt;0, ('Attainment 25+ by race &amp; gender'!IL37/'Pop 25+ by race &amp; gender'!EP36)*100,"—")</f>
        <v>90.557490577408245</v>
      </c>
      <c r="CL38" s="464">
        <f>('Attainment 25+ by race &amp; gender'!HI37/'Pop 25+ by race &amp; gender'!DN36)*100</f>
        <v>63.323487833775552</v>
      </c>
      <c r="CM38" s="464">
        <f>('Attainment 25+ by race &amp; gender'!IM37/'Pop 25+ by race &amp; gender'!ER36)*100</f>
        <v>69.288170570707237</v>
      </c>
      <c r="CN38" s="464">
        <f>('Attainment 25+ by race &amp; gender'!ZL37/'Pop 25+ by race &amp; gender'!DK36)*100</f>
        <v>34.659675510578822</v>
      </c>
      <c r="CO38" s="464">
        <f>('Attainment 25+ by race &amp; gender'!AAP37/'Pop 25+ by race &amp; gender'!EO36)*100</f>
        <v>38.205261317987997</v>
      </c>
      <c r="CP38" s="464">
        <f>('Attainment 25+ by race &amp; gender'!ZM37/'Pop 25+ by race &amp; gender'!DL36)*100</f>
        <v>21.785251616214087</v>
      </c>
      <c r="CQ38" s="464">
        <f>IF('Pop 25+ by race &amp; gender'!EP36&gt;0, ('Attainment 25+ by race &amp; gender'!AAQ37/'Pop 25+ by race &amp; gender'!EP36)*100,"—")</f>
        <v>25.099333013288661</v>
      </c>
      <c r="CR38" s="464">
        <f>('Attainment 25+ by race &amp; gender'!ZN37/'Pop 25+ by race &amp; gender'!DN36)*100</f>
        <v>14.498868840305043</v>
      </c>
      <c r="CS38" s="464">
        <f>('Attainment 25+ by race &amp; gender'!AAR37/'Pop 25+ by race &amp; gender'!ER36)*100</f>
        <v>17.85232977160333</v>
      </c>
      <c r="CT38" s="350">
        <f>IFERROR(('Attainment 25+ by race &amp; gender'!HQ37/'Pop 25+ by race &amp; gender'!DU36)*100,"-")</f>
        <v>94.699692133203797</v>
      </c>
      <c r="CU38" s="452">
        <f>IFERROR(('Attainment 25+ by race &amp; gender'!IP37/'Pop 25+ by race &amp; gender'!ET36)*100,"-")</f>
        <v>95.545567482754734</v>
      </c>
      <c r="CV38" s="350">
        <f>IFERROR(('Attainment 25+ by race &amp; gender'!HR37/'Pop 25+ by race &amp; gender'!DV36)*100,"-")</f>
        <v>85.867513097654225</v>
      </c>
      <c r="CW38" s="452">
        <f>IFERROR(('Attainment 25+ by race &amp; gender'!IQ37/'Pop 25+ by race &amp; gender'!EU36)*100, "-")</f>
        <v>92.224081105178271</v>
      </c>
      <c r="CX38" s="452">
        <f>IFERROR(('Attainment 25+ by race &amp; gender'!HS37/'Pop 25+ by race &amp; gender'!DX36)*100, "-")</f>
        <v>64.694431728790661</v>
      </c>
      <c r="CY38" s="452">
        <f>IFERROR(('Attainment 25+ by race &amp; gender'!IR37/'Pop 25+ by race &amp; gender'!EW36)*100, "-")</f>
        <v>72.058831556099761</v>
      </c>
      <c r="CZ38" s="452">
        <f>IFERROR(('Attainment 25+ by race &amp; gender'!HU37/'Pop 25+ by race &amp; gender'!DY36)*100, "-")</f>
        <v>87.279142836390548</v>
      </c>
      <c r="DA38" s="452">
        <f>IFERROR(('Attainment 25+ by race &amp; gender'!IT37/'Pop 25+ by race &amp; gender'!EX36)*100, "-")</f>
        <v>89.777317413644596</v>
      </c>
      <c r="DB38" s="452">
        <f>IFERROR(('Attainment 25+ by race &amp; gender'!HV37/'Pop 25+ by race &amp; gender'!DZ36)*100, "-")</f>
        <v>84.385697339433989</v>
      </c>
      <c r="DC38" s="452">
        <f>IFERROR(('Attainment 25+ by race &amp; gender'!IU37/'Pop 25+ by race &amp; gender'!EY36)*100, "-")</f>
        <v>88.67582890557749</v>
      </c>
      <c r="DD38" s="452">
        <f>IFERROR(('Attainment 25+ by race &amp; gender'!HW37/'Pop 25+ by race &amp; gender'!EA36)*100, "-")</f>
        <v>83.403545725820607</v>
      </c>
      <c r="DE38" s="452">
        <f>IFERROR(('Attainment 25+ by race &amp; gender'!IV37/'Pop 25+ by race &amp; gender'!EZ36)*100, "-")</f>
        <v>82.659343212252949</v>
      </c>
      <c r="DF38" s="452">
        <f>IFERROR(('Attainment 25+ by race &amp; gender'!HX37/'Pop 25+ by race &amp; gender'!EB36)*100, "-")</f>
        <v>90.439023285056436</v>
      </c>
      <c r="DG38" s="452">
        <f>IFERROR(('Attainment 25+ by race &amp; gender'!IW37/'Pop 25+ by race &amp; gender'!FA36)*100, "-")</f>
        <v>86.342563435792215</v>
      </c>
      <c r="DH38" s="452">
        <f>IFERROR(('Attainment 25+ by race &amp; gender'!HY37/'Pop 25+ by race &amp; gender'!EC36)*100, "-")</f>
        <v>54.774151977808359</v>
      </c>
      <c r="DI38" s="452">
        <f>IFERROR(('Attainment 25+ by race &amp; gender'!IX37/'Pop 25+ by race &amp; gender'!FB36)*100, "-")</f>
        <v>66.067970137499302</v>
      </c>
      <c r="DJ38" s="452">
        <f>IFERROR(('Attainment 25+ by race &amp; gender'!ZV37/'Pop 25+ by race &amp; gender'!DU36)*100, "-")</f>
        <v>36.688799211990009</v>
      </c>
      <c r="DK38" s="452">
        <f>IFERROR(('Attainment 25+ by race &amp; gender'!AAU37/'Pop 25+ by race &amp; gender'!ET36)*100, "-")</f>
        <v>39.826482297211662</v>
      </c>
      <c r="DL38" s="452">
        <f>IFERROR(('Attainment 25+ by race &amp; gender'!ZW37/'Pop 25+ by race &amp; gender'!DV36)*100, "-")</f>
        <v>25.191744937933642</v>
      </c>
      <c r="DM38" s="452">
        <f>IFERROR(('Attainment 25+ by race &amp; gender'!AAV37/'Pop 25+ by race &amp; gender'!EU36)*100, "-")</f>
        <v>27.061940874164751</v>
      </c>
      <c r="DN38" s="452">
        <f>IFERROR(('Attainment 25+ by race &amp; gender'!ZX37/'Pop 25+ by race &amp; gender'!DX36)*100, "-")</f>
        <v>15.268191656259583</v>
      </c>
      <c r="DO38" s="452">
        <f>IFERROR(('Attainment 25+ by race &amp; gender'!AAW37/'Pop 25+ by race &amp; gender'!EW36)*100, "-")</f>
        <v>20.109999872643218</v>
      </c>
      <c r="DP38" s="452">
        <f>IFERROR(('Attainment 25+ by race &amp; gender'!ZZ37/'Pop 25+ by race &amp; gender'!DY36)*100, "-")</f>
        <v>52.542273601638222</v>
      </c>
      <c r="DQ38" s="452">
        <f>IFERROR(('Attainment 25+ by race &amp; gender'!AAY37/'Pop 25+ by race &amp; gender'!EX36)*100, "-")</f>
        <v>59.411847693724198</v>
      </c>
      <c r="DR38" s="452">
        <f>IFERROR(('Attainment 25+ by race &amp; gender'!AAA37/'Pop 25+ by race &amp; gender'!DZ36)*100, "-")</f>
        <v>9.8796814099305195</v>
      </c>
      <c r="DS38" s="452">
        <f>IFERROR(('Attainment 25+ by race &amp; gender'!AAZ37/'Pop 25+ by race &amp; gender'!EY36)*100, "-")</f>
        <v>16.922437590905044</v>
      </c>
      <c r="DT38" s="452">
        <f>IFERROR(('Attainment 25+ by race &amp; gender'!AAB37/'Pop 25+ by race &amp; gender'!EA36)*100, "-")</f>
        <v>13.66157626821134</v>
      </c>
      <c r="DU38" s="452">
        <f>IFERROR(('Attainment 25+ by race &amp; gender'!ABA37/'Pop 25+ by race &amp; gender'!EZ36)*100, "-")</f>
        <v>16.024758143471118</v>
      </c>
      <c r="DV38" s="452">
        <f>IFERROR(('Attainment 25+ by race &amp; gender'!AAC37/'Pop 25+ by race &amp; gender'!EB36)*100, "-")</f>
        <v>28.676699650525912</v>
      </c>
      <c r="DW38" s="452">
        <f>IFERROR(('Attainment 25+ by race &amp; gender'!ABB37/'Pop 25+ by race &amp; gender'!FA36)*100, "-")</f>
        <v>32.525242264794912</v>
      </c>
      <c r="DX38" s="452">
        <f>IFERROR(('Attainment 25+ by race &amp; gender'!AAD37/'Pop 25+ by race &amp; gender'!EC36)*100, "-")</f>
        <v>10.567787169910229</v>
      </c>
      <c r="DY38" s="452">
        <f>IFERROR(('Attainment 25+ by race &amp; gender'!ABC37/'Pop 25+ by race &amp; gender'!FB36)*100, "-")</f>
        <v>16.327941046473317</v>
      </c>
    </row>
    <row r="39" spans="1:129">
      <c r="A39" s="140" t="s">
        <v>37</v>
      </c>
      <c r="B39" s="353">
        <f>('Attainment 25+ by race &amp; gender'!FS38/'Pop 25+ by race &amp; gender'!AT37)*100</f>
        <v>88.765099852221425</v>
      </c>
      <c r="C39" s="449">
        <f>('Attainment 25+ by race &amp; gender'!GR38/'Pop 25+ by race &amp; gender'!CV37)*100</f>
        <v>92.8</v>
      </c>
      <c r="D39" s="354">
        <f>('Attainment 25+ by race &amp; gender'!FT38/'Pop 25+ by race &amp; gender'!AZ37)*100</f>
        <v>86.655405405405403</v>
      </c>
      <c r="E39" s="353" t="str">
        <f>IF('Pop 25+ by race &amp; gender'!CW37&gt;0,('Attainment 25+ by race &amp; gender'!GS38/'Pop 25+ by race &amp; gender'!CW37)*100,"—")</f>
        <v>—</v>
      </c>
      <c r="F39" s="354">
        <f>('Attainment 25+ by race &amp; gender'!FU38/'Pop 25+ by race &amp; gender'!BC37)*100</f>
        <v>66.294390764211315</v>
      </c>
      <c r="G39" s="353">
        <f>('Attainment 25+ by race &amp; gender'!GT38/'Pop 25+ by race &amp; gender'!CY37)*100</f>
        <v>75.999999999999986</v>
      </c>
      <c r="H39" s="354">
        <f>('Attainment 25+ by race &amp; gender'!XM38/'Pop 25+ by race &amp; gender'!AT37)*100</f>
        <v>22.587752003145379</v>
      </c>
      <c r="I39" s="353">
        <f>('Attainment 25+ by race &amp; gender'!YW38/'Pop 25+ by race &amp; gender'!CV37)*100</f>
        <v>24.9</v>
      </c>
      <c r="J39" s="354">
        <f>('Attainment 25+ by race &amp; gender'!XS38/'Pop 25+ by race &amp; gender'!AZ37)*100</f>
        <v>18.637387387387388</v>
      </c>
      <c r="K39" s="353" t="str">
        <f>IF('Pop 25+ by race &amp; gender'!CW37&gt;0,('Attainment 25+ by race &amp; gender'!YX38/'Pop 25+ by race &amp; gender'!CW37)*100,"—")</f>
        <v>—</v>
      </c>
      <c r="L39" s="354">
        <f>('Attainment 25+ by race &amp; gender'!XV38/'Pop 25+ by race &amp; gender'!BC37)*100</f>
        <v>7.755050821934999</v>
      </c>
      <c r="M39" s="438">
        <f>('Attainment 25+ by race &amp; gender'!YY38/'Pop 25+ by race &amp; gender'!CY37)*100</f>
        <v>11.4</v>
      </c>
      <c r="N39" s="353">
        <f>('Attainment 25+ by race &amp; gender'!FS38/'Pop 25+ by race &amp; gender'!AT37)*100</f>
        <v>88.765099852221425</v>
      </c>
      <c r="O39" s="450">
        <f>('Attainment 25+ by race &amp; gender'!GW38/'Pop 25+ by race &amp; gender'!DA37)*100</f>
        <v>93.449826282444306</v>
      </c>
      <c r="P39" s="354">
        <f>('Attainment 25+ by race &amp; gender'!FT38/'Pop 25+ by race &amp; gender'!AZ37)*100</f>
        <v>86.655405405405403</v>
      </c>
      <c r="Q39" s="431">
        <f>('Attainment 25+ by race &amp; gender'!GX38/'Pop 25+ by race &amp; gender'!DB37)*100</f>
        <v>85.926181441876508</v>
      </c>
      <c r="R39" s="354">
        <f>('Attainment 25+ by race &amp; gender'!FU38/'Pop 25+ by race &amp; gender'!BC37)*100</f>
        <v>66.294390764211315</v>
      </c>
      <c r="S39" s="431">
        <f>('Attainment 25+ by race &amp; gender'!GY38/'Pop 25+ by race &amp; gender'!DD37)*100</f>
        <v>76.536453645364531</v>
      </c>
      <c r="T39" s="354">
        <f>('Attainment 25+ by race &amp; gender'!XM38/'Pop 25+ by race &amp; gender'!AT37)*100</f>
        <v>22.587752003145379</v>
      </c>
      <c r="U39" s="431">
        <f>('Attainment 25+ by race &amp; gender'!ZB38/'Pop 25+ by race &amp; gender'!DA37)*100</f>
        <v>25.772411969079478</v>
      </c>
      <c r="V39" s="354">
        <f>('Attainment 25+ by race &amp; gender'!XS38/'Pop 25+ by race &amp; gender'!AZ37)*100</f>
        <v>18.637387387387388</v>
      </c>
      <c r="W39" s="431">
        <f>('Attainment 25+ by race &amp; gender'!ZC38/'Pop 25+ by race &amp; gender'!DB37)*100</f>
        <v>12.107623318385651</v>
      </c>
      <c r="X39" s="354">
        <f>('Attainment 25+ by race &amp; gender'!XV38/'Pop 25+ by race &amp; gender'!BC37)*100</f>
        <v>7.755050821934999</v>
      </c>
      <c r="Y39" s="438">
        <f>('Attainment 25+ by race &amp; gender'!ZD38/'Pop 25+ by race &amp; gender'!DD37)*100</f>
        <v>12.536453645364537</v>
      </c>
      <c r="Z39" s="500">
        <f>('Attainment 25+ by race &amp; gender'!FS38/'Pop 25+ by race &amp; gender'!AT37)*100</f>
        <v>88.765099852221425</v>
      </c>
      <c r="AA39" s="475">
        <f>('Attainment 25+ by race &amp; gender'!HB38/'Pop 25+ by race &amp; gender'!DF37)*100</f>
        <v>93.969078177951531</v>
      </c>
      <c r="AB39" s="468">
        <f>('Attainment 25+ by race &amp; gender'!FT38/'Pop 25+ by race &amp; gender'!AZ37)*100</f>
        <v>86.655405405405403</v>
      </c>
      <c r="AC39" s="469">
        <f>('Attainment 25+ by race &amp; gender'!HC38/'Pop 25+ by race &amp; gender'!DG37)*100</f>
        <v>89.983739837398375</v>
      </c>
      <c r="AD39" s="468">
        <f>('Attainment 25+ by race &amp; gender'!FU38/'Pop 25+ by race &amp; gender'!BC37)*100</f>
        <v>66.294390764211315</v>
      </c>
      <c r="AE39" s="469">
        <f>('Attainment 25+ by race &amp; gender'!HD38/'Pop 25+ by race &amp; gender'!DI37)*100</f>
        <v>75.422432376051745</v>
      </c>
      <c r="AF39" s="468">
        <f>('Attainment 25+ by race &amp; gender'!XM38/'Pop 25+ by race &amp; gender'!AT37)*100</f>
        <v>22.587752003145379</v>
      </c>
      <c r="AG39" s="470">
        <f>('Attainment 25+ by race &amp; gender'!ZG38/'Pop 25+ by race &amp; gender'!DF37)*100</f>
        <v>26.655639538535624</v>
      </c>
      <c r="AH39" s="468">
        <f>('Attainment 25+ by race &amp; gender'!XS38/'Pop 25+ by race &amp; gender'!AZ37)*100</f>
        <v>18.637387387387388</v>
      </c>
      <c r="AI39" s="470">
        <f>('Attainment 25+ by race &amp; gender'!ZH38/'Pop 25+ by race &amp; gender'!DG37)*100</f>
        <v>15.186991869918698</v>
      </c>
      <c r="AJ39" s="468">
        <f>('Attainment 25+ by race &amp; gender'!XV38/'Pop 25+ by race &amp; gender'!BC37)*100</f>
        <v>7.755050821934999</v>
      </c>
      <c r="AK39" s="470">
        <f>('Attainment 25+ by race &amp; gender'!ZI38/'Pop 25+ by race &amp; gender'!DI37)*100</f>
        <v>11.442180655030944</v>
      </c>
      <c r="AL39" s="468">
        <f>('Attainment 25+ by race &amp; gender'!FS38/'Pop 25+ by race &amp; gender'!AT37)*100</f>
        <v>88.765099852221425</v>
      </c>
      <c r="AM39" s="470">
        <f>('Attainment 25+ by race &amp; gender'!HL38/'Pop 25+ by race &amp; gender'!DP37)*100</f>
        <v>94.326495671180339</v>
      </c>
      <c r="AN39" s="468">
        <v>86.655405405405403</v>
      </c>
      <c r="AO39" s="464" t="str">
        <f>IF('Pop 25+ by race &amp; gender'!DQ37&gt;0, ('Attainment 25+ by race &amp; gender'!HM38/'Pop 25+ by race &amp; gender'!DQ37)*100,"—")</f>
        <v>—</v>
      </c>
      <c r="AP39" s="470">
        <f>('Attainment 25+ by race &amp; gender'!FU38/'Pop 25+ by race &amp; gender'!BC37)*100</f>
        <v>66.294390764211315</v>
      </c>
      <c r="AQ39" s="470">
        <f>('Attainment 25+ by race &amp; gender'!HN38/'Pop 25+ by race &amp; gender'!DS37)*100</f>
        <v>70.812479688007798</v>
      </c>
      <c r="AR39" s="470">
        <f>('Attainment 25+ by race &amp; gender'!XM38/'Pop 25+ by race &amp; gender'!AT37)*100</f>
        <v>22.587752003145379</v>
      </c>
      <c r="AS39" s="470">
        <f>('Attainment 25+ by race &amp; gender'!ZQ38/'Pop 25+ by race &amp; gender'!DP37)*100</f>
        <v>27.900956370557555</v>
      </c>
      <c r="AT39" s="470">
        <f>('Attainment 25+ by race &amp; gender'!XS38/'Pop 25+ by race &amp; gender'!AZ37)*100</f>
        <v>18.637387387387388</v>
      </c>
      <c r="AU39" s="464" t="str">
        <f>IF('Pop 25+ by race &amp; gender'!DQ37&gt;0, ('Attainment 25+ by race &amp; gender'!ZR38/'Pop 25+ by race &amp; gender'!DQ37)*100,"—")</f>
        <v>—</v>
      </c>
      <c r="AV39" s="470">
        <f>('Attainment 25+ by race &amp; gender'!XV38/'Pop 25+ by race &amp; gender'!BC37)*100</f>
        <v>7.755050821934999</v>
      </c>
      <c r="AW39" s="470">
        <f>('Attainment 25+ by race &amp; gender'!ZS38/'Pop 25+ by race &amp; gender'!DS37)*100</f>
        <v>12.820929476763082</v>
      </c>
      <c r="AX39" s="468">
        <f>('Attainment 25+ by race &amp; gender'!GR38/'Pop 25+ by race &amp; gender'!CV37)*100</f>
        <v>92.8</v>
      </c>
      <c r="AY39" s="470">
        <f>('Attainment 25+ by race &amp; gender'!HQ38/'Pop 25+ by race &amp; gender'!DU37)*100</f>
        <v>94.856116896066723</v>
      </c>
      <c r="AZ39" s="468" t="str">
        <f>IF('Pop 25+ by race &amp; gender'!CW37&gt;0,('Attainment 25+ by race &amp; gender'!GS38/'Pop 25+ by race &amp; gender'!CW37)*100,"—")</f>
        <v>—</v>
      </c>
      <c r="BA39" s="464" t="str">
        <f>IF('Pop 25+ by race &amp; gender'!DV37&gt;0, ('Attainment 25+ by race &amp; gender'!HR38/'Pop 25+ by race &amp; gender'!DV37)*100,"—")</f>
        <v>—</v>
      </c>
      <c r="BB39" s="470">
        <f>('Attainment 25+ by race &amp; gender'!GT38/'Pop 25+ by race &amp; gender'!CY37)*100</f>
        <v>75.999999999999986</v>
      </c>
      <c r="BC39" s="470">
        <f>('Attainment 25+ by race &amp; gender'!HS38/'Pop 25+ by race &amp; gender'!DX37)*100</f>
        <v>75.544961367746183</v>
      </c>
      <c r="BD39" s="470">
        <f>('Attainment 25+ by race &amp; gender'!YW38/'Pop 25+ by race &amp; gender'!CV37)*100</f>
        <v>24.9</v>
      </c>
      <c r="BE39" s="470">
        <f>('Attainment 25+ by race &amp; gender'!ZV38/'Pop 25+ by race &amp; gender'!DU37)*100</f>
        <v>28.485667248573744</v>
      </c>
      <c r="BF39" s="470" t="str">
        <f>IF( 'Pop 25+ by race &amp; gender'!CW37&gt;0, ('Attainment 25+ by race &amp; gender'!YX38/'Pop 25+ by race &amp; gender'!CW37)*100,"—")</f>
        <v>—</v>
      </c>
      <c r="BG39" s="464" t="str">
        <f>IF('Pop 25+ by race &amp; gender'!DV37&gt;0, ('Attainment 25+ by race &amp; gender'!ZW38/'Pop 25+ by race &amp; gender'!DV37)*100,"—")</f>
        <v>—</v>
      </c>
      <c r="BH39" s="470">
        <f>('Attainment 25+ by race &amp; gender'!YY38/'Pop 25+ by race &amp; gender'!CY37)*100</f>
        <v>11.4</v>
      </c>
      <c r="BI39" s="470">
        <f>('Attainment 25+ by race &amp; gender'!ZX38/'Pop 25+ by race &amp; gender'!DX37)*100</f>
        <v>11.027453559099129</v>
      </c>
      <c r="BJ39" s="468">
        <f>('Attainment 25+ by race &amp; gender'!GW38/'Pop 25+ by race &amp; gender'!DA37)*100</f>
        <v>93.449826282444306</v>
      </c>
      <c r="BK39" s="470">
        <f>('Attainment 25+ by race &amp; gender'!IA38/'Pop 25+ by race &amp; gender'!EE37)*100</f>
        <v>94.602295351779915</v>
      </c>
      <c r="BL39" s="468">
        <f>IF('Pop 25+ by race &amp; gender'!DB37&gt;0,('Attainment 25+ by race &amp; gender'!GX38/'Pop 25+ by race &amp; gender'!DB37)*100,"—")</f>
        <v>85.926181441876508</v>
      </c>
      <c r="BM39" s="464" t="str">
        <f>IF('Pop 25+ by race &amp; gender'!EF37&gt;0, ('Attainment 25+ by race &amp; gender'!IB38/'Pop 25+ by race &amp; gender'!EF37)*100,"—")</f>
        <v>—</v>
      </c>
      <c r="BN39" s="470">
        <f>('Attainment 25+ by race &amp; gender'!GY38/'Pop 25+ by race &amp; gender'!DD37)*100</f>
        <v>76.536453645364531</v>
      </c>
      <c r="BO39" s="470">
        <f>('Attainment 25+ by race &amp; gender'!IC38/'Pop 25+ by race &amp; gender'!EH37)*100</f>
        <v>75.410410889037649</v>
      </c>
      <c r="BP39" s="470">
        <f>('Attainment 25+ by race &amp; gender'!ZB38/'Pop 25+ by race &amp; gender'!DA37)*100</f>
        <v>25.772411969079478</v>
      </c>
      <c r="BQ39" s="470">
        <f>('Attainment 25+ by race &amp; gender'!AAF38/'Pop 25+ by race &amp; gender'!EE37)*100</f>
        <v>29.067081965472386</v>
      </c>
      <c r="BR39" s="470">
        <f>IF( 'Pop 25+ by race &amp; gender'!DB37&gt;0, ('Attainment 25+ by race &amp; gender'!ZC38/'Pop 25+ by race &amp; gender'!DB37)*100,"—")</f>
        <v>12.107623318385651</v>
      </c>
      <c r="BS39" s="464" t="str">
        <f>IF('Pop 25+ by race &amp; gender'!EF37&gt;0, ('Attainment 25+ by race &amp; gender'!AAG38/'Pop 25+ by race &amp; gender'!EF37)*100,"—")</f>
        <v>—</v>
      </c>
      <c r="BT39" s="470">
        <f>('Attainment 25+ by race &amp; gender'!ZD38/'Pop 25+ by race &amp; gender'!DD37)*100</f>
        <v>12.536453645364537</v>
      </c>
      <c r="BU39" s="470">
        <f>('Attainment 25+ by race &amp; gender'!AAH38/'Pop 25+ by race &amp; gender'!EH37)*100</f>
        <v>14.18826304548787</v>
      </c>
      <c r="BV39" s="468">
        <f>('Attainment 25+ by race &amp; gender'!HN38/'Pop 25+ by race &amp; gender'!DR37)*100</f>
        <v>161.22086570477248</v>
      </c>
      <c r="BW39" s="470" t="e">
        <f>('Attainment 25+ by race &amp; gender'!JB38/'Pop 25+ by race &amp; gender'!EQ37)*100</f>
        <v>#VALUE!</v>
      </c>
      <c r="BX39" s="468">
        <f>IF('Pop 25+ by race &amp; gender'!DS37&gt;0,('Attainment 25+ by race &amp; gender'!HO38/'Pop 25+ by race &amp; gender'!DS37)*100,"—")</f>
        <v>38.089047773805653</v>
      </c>
      <c r="BY39" s="464" t="e">
        <f>IF('Pop 25+ by race &amp; gender'!ER37&gt;0, ('Attainment 25+ by race &amp; gender'!JC38/'Pop 25+ by race &amp; gender'!ER37)*100,"—")</f>
        <v>#VALUE!</v>
      </c>
      <c r="BZ39" s="470">
        <f>('Attainment 25+ by race &amp; gender'!HP38/'Pop 25+ by race &amp; gender'!DU37)*100</f>
        <v>106.46940309200272</v>
      </c>
      <c r="CA39" s="470">
        <f>('Attainment 25+ by race &amp; gender'!JD38/'Pop 25+ by race &amp; gender'!ET37)*100</f>
        <v>25.877073416235032</v>
      </c>
      <c r="CB39" s="470">
        <f>('Attainment 25+ by race &amp; gender'!ZS38/'Pop 25+ by race &amp; gender'!DR37)*100</f>
        <v>29.189789123196448</v>
      </c>
      <c r="CC39" s="470">
        <f>('Attainment 25+ by race &amp; gender'!ABB38/'Pop 25+ by race &amp; gender'!EQ37)*100</f>
        <v>39.26930958942831</v>
      </c>
      <c r="CD39" s="470">
        <f>IF( 'Pop 25+ by race &amp; gender'!DS37&gt;0, ('Attainment 25+ by race &amp; gender'!ZT38/'Pop 25+ by race &amp; gender'!DS37)*100,"—")</f>
        <v>5.7491062723431918</v>
      </c>
      <c r="CE39" s="464">
        <f>IF('Pop 25+ by race &amp; gender'!ER37&gt;0, ('Attainment 25+ by race &amp; gender'!ABC38/'Pop 25+ by race &amp; gender'!ER37)*100,"—")</f>
        <v>0</v>
      </c>
      <c r="CF39" s="470">
        <f>('Attainment 25+ by race &amp; gender'!ZU38/'Pop 25+ by race &amp; gender'!DU37)*100</f>
        <v>30.971784817196379</v>
      </c>
      <c r="CG39" s="470">
        <f>('Attainment 25+ by race &amp; gender'!ABD38/'Pop 25+ by race &amp; gender'!ET37)*100</f>
        <v>6.6193541815828816</v>
      </c>
      <c r="CH39" s="468">
        <f>('Attainment 25+ by race &amp; gender'!HG38/'Pop 25+ by race &amp; gender'!DK37)*100</f>
        <v>94.656890749089058</v>
      </c>
      <c r="CI39" s="452">
        <f>('Attainment 25+ by race &amp; gender'!IK38/'Pop 25+ by race &amp; gender'!EO37)*100</f>
        <v>95.734356618348144</v>
      </c>
      <c r="CJ39" s="468">
        <f>IF('Pop 25+ by race &amp; gender'!DL37&gt;0,('Attainment 25+ by race &amp; gender'!HH38/'Pop 25+ by race &amp; gender'!DL37)*100,"—")</f>
        <v>89.817554240631154</v>
      </c>
      <c r="CK39" s="668" t="str">
        <f>IF('Pop 25+ by race &amp; gender'!EP37&gt;0, ('Attainment 25+ by race &amp; gender'!IL38/'Pop 25+ by race &amp; gender'!EP37)*100,"—")</f>
        <v>—</v>
      </c>
      <c r="CL39" s="470">
        <f>('Attainment 25+ by race &amp; gender'!HI38/'Pop 25+ by race &amp; gender'!DN37)*100</f>
        <v>71.162760543291512</v>
      </c>
      <c r="CM39" s="470">
        <f>('Attainment 25+ by race &amp; gender'!IM38/'Pop 25+ by race &amp; gender'!ER37)*100</f>
        <v>81.282271944922542</v>
      </c>
      <c r="CN39" s="470">
        <f>('Attainment 25+ by race &amp; gender'!ZL38/'Pop 25+ by race &amp; gender'!DK37)*100</f>
        <v>28.379070380094539</v>
      </c>
      <c r="CO39" s="470">
        <f>('Attainment 25+ by race &amp; gender'!AAP38/'Pop 25+ by race &amp; gender'!EO37)*100</f>
        <v>30.809738810020448</v>
      </c>
      <c r="CP39" s="470">
        <f>IF( 'Pop 25+ by race &amp; gender'!DL37&gt;0, ('Attainment 25+ by race &amp; gender'!ZM38/'Pop 25+ by race &amp; gender'!DL37)*100,"—")</f>
        <v>17.751479289940828</v>
      </c>
      <c r="CQ39" s="464" t="str">
        <f>IF('Pop 25+ by race &amp; gender'!EP37&gt;0, ('Attainment 25+ by race &amp; gender'!AAQ38/'Pop 25+ by race &amp; gender'!EP37)*100,"—")</f>
        <v>—</v>
      </c>
      <c r="CR39" s="470">
        <f>('Attainment 25+ by race &amp; gender'!ZN38/'Pop 25+ by race &amp; gender'!DN37)*100</f>
        <v>10.917695873448086</v>
      </c>
      <c r="CS39" s="470">
        <f>('Attainment 25+ by race &amp; gender'!AAR38/'Pop 25+ by race &amp; gender'!ER37)*100</f>
        <v>11.313385409770952</v>
      </c>
      <c r="CT39" s="350">
        <f>IFERROR(('Attainment 25+ by race &amp; gender'!HQ38/'Pop 25+ by race &amp; gender'!DU37)*100,"-")</f>
        <v>94.856116896066723</v>
      </c>
      <c r="CU39" s="452">
        <f>IFERROR(('Attainment 25+ by race &amp; gender'!IP38/'Pop 25+ by race &amp; gender'!ET37)*100,"-")</f>
        <v>95.41024957385811</v>
      </c>
      <c r="CV39" s="350" t="str">
        <f>IFERROR(('Attainment 25+ by race &amp; gender'!HR38/'Pop 25+ by race &amp; gender'!DV37)*100,"-")</f>
        <v>-</v>
      </c>
      <c r="CW39" s="452" t="str">
        <f>IFERROR(('Attainment 25+ by race &amp; gender'!IQ38/'Pop 25+ by race &amp; gender'!EU37)*100, "-")</f>
        <v>-</v>
      </c>
      <c r="CX39" s="452">
        <f>IFERROR(('Attainment 25+ by race &amp; gender'!HS38/'Pop 25+ by race &amp; gender'!DX37)*100, "-")</f>
        <v>75.544961367746183</v>
      </c>
      <c r="CY39" s="452">
        <f>IFERROR(('Attainment 25+ by race &amp; gender'!IR38/'Pop 25+ by race &amp; gender'!EW37)*100, "-")</f>
        <v>76.848147503913722</v>
      </c>
      <c r="CZ39" s="452" t="str">
        <f>IFERROR(('Attainment 25+ by race &amp; gender'!HU38/'Pop 25+ by race &amp; gender'!DY37)*100, "-")</f>
        <v>-</v>
      </c>
      <c r="DA39" s="452" t="str">
        <f>IFERROR(('Attainment 25+ by race &amp; gender'!IT38/'Pop 25+ by race &amp; gender'!EX37)*100, "-")</f>
        <v>-</v>
      </c>
      <c r="DB39" s="452" t="str">
        <f>IFERROR(('Attainment 25+ by race &amp; gender'!HV38/'Pop 25+ by race &amp; gender'!DZ37)*100, "-")</f>
        <v>-</v>
      </c>
      <c r="DC39" s="452" t="str">
        <f>IFERROR(('Attainment 25+ by race &amp; gender'!IU38/'Pop 25+ by race &amp; gender'!EY37)*100, "-")</f>
        <v>-</v>
      </c>
      <c r="DD39" s="452">
        <f>IFERROR(('Attainment 25+ by race &amp; gender'!HW38/'Pop 25+ by race &amp; gender'!EA37)*100, "-")</f>
        <v>85.030353200882999</v>
      </c>
      <c r="DE39" s="452">
        <f>IFERROR(('Attainment 25+ by race &amp; gender'!IV38/'Pop 25+ by race &amp; gender'!EZ37)*100, "-")</f>
        <v>82.920920574493863</v>
      </c>
      <c r="DF39" s="452">
        <f>IFERROR(('Attainment 25+ by race &amp; gender'!HX38/'Pop 25+ by race &amp; gender'!EB37)*100, "-")</f>
        <v>93.876140447884993</v>
      </c>
      <c r="DG39" s="452">
        <f>IFERROR(('Attainment 25+ by race &amp; gender'!IW38/'Pop 25+ by race &amp; gender'!FA37)*100, "-")</f>
        <v>86.367542791663681</v>
      </c>
      <c r="DH39" s="452" t="str">
        <f>IFERROR(('Attainment 25+ by race &amp; gender'!HY38/'Pop 25+ by race &amp; gender'!EC37)*100, "-")</f>
        <v>-</v>
      </c>
      <c r="DI39" s="452">
        <f>IFERROR(('Attainment 25+ by race &amp; gender'!IX38/'Pop 25+ by race &amp; gender'!FB37)*100, "-")</f>
        <v>0</v>
      </c>
      <c r="DJ39" s="452">
        <f>IFERROR(('Attainment 25+ by race &amp; gender'!ZV38/'Pop 25+ by race &amp; gender'!DU37)*100, "-")</f>
        <v>28.485667248573744</v>
      </c>
      <c r="DK39" s="452">
        <f>IFERROR(('Attainment 25+ by race &amp; gender'!AAU38/'Pop 25+ by race &amp; gender'!ET37)*100, "-")</f>
        <v>30.58845028144837</v>
      </c>
      <c r="DL39" s="452" t="str">
        <f>IFERROR(('Attainment 25+ by race &amp; gender'!ZW38/'Pop 25+ by race &amp; gender'!DV37)*100, "-")</f>
        <v>-</v>
      </c>
      <c r="DM39" s="452" t="str">
        <f>IFERROR(('Attainment 25+ by race &amp; gender'!AAV38/'Pop 25+ by race &amp; gender'!EU37)*100, "-")</f>
        <v>-</v>
      </c>
      <c r="DN39" s="452">
        <f>IFERROR(('Attainment 25+ by race &amp; gender'!ZX38/'Pop 25+ by race &amp; gender'!DX37)*100, "-")</f>
        <v>11.027453559099129</v>
      </c>
      <c r="DO39" s="452">
        <f>IFERROR(('Attainment 25+ by race &amp; gender'!AAW38/'Pop 25+ by race &amp; gender'!EW37)*100, "-")</f>
        <v>16.991360816373863</v>
      </c>
      <c r="DP39" s="452" t="str">
        <f>IFERROR(('Attainment 25+ by race &amp; gender'!ZZ38/'Pop 25+ by race &amp; gender'!DY37)*100, "-")</f>
        <v>-</v>
      </c>
      <c r="DQ39" s="452" t="str">
        <f>IFERROR(('Attainment 25+ by race &amp; gender'!AAY38/'Pop 25+ by race &amp; gender'!EX37)*100, "-")</f>
        <v>-</v>
      </c>
      <c r="DR39" s="452" t="str">
        <f>IFERROR(('Attainment 25+ by race &amp; gender'!AAA38/'Pop 25+ by race &amp; gender'!DZ37)*100, "-")</f>
        <v>-</v>
      </c>
      <c r="DS39" s="452" t="str">
        <f>IFERROR(('Attainment 25+ by race &amp; gender'!AAZ38/'Pop 25+ by race &amp; gender'!EY37)*100, "-")</f>
        <v>-</v>
      </c>
      <c r="DT39" s="452">
        <f>IFERROR(('Attainment 25+ by race &amp; gender'!AAB38/'Pop 25+ by race &amp; gender'!EA37)*100, "-")</f>
        <v>14.914459161147903</v>
      </c>
      <c r="DU39" s="452">
        <f>IFERROR(('Attainment 25+ by race &amp; gender'!ABA38/'Pop 25+ by race &amp; gender'!EZ37)*100, "-")</f>
        <v>13.081848070600449</v>
      </c>
      <c r="DV39" s="452">
        <f>IFERROR(('Attainment 25+ by race &amp; gender'!AAC38/'Pop 25+ by race &amp; gender'!EB37)*100, "-")</f>
        <v>18.786286978158696</v>
      </c>
      <c r="DW39" s="452">
        <f>IFERROR(('Attainment 25+ by race &amp; gender'!ABB38/'Pop 25+ by race &amp; gender'!FA37)*100, "-")</f>
        <v>19.899018835493806</v>
      </c>
      <c r="DX39" s="452" t="str">
        <f>IFERROR(('Attainment 25+ by race &amp; gender'!AAD38/'Pop 25+ by race &amp; gender'!EC37)*100, "-")</f>
        <v>-</v>
      </c>
      <c r="DY39" s="452">
        <f>IFERROR(('Attainment 25+ by race &amp; gender'!ABC38/'Pop 25+ by race &amp; gender'!FB37)*100, "-")</f>
        <v>0</v>
      </c>
    </row>
    <row r="40" spans="1:129">
      <c r="A40" s="141" t="s">
        <v>38</v>
      </c>
      <c r="B40" s="351">
        <f>('Attainment 25+ by race &amp; gender'!FS39/'Pop 25+ by race &amp; gender'!AT38)*100</f>
        <v>85.272768798360545</v>
      </c>
      <c r="C40" s="447">
        <f>('Attainment 25+ by race &amp; gender'!GR39/'Pop 25+ by race &amp; gender'!CV38)*100</f>
        <v>89.965191196468837</v>
      </c>
      <c r="D40" s="352">
        <f>('Attainment 25+ by race &amp; gender'!FT39/'Pop 25+ by race &amp; gender'!AZ38)*100</f>
        <v>72.06076627279495</v>
      </c>
      <c r="E40" s="351">
        <f>IF('Pop 25+ by race &amp; gender'!CW38&gt;0,('Attainment 25+ by race &amp; gender'!GS39/'Pop 25+ by race &amp; gender'!CW38)*100,"—")</f>
        <v>82.264442390978303</v>
      </c>
      <c r="F40" s="352">
        <f>('Attainment 25+ by race &amp; gender'!FU39/'Pop 25+ by race &amp; gender'!BC38)*100</f>
        <v>50.652241681120955</v>
      </c>
      <c r="G40" s="351">
        <f>('Attainment 25+ by race &amp; gender'!GT39/'Pop 25+ by race &amp; gender'!CY38)*100</f>
        <v>61.975056993072499</v>
      </c>
      <c r="H40" s="352">
        <f>('Attainment 25+ by race &amp; gender'!XM39/'Pop 25+ by race &amp; gender'!AT38)*100</f>
        <v>23.686332730400512</v>
      </c>
      <c r="I40" s="351">
        <f>('Attainment 25+ by race &amp; gender'!YW39/'Pop 25+ by race &amp; gender'!CV38)*100</f>
        <v>27.664365073555736</v>
      </c>
      <c r="J40" s="352">
        <f>('Attainment 25+ by race &amp; gender'!XS39/'Pop 25+ by race &amp; gender'!AZ38)*100</f>
        <v>13.267898437163893</v>
      </c>
      <c r="K40" s="351">
        <f>IF('Pop 25+ by race &amp; gender'!CW38&gt;0,('Attainment 25+ by race &amp; gender'!YX39/'Pop 25+ by race &amp; gender'!CW38)*100,"—")</f>
        <v>16.187563163655703</v>
      </c>
      <c r="L40" s="352">
        <f>('Attainment 25+ by race &amp; gender'!XV39/'Pop 25+ by race &amp; gender'!BC38)*100</f>
        <v>10.74500227804999</v>
      </c>
      <c r="M40" s="436">
        <f>('Attainment 25+ by race &amp; gender'!YY39/'Pop 25+ by race &amp; gender'!CY38)*100</f>
        <v>12.837843528772661</v>
      </c>
      <c r="N40" s="351">
        <f>('Attainment 25+ by race &amp; gender'!FS39/'Pop 25+ by race &amp; gender'!AT38)*100</f>
        <v>85.272768798360545</v>
      </c>
      <c r="O40" s="447">
        <f>('Attainment 25+ by race &amp; gender'!GW39/'Pop 25+ by race &amp; gender'!DA38)*100</f>
        <v>91.353607310279102</v>
      </c>
      <c r="P40" s="352">
        <f>('Attainment 25+ by race &amp; gender'!FT39/'Pop 25+ by race &amp; gender'!AZ38)*100</f>
        <v>72.06076627279495</v>
      </c>
      <c r="Q40" s="351">
        <f>('Attainment 25+ by race &amp; gender'!GX39/'Pop 25+ by race &amp; gender'!DB38)*100</f>
        <v>82.797733216243927</v>
      </c>
      <c r="R40" s="352">
        <f>('Attainment 25+ by race &amp; gender'!FU39/'Pop 25+ by race &amp; gender'!BC38)*100</f>
        <v>50.652241681120955</v>
      </c>
      <c r="S40" s="351">
        <f>('Attainment 25+ by race &amp; gender'!GY39/'Pop 25+ by race &amp; gender'!DD38)*100</f>
        <v>62.7793328648645</v>
      </c>
      <c r="T40" s="352">
        <f>('Attainment 25+ by race &amp; gender'!XM39/'Pop 25+ by race &amp; gender'!AT38)*100</f>
        <v>23.686332730400512</v>
      </c>
      <c r="U40" s="351">
        <f>('Attainment 25+ by race &amp; gender'!ZB39/'Pop 25+ by race &amp; gender'!DA38)*100</f>
        <v>28.62867056358877</v>
      </c>
      <c r="V40" s="352">
        <f>('Attainment 25+ by race &amp; gender'!XS39/'Pop 25+ by race &amp; gender'!AZ38)*100</f>
        <v>13.267898437163893</v>
      </c>
      <c r="W40" s="351">
        <f>('Attainment 25+ by race &amp; gender'!ZC39/'Pop 25+ by race &amp; gender'!DB38)*100</f>
        <v>16.494138913605251</v>
      </c>
      <c r="X40" s="352">
        <f>('Attainment 25+ by race &amp; gender'!XV39/'Pop 25+ by race &amp; gender'!BC38)*100</f>
        <v>10.74500227804999</v>
      </c>
      <c r="Y40" s="436">
        <f>('Attainment 25+ by race &amp; gender'!ZD39/'Pop 25+ by race &amp; gender'!DD38)*100</f>
        <v>13.234466428435837</v>
      </c>
      <c r="Z40" s="351">
        <f>('Attainment 25+ by race &amp; gender'!FS39/'Pop 25+ by race &amp; gender'!AT38)*100</f>
        <v>85.272768798360545</v>
      </c>
      <c r="AA40" s="447">
        <f>('Attainment 25+ by race &amp; gender'!HB39/'Pop 25+ by race &amp; gender'!DF38)*100</f>
        <v>91.634894675643423</v>
      </c>
      <c r="AB40" s="352">
        <f>('Attainment 25+ by race &amp; gender'!FT39/'Pop 25+ by race &amp; gender'!AZ38)*100</f>
        <v>72.06076627279495</v>
      </c>
      <c r="AC40" s="351">
        <f>('Attainment 25+ by race &amp; gender'!HC39/'Pop 25+ by race &amp; gender'!DG38)*100</f>
        <v>83.350571633930755</v>
      </c>
      <c r="AD40" s="352">
        <f>('Attainment 25+ by race &amp; gender'!FU39/'Pop 25+ by race &amp; gender'!BC38)*100</f>
        <v>50.652241681120955</v>
      </c>
      <c r="AE40" s="351">
        <f>('Attainment 25+ by race &amp; gender'!HD39/'Pop 25+ by race &amp; gender'!DI38)*100</f>
        <v>63.352905676222626</v>
      </c>
      <c r="AF40" s="352">
        <f>('Attainment 25+ by race &amp; gender'!XM39/'Pop 25+ by race &amp; gender'!AT38)*100</f>
        <v>23.686332730400512</v>
      </c>
      <c r="AG40" s="351">
        <f>('Attainment 25+ by race &amp; gender'!ZG39/'Pop 25+ by race &amp; gender'!DF38)*100</f>
        <v>29.121108318562953</v>
      </c>
      <c r="AH40" s="352">
        <f>('Attainment 25+ by race &amp; gender'!XS39/'Pop 25+ by race &amp; gender'!AZ38)*100</f>
        <v>13.267898437163893</v>
      </c>
      <c r="AI40" s="351">
        <f>('Attainment 25+ by race &amp; gender'!ZH39/'Pop 25+ by race &amp; gender'!DG38)*100</f>
        <v>16.857275542392252</v>
      </c>
      <c r="AJ40" s="352">
        <f>('Attainment 25+ by race &amp; gender'!XV39/'Pop 25+ by race &amp; gender'!BC38)*100</f>
        <v>10.74500227804999</v>
      </c>
      <c r="AK40" s="453">
        <f>('Attainment 25+ by race &amp; gender'!ZI39/'Pop 25+ by race &amp; gender'!DI38)*100</f>
        <v>13.246897262830748</v>
      </c>
      <c r="AL40" s="352">
        <f>('Attainment 25+ by race &amp; gender'!FS39/'Pop 25+ by race &amp; gender'!AT38)*100</f>
        <v>85.272768798360545</v>
      </c>
      <c r="AM40" s="453">
        <f>('Attainment 25+ by race &amp; gender'!HL39/'Pop 25+ by race &amp; gender'!DP38)*100</f>
        <v>92.440415906071181</v>
      </c>
      <c r="AN40" s="352">
        <v>72.06076627279495</v>
      </c>
      <c r="AO40" s="453">
        <f>('Attainment 25+ by race &amp; gender'!HM39/'Pop 25+ by race &amp; gender'!DQ38)*100</f>
        <v>84.968408311065787</v>
      </c>
      <c r="AP40" s="453">
        <f>('Attainment 25+ by race &amp; gender'!FU39/'Pop 25+ by race &amp; gender'!BC38)*100</f>
        <v>50.652241681120955</v>
      </c>
      <c r="AQ40" s="453">
        <f>('Attainment 25+ by race &amp; gender'!HN39/'Pop 25+ by race &amp; gender'!DS38)*100</f>
        <v>65.693368908373301</v>
      </c>
      <c r="AR40" s="453">
        <f>('Attainment 25+ by race &amp; gender'!XM39/'Pop 25+ by race &amp; gender'!AT38)*100</f>
        <v>23.686332730400512</v>
      </c>
      <c r="AS40" s="453">
        <f>('Attainment 25+ by race &amp; gender'!ZQ39/'Pop 25+ by race &amp; gender'!DP38)*100</f>
        <v>30.633593033255764</v>
      </c>
      <c r="AT40" s="453">
        <f>('Attainment 25+ by race &amp; gender'!XS39/'Pop 25+ by race &amp; gender'!AZ38)*100</f>
        <v>13.267898437163893</v>
      </c>
      <c r="AU40" s="453">
        <f>('Attainment 25+ by race &amp; gender'!ZR39/'Pop 25+ by race &amp; gender'!DQ38)*100</f>
        <v>17.763521484767512</v>
      </c>
      <c r="AV40" s="453">
        <f>('Attainment 25+ by race &amp; gender'!XV39/'Pop 25+ by race &amp; gender'!BC38)*100</f>
        <v>10.74500227804999</v>
      </c>
      <c r="AW40" s="453">
        <f>('Attainment 25+ by race &amp; gender'!ZS39/'Pop 25+ by race &amp; gender'!DS38)*100</f>
        <v>14.083658240053662</v>
      </c>
      <c r="AX40" s="352">
        <f>('Attainment 25+ by race &amp; gender'!GR39/'Pop 25+ by race &amp; gender'!CV38)*100</f>
        <v>89.965191196468837</v>
      </c>
      <c r="AY40" s="453">
        <f>('Attainment 25+ by race &amp; gender'!HQ39/'Pop 25+ by race &amp; gender'!DU38)*100</f>
        <v>92.673834295032805</v>
      </c>
      <c r="AZ40" s="352">
        <f>('Attainment 25+ by race &amp; gender'!GS39/'Pop 25+ by race &amp; gender'!CW38)*100</f>
        <v>82.264442390978303</v>
      </c>
      <c r="BA40" s="453">
        <f>('Attainment 25+ by race &amp; gender'!HR39/'Pop 25+ by race &amp; gender'!DV38)*100</f>
        <v>85.427142754581197</v>
      </c>
      <c r="BB40" s="453">
        <f>('Attainment 25+ by race &amp; gender'!GT39/'Pop 25+ by race &amp; gender'!CY38)*100</f>
        <v>61.975056993072499</v>
      </c>
      <c r="BC40" s="453">
        <f>('Attainment 25+ by race &amp; gender'!HS39/'Pop 25+ by race &amp; gender'!DX38)*100</f>
        <v>67.379564581194373</v>
      </c>
      <c r="BD40" s="453">
        <f>('Attainment 25+ by race &amp; gender'!YW39/'Pop 25+ by race &amp; gender'!CV38)*100</f>
        <v>27.664365073555736</v>
      </c>
      <c r="BE40" s="453">
        <f>('Attainment 25+ by race &amp; gender'!ZV39/'Pop 25+ by race &amp; gender'!DU38)*100</f>
        <v>31.429317187413595</v>
      </c>
      <c r="BF40" s="453">
        <f>('Attainment 25+ by race &amp; gender'!YX39/'Pop 25+ by race &amp; gender'!CW38)*100</f>
        <v>16.187563163655703</v>
      </c>
      <c r="BG40" s="453">
        <f>('Attainment 25+ by race &amp; gender'!ZW39/'Pop 25+ by race &amp; gender'!DV38)*100</f>
        <v>18.352270799182527</v>
      </c>
      <c r="BH40" s="453">
        <f>('Attainment 25+ by race &amp; gender'!YY39/'Pop 25+ by race &amp; gender'!CY38)*100</f>
        <v>12.837843528772661</v>
      </c>
      <c r="BI40" s="453">
        <f>('Attainment 25+ by race &amp; gender'!ZX39/'Pop 25+ by race &amp; gender'!DX38)*100</f>
        <v>15.138347589821757</v>
      </c>
      <c r="BJ40" s="352">
        <f>('Attainment 25+ by race &amp; gender'!GW39/'Pop 25+ by race &amp; gender'!DA38)*100</f>
        <v>91.353607310279102</v>
      </c>
      <c r="BK40" s="453">
        <f>('Attainment 25+ by race &amp; gender'!IA39/'Pop 25+ by race &amp; gender'!EE38)*100</f>
        <v>93.010949770571941</v>
      </c>
      <c r="BL40" s="352">
        <f>('Attainment 25+ by race &amp; gender'!GX39/'Pop 25+ by race &amp; gender'!DB38)*100</f>
        <v>82.797733216243927</v>
      </c>
      <c r="BM40" s="453">
        <f>('Attainment 25+ by race &amp; gender'!IB39/'Pop 25+ by race &amp; gender'!EF38)*100</f>
        <v>85.61890444415053</v>
      </c>
      <c r="BN40" s="453">
        <f>('Attainment 25+ by race &amp; gender'!GY39/'Pop 25+ by race &amp; gender'!DD38)*100</f>
        <v>62.7793328648645</v>
      </c>
      <c r="BO40" s="453">
        <f>('Attainment 25+ by race &amp; gender'!IC39/'Pop 25+ by race &amp; gender'!EH38)*100</f>
        <v>67.708614694367284</v>
      </c>
      <c r="BP40" s="453">
        <f>('Attainment 25+ by race &amp; gender'!ZB39/'Pop 25+ by race &amp; gender'!DA38)*100</f>
        <v>28.62867056358877</v>
      </c>
      <c r="BQ40" s="453">
        <f>('Attainment 25+ by race &amp; gender'!AAF39/'Pop 25+ by race &amp; gender'!EE38)*100</f>
        <v>32.242678100647041</v>
      </c>
      <c r="BR40" s="453">
        <f>('Attainment 25+ by race &amp; gender'!ZC39/'Pop 25+ by race &amp; gender'!DB38)*100</f>
        <v>16.494138913605251</v>
      </c>
      <c r="BS40" s="453">
        <f>('Attainment 25+ by race &amp; gender'!AAG39/'Pop 25+ by race &amp; gender'!EF38)*100</f>
        <v>18.558459358733483</v>
      </c>
      <c r="BT40" s="453">
        <f>('Attainment 25+ by race &amp; gender'!ZD39/'Pop 25+ by race &amp; gender'!DD38)*100</f>
        <v>13.234466428435837</v>
      </c>
      <c r="BU40" s="453">
        <f>('Attainment 25+ by race &amp; gender'!AAH39/'Pop 25+ by race &amp; gender'!EH38)*100</f>
        <v>15.131691180024623</v>
      </c>
      <c r="BV40" s="352">
        <f>('Attainment 25+ by race &amp; gender'!HN39/'Pop 25+ by race &amp; gender'!DR38)*100</f>
        <v>57.475956193063084</v>
      </c>
      <c r="BW40" s="453" t="e">
        <f>('Attainment 25+ by race &amp; gender'!JB39/'Pop 25+ by race &amp; gender'!EQ38)*100</f>
        <v>#VALUE!</v>
      </c>
      <c r="BX40" s="352">
        <f>('Attainment 25+ by race &amp; gender'!HO39/'Pop 25+ by race &amp; gender'!DS38)*100</f>
        <v>89.463439759000067</v>
      </c>
      <c r="BY40" s="453" t="e">
        <f>('Attainment 25+ by race &amp; gender'!JC39/'Pop 25+ by race &amp; gender'!ER38)*100</f>
        <v>#VALUE!</v>
      </c>
      <c r="BZ40" s="453">
        <f>('Attainment 25+ by race &amp; gender'!HP39/'Pop 25+ by race &amp; gender'!DU38)*100</f>
        <v>112.95588858316039</v>
      </c>
      <c r="CA40" s="453">
        <f>('Attainment 25+ by race &amp; gender'!JD39/'Pop 25+ by race &amp; gender'!ET38)*100</f>
        <v>25.83834669886118</v>
      </c>
      <c r="CB40" s="453">
        <f>('Attainment 25+ by race &amp; gender'!ZS39/'Pop 25+ by race &amp; gender'!DR38)*100</f>
        <v>12.321970048033577</v>
      </c>
      <c r="CC40" s="453">
        <f>('Attainment 25+ by race &amp; gender'!ABB39/'Pop 25+ by race &amp; gender'!EQ38)*100</f>
        <v>21.474394542370081</v>
      </c>
      <c r="CD40" s="453">
        <f>('Attainment 25+ by race &amp; gender'!ZT39/'Pop 25+ by race &amp; gender'!DS38)*100</f>
        <v>39.316520533505816</v>
      </c>
      <c r="CE40" s="453">
        <f>('Attainment 25+ by race &amp; gender'!ABC39/'Pop 25+ by race &amp; gender'!ER38)*100</f>
        <v>7.5948037788968774</v>
      </c>
      <c r="CF40" s="453">
        <f>('Attainment 25+ by race &amp; gender'!ZU39/'Pop 25+ by race &amp; gender'!DU38)*100</f>
        <v>37.452403058701499</v>
      </c>
      <c r="CG40" s="453">
        <f>('Attainment 25+ by race &amp; gender'!ABD39/'Pop 25+ by race &amp; gender'!ET38)*100</f>
        <v>9.0906822227904538</v>
      </c>
      <c r="CH40" s="352">
        <f>('Attainment 25+ by race &amp; gender'!HG39/'Pop 25+ by race &amp; gender'!DK38)*100</f>
        <v>92.240496801346666</v>
      </c>
      <c r="CI40" s="452">
        <f>('Attainment 25+ by race &amp; gender'!IK39/'Pop 25+ by race &amp; gender'!EO38)*100</f>
        <v>93.459166387320451</v>
      </c>
      <c r="CJ40" s="352">
        <f>('Attainment 25+ by race &amp; gender'!HH39/'Pop 25+ by race &amp; gender'!DL38)*100</f>
        <v>84.334406687813185</v>
      </c>
      <c r="CK40" s="453">
        <f>('Attainment 25+ by race &amp; gender'!IL39/'Pop 25+ by race &amp; gender'!EP38)*100</f>
        <v>86.750978414977666</v>
      </c>
      <c r="CL40" s="453">
        <f>('Attainment 25+ by race &amp; gender'!HI39/'Pop 25+ by race &amp; gender'!DN38)*100</f>
        <v>65.323582230477996</v>
      </c>
      <c r="CM40" s="453">
        <f>('Attainment 25+ by race &amp; gender'!IM39/'Pop 25+ by race &amp; gender'!ER38)*100</f>
        <v>71.975798366393136</v>
      </c>
      <c r="CN40" s="453">
        <f>('Attainment 25+ by race &amp; gender'!ZL39/'Pop 25+ by race &amp; gender'!DK38)*100</f>
        <v>30.332473149895783</v>
      </c>
      <c r="CO40" s="453">
        <f>('Attainment 25+ by race &amp; gender'!AAP39/'Pop 25+ by race &amp; gender'!EO38)*100</f>
        <v>33.189943318235713</v>
      </c>
      <c r="CP40" s="453">
        <f>('Attainment 25+ by race &amp; gender'!ZM39/'Pop 25+ by race &amp; gender'!DL38)*100</f>
        <v>17.776937594977259</v>
      </c>
      <c r="CQ40" s="453">
        <f>('Attainment 25+ by race &amp; gender'!AAQ39/'Pop 25+ by race &amp; gender'!EP38)*100</f>
        <v>19.47604474380319</v>
      </c>
      <c r="CR40" s="453">
        <f>('Attainment 25+ by race &amp; gender'!ZN39/'Pop 25+ by race &amp; gender'!DN38)*100</f>
        <v>14.214992764199295</v>
      </c>
      <c r="CS40" s="453">
        <f>('Attainment 25+ by race &amp; gender'!AAR39/'Pop 25+ by race &amp; gender'!ER38)*100</f>
        <v>17.618403192446014</v>
      </c>
      <c r="CT40" s="350">
        <f>IFERROR(('Attainment 25+ by race &amp; gender'!HQ39/'Pop 25+ by race &amp; gender'!DU38)*100,"-")</f>
        <v>92.673834295032805</v>
      </c>
      <c r="CU40" s="452">
        <f>IFERROR(('Attainment 25+ by race &amp; gender'!IP39/'Pop 25+ by race &amp; gender'!ET38)*100,"-")</f>
        <v>94.140135875352243</v>
      </c>
      <c r="CV40" s="350">
        <f>IFERROR(('Attainment 25+ by race &amp; gender'!HR39/'Pop 25+ by race &amp; gender'!DV38)*100,"-")</f>
        <v>85.427142754581197</v>
      </c>
      <c r="CW40" s="452">
        <f>IFERROR(('Attainment 25+ by race &amp; gender'!IQ39/'Pop 25+ by race &amp; gender'!EU38)*100, "-")</f>
        <v>87.401959787548407</v>
      </c>
      <c r="CX40" s="452">
        <f>IFERROR(('Attainment 25+ by race &amp; gender'!HS39/'Pop 25+ by race &amp; gender'!DX38)*100, "-")</f>
        <v>67.379564581194373</v>
      </c>
      <c r="CY40" s="452">
        <f>IFERROR(('Attainment 25+ by race &amp; gender'!IR39/'Pop 25+ by race &amp; gender'!EW38)*100, "-")</f>
        <v>73.529803777799145</v>
      </c>
      <c r="CZ40" s="452">
        <f>IFERROR(('Attainment 25+ by race &amp; gender'!HU39/'Pop 25+ by race &amp; gender'!DY38)*100, "-")</f>
        <v>86.586007634062696</v>
      </c>
      <c r="DA40" s="452">
        <f>IFERROR(('Attainment 25+ by race &amp; gender'!IT39/'Pop 25+ by race &amp; gender'!EX38)*100, "-")</f>
        <v>87.838019138830049</v>
      </c>
      <c r="DB40" s="452" t="str">
        <f>IFERROR(('Attainment 25+ by race &amp; gender'!HV39/'Pop 25+ by race &amp; gender'!DZ38)*100, "-")</f>
        <v>-</v>
      </c>
      <c r="DC40" s="452" t="str">
        <f>IFERROR(('Attainment 25+ by race &amp; gender'!IU39/'Pop 25+ by race &amp; gender'!EY38)*100, "-")</f>
        <v>-</v>
      </c>
      <c r="DD40" s="452">
        <f>IFERROR(('Attainment 25+ by race &amp; gender'!HW39/'Pop 25+ by race &amp; gender'!EA38)*100, "-")</f>
        <v>81.276636887496608</v>
      </c>
      <c r="DE40" s="452">
        <f>IFERROR(('Attainment 25+ by race &amp; gender'!IV39/'Pop 25+ by race &amp; gender'!EZ38)*100, "-")</f>
        <v>80.54368392983686</v>
      </c>
      <c r="DF40" s="452">
        <f>IFERROR(('Attainment 25+ by race &amp; gender'!HX39/'Pop 25+ by race &amp; gender'!EB38)*100, "-")</f>
        <v>84.089101158296344</v>
      </c>
      <c r="DG40" s="452">
        <f>IFERROR(('Attainment 25+ by race &amp; gender'!IW39/'Pop 25+ by race &amp; gender'!FA38)*100, "-")</f>
        <v>84.072740312409948</v>
      </c>
      <c r="DH40" s="452">
        <f>IFERROR(('Attainment 25+ by race &amp; gender'!HY39/'Pop 25+ by race &amp; gender'!EC38)*100, "-")</f>
        <v>60.16781324502589</v>
      </c>
      <c r="DI40" s="452">
        <f>IFERROR(('Attainment 25+ by race &amp; gender'!IX39/'Pop 25+ by race &amp; gender'!FB38)*100, "-")</f>
        <v>68.868932042503957</v>
      </c>
      <c r="DJ40" s="452">
        <f>IFERROR(('Attainment 25+ by race &amp; gender'!ZV39/'Pop 25+ by race &amp; gender'!DU38)*100, "-")</f>
        <v>31.429317187413595</v>
      </c>
      <c r="DK40" s="452">
        <f>IFERROR(('Attainment 25+ by race &amp; gender'!AAU39/'Pop 25+ by race &amp; gender'!ET38)*100, "-")</f>
        <v>34.723698985353771</v>
      </c>
      <c r="DL40" s="452">
        <f>IFERROR(('Attainment 25+ by race &amp; gender'!ZW39/'Pop 25+ by race &amp; gender'!DV38)*100, "-")</f>
        <v>18.352270799182527</v>
      </c>
      <c r="DM40" s="452">
        <f>IFERROR(('Attainment 25+ by race &amp; gender'!AAV39/'Pop 25+ by race &amp; gender'!EU38)*100, "-")</f>
        <v>21.451789084656433</v>
      </c>
      <c r="DN40" s="452">
        <f>IFERROR(('Attainment 25+ by race &amp; gender'!ZX39/'Pop 25+ by race &amp; gender'!DX38)*100, "-")</f>
        <v>15.138347589821757</v>
      </c>
      <c r="DO40" s="452">
        <f>IFERROR(('Attainment 25+ by race &amp; gender'!AAW39/'Pop 25+ by race &amp; gender'!EW38)*100, "-")</f>
        <v>19.388253133063589</v>
      </c>
      <c r="DP40" s="452">
        <f>IFERROR(('Attainment 25+ by race &amp; gender'!ZZ39/'Pop 25+ by race &amp; gender'!DY38)*100, "-")</f>
        <v>57.775508785027576</v>
      </c>
      <c r="DQ40" s="452">
        <f>IFERROR(('Attainment 25+ by race &amp; gender'!AAY39/'Pop 25+ by race &amp; gender'!EX38)*100, "-")</f>
        <v>58.284097329903581</v>
      </c>
      <c r="DR40" s="452" t="str">
        <f>IFERROR(('Attainment 25+ by race &amp; gender'!AAA39/'Pop 25+ by race &amp; gender'!DZ38)*100, "-")</f>
        <v>-</v>
      </c>
      <c r="DS40" s="452" t="str">
        <f>IFERROR(('Attainment 25+ by race &amp; gender'!AAZ39/'Pop 25+ by race &amp; gender'!EY38)*100, "-")</f>
        <v>-</v>
      </c>
      <c r="DT40" s="452">
        <f>IFERROR(('Attainment 25+ by race &amp; gender'!AAB39/'Pop 25+ by race &amp; gender'!EA38)*100, "-")</f>
        <v>15.561356692578412</v>
      </c>
      <c r="DU40" s="452">
        <f>IFERROR(('Attainment 25+ by race &amp; gender'!ABA39/'Pop 25+ by race &amp; gender'!EZ38)*100, "-")</f>
        <v>14.715701960096727</v>
      </c>
      <c r="DV40" s="452">
        <f>IFERROR(('Attainment 25+ by race &amp; gender'!AAC39/'Pop 25+ by race &amp; gender'!EB38)*100, "-")</f>
        <v>27.074436059733525</v>
      </c>
      <c r="DW40" s="452">
        <f>IFERROR(('Attainment 25+ by race &amp; gender'!ABB39/'Pop 25+ by race &amp; gender'!FA38)*100, "-")</f>
        <v>26.899753414057503</v>
      </c>
      <c r="DX40" s="452">
        <f>IFERROR(('Attainment 25+ by race &amp; gender'!AAD39/'Pop 25+ by race &amp; gender'!EC38)*100, "-")</f>
        <v>10.617952089209433</v>
      </c>
      <c r="DY40" s="452">
        <f>IFERROR(('Attainment 25+ by race &amp; gender'!ABC39/'Pop 25+ by race &amp; gender'!FB38)*100, "-")</f>
        <v>16.890400180790689</v>
      </c>
    </row>
    <row r="41" spans="1:129">
      <c r="A41" s="141"/>
      <c r="B41" s="351"/>
      <c r="C41" s="445"/>
      <c r="D41" s="352"/>
      <c r="E41" s="351"/>
      <c r="F41" s="352"/>
      <c r="G41" s="351"/>
      <c r="H41" s="352"/>
      <c r="I41" s="351"/>
      <c r="J41" s="352"/>
      <c r="K41" s="351"/>
      <c r="L41" s="352"/>
      <c r="M41" s="437"/>
      <c r="N41" s="351"/>
      <c r="O41" s="445"/>
      <c r="P41" s="352"/>
      <c r="Q41" s="351"/>
      <c r="R41" s="352"/>
      <c r="S41" s="351"/>
      <c r="T41" s="352"/>
      <c r="U41" s="351"/>
      <c r="V41" s="352"/>
      <c r="W41" s="351"/>
      <c r="X41" s="352"/>
      <c r="Y41" s="437"/>
      <c r="Z41" s="351"/>
      <c r="AA41" s="445"/>
      <c r="AB41" s="352"/>
      <c r="AC41" s="351"/>
      <c r="AD41" s="352"/>
      <c r="AE41" s="351"/>
      <c r="AF41" s="352"/>
      <c r="AG41" s="351"/>
      <c r="AH41" s="352"/>
      <c r="AI41" s="351"/>
      <c r="AJ41" s="352"/>
      <c r="AK41" s="453"/>
      <c r="AL41" s="352"/>
      <c r="AM41" s="453"/>
      <c r="AN41" s="352"/>
      <c r="AO41" s="453"/>
      <c r="AP41" s="453"/>
      <c r="AQ41" s="453"/>
      <c r="AR41" s="453"/>
      <c r="AS41" s="453"/>
      <c r="AT41" s="453"/>
      <c r="AU41" s="453"/>
      <c r="AV41" s="453"/>
      <c r="AW41" s="453"/>
      <c r="AX41" s="352"/>
      <c r="AY41" s="453"/>
      <c r="AZ41" s="352"/>
      <c r="BA41" s="453"/>
      <c r="BB41" s="453"/>
      <c r="BC41" s="453"/>
      <c r="BD41" s="453"/>
      <c r="BE41" s="453"/>
      <c r="BF41" s="453"/>
      <c r="BG41" s="453"/>
      <c r="BH41" s="453"/>
      <c r="BI41" s="453"/>
      <c r="BJ41" s="352"/>
      <c r="BK41" s="453"/>
      <c r="BL41" s="352"/>
      <c r="BM41" s="453"/>
      <c r="BN41" s="453"/>
      <c r="BO41" s="453"/>
      <c r="BP41" s="453"/>
      <c r="BQ41" s="453"/>
      <c r="BR41" s="453"/>
      <c r="BS41" s="453"/>
      <c r="BT41" s="453"/>
      <c r="BU41" s="453"/>
      <c r="BV41" s="352"/>
      <c r="BW41" s="453"/>
      <c r="BX41" s="352"/>
      <c r="BY41" s="453"/>
      <c r="BZ41" s="453"/>
      <c r="CA41" s="453"/>
      <c r="CB41" s="453"/>
      <c r="CC41" s="453"/>
      <c r="CD41" s="453"/>
      <c r="CE41" s="453"/>
      <c r="CF41" s="453"/>
      <c r="CG41" s="453"/>
      <c r="CH41" s="352"/>
      <c r="CI41" s="453"/>
      <c r="CJ41" s="352"/>
      <c r="CK41" s="453"/>
      <c r="CL41" s="453"/>
      <c r="CM41" s="453"/>
      <c r="CN41" s="453"/>
      <c r="CO41" s="453"/>
      <c r="CP41" s="453"/>
      <c r="CQ41" s="453"/>
      <c r="CR41" s="453"/>
      <c r="CS41" s="453"/>
      <c r="CT41" s="350"/>
      <c r="CU41" s="452"/>
      <c r="CV41" s="350" t="str">
        <f>IFERROR(('Attainment 25+ by race &amp; gender'!HR40/'Pop 25+ by race &amp; gender'!DV39)*100,"-")</f>
        <v>-</v>
      </c>
      <c r="CW41" s="452"/>
      <c r="CX41" s="452"/>
      <c r="CY41" s="452"/>
      <c r="CZ41" s="452" t="str">
        <f>IFERROR(('Attainment 25+ by race &amp; gender'!HU40/'Pop 25+ by race &amp; gender'!DY39)*100, "-")</f>
        <v>-</v>
      </c>
      <c r="DA41" s="452" t="str">
        <f>IFERROR(('Attainment 25+ by race &amp; gender'!IT40/'Pop 25+ by race &amp; gender'!EX39)*100, "-")</f>
        <v>-</v>
      </c>
      <c r="DB41" s="452" t="str">
        <f>IFERROR(('Attainment 25+ by race &amp; gender'!HV40/'Pop 25+ by race &amp; gender'!DZ39)*100, "-")</f>
        <v>-</v>
      </c>
      <c r="DC41" s="452" t="str">
        <f>IFERROR(('Attainment 25+ by race &amp; gender'!IU40/'Pop 25+ by race &amp; gender'!EY39)*100, "-")</f>
        <v>-</v>
      </c>
      <c r="DD41" s="452" t="str">
        <f>IFERROR(('Attainment 25+ by race &amp; gender'!HW40/'Pop 25+ by race &amp; gender'!EA39)*100, "-")</f>
        <v>-</v>
      </c>
      <c r="DE41" s="452" t="str">
        <f>IFERROR(('Attainment 25+ by race &amp; gender'!IV40/'Pop 25+ by race &amp; gender'!EZ39)*100, "-")</f>
        <v>-</v>
      </c>
      <c r="DF41" s="452" t="str">
        <f>IFERROR(('Attainment 25+ by race &amp; gender'!HX40/'Pop 25+ by race &amp; gender'!EB39)*100, "-")</f>
        <v>-</v>
      </c>
      <c r="DG41" s="452" t="str">
        <f>IFERROR(('Attainment 25+ by race &amp; gender'!IW40/'Pop 25+ by race &amp; gender'!FA39)*100, "-")</f>
        <v>-</v>
      </c>
      <c r="DH41" s="452" t="str">
        <f>IFERROR(('Attainment 25+ by race &amp; gender'!HY40/'Pop 25+ by race &amp; gender'!EC39)*100, "-")</f>
        <v>-</v>
      </c>
      <c r="DI41" s="452" t="str">
        <f>IFERROR(('Attainment 25+ by race &amp; gender'!IX40/'Pop 25+ by race &amp; gender'!FB39)*100, "-")</f>
        <v>-</v>
      </c>
      <c r="DJ41" s="452" t="str">
        <f>IFERROR(('Attainment 25+ by race &amp; gender'!ZV40/'Pop 25+ by race &amp; gender'!DU39)*100, "-")</f>
        <v>-</v>
      </c>
      <c r="DK41" s="452" t="str">
        <f>IFERROR(('Attainment 25+ by race &amp; gender'!AAU40/'Pop 25+ by race &amp; gender'!ET39)*100, "-")</f>
        <v>-</v>
      </c>
      <c r="DL41" s="452" t="str">
        <f>IFERROR(('Attainment 25+ by race &amp; gender'!ZW40/'Pop 25+ by race &amp; gender'!DV39)*100, "-")</f>
        <v>-</v>
      </c>
      <c r="DM41" s="452" t="str">
        <f>IFERROR(('Attainment 25+ by race &amp; gender'!AAV40/'Pop 25+ by race &amp; gender'!EU39)*100, "-")</f>
        <v>-</v>
      </c>
      <c r="DN41" s="452" t="str">
        <f>IFERROR(('Attainment 25+ by race &amp; gender'!ZX40/'Pop 25+ by race &amp; gender'!DX39)*100, "-")</f>
        <v>-</v>
      </c>
      <c r="DO41" s="452" t="str">
        <f>IFERROR(('Attainment 25+ by race &amp; gender'!AAW40/'Pop 25+ by race &amp; gender'!EW39)*100, "-")</f>
        <v>-</v>
      </c>
      <c r="DP41" s="452" t="str">
        <f>IFERROR(('Attainment 25+ by race &amp; gender'!ZZ40/'Pop 25+ by race &amp; gender'!DY39)*100, "-")</f>
        <v>-</v>
      </c>
      <c r="DQ41" s="452" t="str">
        <f>IFERROR(('Attainment 25+ by race &amp; gender'!AAY40/'Pop 25+ by race &amp; gender'!EX39)*100, "-")</f>
        <v>-</v>
      </c>
      <c r="DR41" s="452" t="str">
        <f>IFERROR(('Attainment 25+ by race &amp; gender'!AAA40/'Pop 25+ by race &amp; gender'!DZ39)*100, "-")</f>
        <v>-</v>
      </c>
      <c r="DS41" s="452" t="str">
        <f>IFERROR(('Attainment 25+ by race &amp; gender'!AAZ40/'Pop 25+ by race &amp; gender'!EY39)*100, "-")</f>
        <v>-</v>
      </c>
      <c r="DT41" s="452" t="str">
        <f>IFERROR(('Attainment 25+ by race &amp; gender'!AAB40/'Pop 25+ by race &amp; gender'!EA39)*100, "-")</f>
        <v>-</v>
      </c>
      <c r="DU41" s="452" t="str">
        <f>IFERROR(('Attainment 25+ by race &amp; gender'!ABA40/'Pop 25+ by race &amp; gender'!EZ39)*100, "-")</f>
        <v>-</v>
      </c>
      <c r="DV41" s="452" t="str">
        <f>IFERROR(('Attainment 25+ by race &amp; gender'!AAC40/'Pop 25+ by race &amp; gender'!EB39)*100, "-")</f>
        <v>-</v>
      </c>
      <c r="DW41" s="452" t="str">
        <f>IFERROR(('Attainment 25+ by race &amp; gender'!ABB40/'Pop 25+ by race &amp; gender'!FA39)*100, "-")</f>
        <v>-</v>
      </c>
      <c r="DX41" s="452" t="str">
        <f>IFERROR(('Attainment 25+ by race &amp; gender'!AAD40/'Pop 25+ by race &amp; gender'!EC39)*100, "-")</f>
        <v>-</v>
      </c>
      <c r="DY41" s="452" t="str">
        <f>IFERROR(('Attainment 25+ by race &amp; gender'!ABC40/'Pop 25+ by race &amp; gender'!FB39)*100, "-")</f>
        <v>-</v>
      </c>
    </row>
    <row r="42" spans="1:129">
      <c r="A42" s="38" t="s">
        <v>39</v>
      </c>
      <c r="B42" s="351">
        <f>('Attainment 25+ by race &amp; gender'!FS41/'Pop 25+ by race &amp; gender'!AT40)*100</f>
        <v>84.963161071112125</v>
      </c>
      <c r="C42" s="444">
        <f>('Attainment 25+ by race &amp; gender'!GR41/'Pop 25+ by race &amp; gender'!CV40)*100</f>
        <v>89.700000000000017</v>
      </c>
      <c r="D42" s="352">
        <f>('Attainment 25+ by race &amp; gender'!FT41/'Pop 25+ by race &amp; gender'!AZ40)*100</f>
        <v>73.01750279000035</v>
      </c>
      <c r="E42" s="351">
        <f>IF('Pop 25+ by race &amp; gender'!CW40&gt;0,('Attainment 25+ by race &amp; gender'!GS41/'Pop 25+ by race &amp; gender'!CW40)*100,"—")</f>
        <v>82.6</v>
      </c>
      <c r="F42" s="352">
        <f>('Attainment 25+ by race &amp; gender'!FU41/'Pop 25+ by race &amp; gender'!BC40)*100</f>
        <v>48.472665401617711</v>
      </c>
      <c r="G42" s="351">
        <f>('Attainment 25+ by race &amp; gender'!GT41/'Pop 25+ by race &amp; gender'!CY40)*100</f>
        <v>60.8</v>
      </c>
      <c r="H42" s="352">
        <f>('Attainment 25+ by race &amp; gender'!XM41/'Pop 25+ by race &amp; gender'!AT40)*100</f>
        <v>27.822603483959423</v>
      </c>
      <c r="I42" s="351">
        <f>('Attainment 25+ by race &amp; gender'!YW41/'Pop 25+ by race &amp; gender'!CV40)*100</f>
        <v>32.6</v>
      </c>
      <c r="J42" s="352">
        <f>('Attainment 25+ by race &amp; gender'!XS41/'Pop 25+ by race &amp; gender'!AZ40)*100</f>
        <v>14.685359355801134</v>
      </c>
      <c r="K42" s="351">
        <f>IF('Pop 25+ by race &amp; gender'!CW40&gt;0,('Attainment 25+ by race &amp; gender'!YX41/'Pop 25+ by race &amp; gender'!CW40)*100,"—")</f>
        <v>18.500000000000004</v>
      </c>
      <c r="L42" s="352">
        <f>('Attainment 25+ by race &amp; gender'!XV41/'Pop 25+ by race &amp; gender'!BC40)*100</f>
        <v>9.0515048075394091</v>
      </c>
      <c r="M42" s="437">
        <f>('Attainment 25+ by race &amp; gender'!YY41/'Pop 25+ by race &amp; gender'!CY40)*100</f>
        <v>12.3</v>
      </c>
      <c r="N42" s="351">
        <f>('Attainment 25+ by race &amp; gender'!FS41/'Pop 25+ by race &amp; gender'!AT40)*100</f>
        <v>84.963161071112125</v>
      </c>
      <c r="O42" s="445">
        <f>('Attainment 25+ by race &amp; gender'!GW41/'Pop 25+ by race &amp; gender'!DA40)*100</f>
        <v>92.693849342991996</v>
      </c>
      <c r="P42" s="352">
        <f>('Attainment 25+ by race &amp; gender'!FT41/'Pop 25+ by race &amp; gender'!AZ40)*100</f>
        <v>73.01750279000035</v>
      </c>
      <c r="Q42" s="351">
        <f>('Attainment 25+ by race &amp; gender'!GX41/'Pop 25+ by race &amp; gender'!DB40)*100</f>
        <v>83.140576885270903</v>
      </c>
      <c r="R42" s="352">
        <f>('Attainment 25+ by race &amp; gender'!FU41/'Pop 25+ by race &amp; gender'!BC40)*100</f>
        <v>48.472665401617711</v>
      </c>
      <c r="S42" s="351">
        <f>('Attainment 25+ by race &amp; gender'!GY41/'Pop 25+ by race &amp; gender'!DD40)*100</f>
        <v>61.252527688117539</v>
      </c>
      <c r="T42" s="352">
        <f>('Attainment 25+ by race &amp; gender'!XM41/'Pop 25+ by race &amp; gender'!AT40)*100</f>
        <v>27.822603483959423</v>
      </c>
      <c r="U42" s="351">
        <f>('Attainment 25+ by race &amp; gender'!ZB41/'Pop 25+ by race &amp; gender'!DA40)*100</f>
        <v>34.871689602801546</v>
      </c>
      <c r="V42" s="352">
        <f>('Attainment 25+ by race &amp; gender'!XS41/'Pop 25+ by race &amp; gender'!AZ40)*100</f>
        <v>14.685359355801134</v>
      </c>
      <c r="W42" s="351">
        <f>('Attainment 25+ by race &amp; gender'!ZC41/'Pop 25+ by race &amp; gender'!DB40)*100</f>
        <v>18.714786575018096</v>
      </c>
      <c r="X42" s="352">
        <f>('Attainment 25+ by race &amp; gender'!XV41/'Pop 25+ by race &amp; gender'!BC40)*100</f>
        <v>9.0515048075394091</v>
      </c>
      <c r="Y42" s="437">
        <f>('Attainment 25+ by race &amp; gender'!ZD41/'Pop 25+ by race &amp; gender'!DD40)*100</f>
        <v>12.371651897843952</v>
      </c>
      <c r="Z42" s="351">
        <f>('Attainment 25+ by race &amp; gender'!FS41/'Pop 25+ by race &amp; gender'!AT40)*100</f>
        <v>84.963161071112125</v>
      </c>
      <c r="AA42" s="445">
        <f>('Attainment 25+ by race &amp; gender'!HB41/'Pop 25+ by race &amp; gender'!DF40)*100</f>
        <v>92.978301540833002</v>
      </c>
      <c r="AB42" s="352">
        <f>('Attainment 25+ by race &amp; gender'!FT41/'Pop 25+ by race &amp; gender'!AZ40)*100</f>
        <v>73.01750279000035</v>
      </c>
      <c r="AC42" s="351">
        <f>('Attainment 25+ by race &amp; gender'!HC41/'Pop 25+ by race &amp; gender'!DG40)*100</f>
        <v>84.053822862735672</v>
      </c>
      <c r="AD42" s="352">
        <f>('Attainment 25+ by race &amp; gender'!FU41/'Pop 25+ by race &amp; gender'!BC40)*100</f>
        <v>48.472665401617711</v>
      </c>
      <c r="AE42" s="351">
        <f>('Attainment 25+ by race &amp; gender'!HD41/'Pop 25+ by race &amp; gender'!DI40)*100</f>
        <v>61.672491012971022</v>
      </c>
      <c r="AF42" s="352">
        <f>('Attainment 25+ by race &amp; gender'!XM41/'Pop 25+ by race &amp; gender'!AT40)*100</f>
        <v>27.822603483959423</v>
      </c>
      <c r="AG42" s="351">
        <f>('Attainment 25+ by race &amp; gender'!ZG41/'Pop 25+ by race &amp; gender'!DF40)*100</f>
        <v>35.433996807973571</v>
      </c>
      <c r="AH42" s="352">
        <f>('Attainment 25+ by race &amp; gender'!XS41/'Pop 25+ by race &amp; gender'!AZ40)*100</f>
        <v>14.685359355801134</v>
      </c>
      <c r="AI42" s="351">
        <f>('Attainment 25+ by race &amp; gender'!ZH41/'Pop 25+ by race &amp; gender'!DG40)*100</f>
        <v>19.23813198652843</v>
      </c>
      <c r="AJ42" s="352">
        <f>('Attainment 25+ by race &amp; gender'!XV41/'Pop 25+ by race &amp; gender'!BC40)*100</f>
        <v>9.0515048075394091</v>
      </c>
      <c r="AK42" s="453">
        <f>('Attainment 25+ by race &amp; gender'!ZI41/'Pop 25+ by race &amp; gender'!DI40)*100</f>
        <v>12.47313732752867</v>
      </c>
      <c r="AL42" s="352">
        <f>('Attainment 25+ by race &amp; gender'!FS41/'Pop 25+ by race &amp; gender'!AT40)*100</f>
        <v>84.963161071112125</v>
      </c>
      <c r="AM42" s="453">
        <f>('Attainment 25+ by race &amp; gender'!HL41/'Pop 25+ by race &amp; gender'!DP40)*100</f>
        <v>93.789682325684794</v>
      </c>
      <c r="AN42" s="352">
        <v>73.01750279000035</v>
      </c>
      <c r="AO42" s="453">
        <f>('Attainment 25+ by race &amp; gender'!HM41/'Pop 25+ by race &amp; gender'!DQ40)*100</f>
        <v>85.990277272974495</v>
      </c>
      <c r="AP42" s="453">
        <f>('Attainment 25+ by race &amp; gender'!FU41/'Pop 25+ by race &amp; gender'!BC40)*100</f>
        <v>48.472665401617711</v>
      </c>
      <c r="AQ42" s="453">
        <f>('Attainment 25+ by race &amp; gender'!HN41/'Pop 25+ by race &amp; gender'!DS40)*100</f>
        <v>64.594628070815602</v>
      </c>
      <c r="AR42" s="453">
        <f>('Attainment 25+ by race &amp; gender'!XM41/'Pop 25+ by race &amp; gender'!AT40)*100</f>
        <v>27.822603483959423</v>
      </c>
      <c r="AS42" s="453">
        <f>('Attainment 25+ by race &amp; gender'!ZQ41/'Pop 25+ by race &amp; gender'!DP40)*100</f>
        <v>37.046492055445754</v>
      </c>
      <c r="AT42" s="453">
        <f>('Attainment 25+ by race &amp; gender'!XS41/'Pop 25+ by race &amp; gender'!AZ40)*100</f>
        <v>14.685359355801134</v>
      </c>
      <c r="AU42" s="453">
        <f>('Attainment 25+ by race &amp; gender'!ZR41/'Pop 25+ by race &amp; gender'!DQ40)*100</f>
        <v>20.146471130096511</v>
      </c>
      <c r="AV42" s="453">
        <f>('Attainment 25+ by race &amp; gender'!XV41/'Pop 25+ by race &amp; gender'!BC40)*100</f>
        <v>9.0515048075394091</v>
      </c>
      <c r="AW42" s="453">
        <f>('Attainment 25+ by race &amp; gender'!ZS41/'Pop 25+ by race &amp; gender'!DS40)*100</f>
        <v>13.456771318912894</v>
      </c>
      <c r="AX42" s="352">
        <f>('Attainment 25+ by race &amp; gender'!GR41/'Pop 25+ by race &amp; gender'!CV40)*100</f>
        <v>89.700000000000017</v>
      </c>
      <c r="AY42" s="453">
        <f>('Attainment 25+ by race &amp; gender'!HQ41/'Pop 25+ by race &amp; gender'!DU40)*100</f>
        <v>93.790537234469056</v>
      </c>
      <c r="AZ42" s="352">
        <f>('Attainment 25+ by race &amp; gender'!GS41/'Pop 25+ by race &amp; gender'!CW40)*100</f>
        <v>82.6</v>
      </c>
      <c r="BA42" s="453">
        <f>('Attainment 25+ by race &amp; gender'!HR41/'Pop 25+ by race &amp; gender'!DV40)*100</f>
        <v>86.21674255497571</v>
      </c>
      <c r="BB42" s="453">
        <f>('Attainment 25+ by race &amp; gender'!GT41/'Pop 25+ by race &amp; gender'!CY40)*100</f>
        <v>60.8</v>
      </c>
      <c r="BC42" s="453">
        <f>('Attainment 25+ by race &amp; gender'!HS41/'Pop 25+ by race &amp; gender'!DX40)*100</f>
        <v>66.900571013177029</v>
      </c>
      <c r="BD42" s="453">
        <f>('Attainment 25+ by race &amp; gender'!YW41/'Pop 25+ by race &amp; gender'!CV40)*100</f>
        <v>32.6</v>
      </c>
      <c r="BE42" s="453">
        <f>('Attainment 25+ by race &amp; gender'!ZV41/'Pop 25+ by race &amp; gender'!DU40)*100</f>
        <v>37.811023839374506</v>
      </c>
      <c r="BF42" s="453">
        <f>('Attainment 25+ by race &amp; gender'!YX41/'Pop 25+ by race &amp; gender'!CW40)*100</f>
        <v>18.500000000000004</v>
      </c>
      <c r="BG42" s="453">
        <f>('Attainment 25+ by race &amp; gender'!ZW41/'Pop 25+ by race &amp; gender'!DV40)*100</f>
        <v>21.640123084599871</v>
      </c>
      <c r="BH42" s="453">
        <f>('Attainment 25+ by race &amp; gender'!YY41/'Pop 25+ by race &amp; gender'!CY40)*100</f>
        <v>12.3</v>
      </c>
      <c r="BI42" s="453">
        <f>('Attainment 25+ by race &amp; gender'!ZX41/'Pop 25+ by race &amp; gender'!DX40)*100</f>
        <v>14.497892620312335</v>
      </c>
      <c r="BJ42" s="352">
        <f>('Attainment 25+ by race &amp; gender'!GW41/'Pop 25+ by race &amp; gender'!DA40)*100</f>
        <v>92.693849342991996</v>
      </c>
      <c r="BK42" s="453">
        <f>('Attainment 25+ by race &amp; gender'!IA41/'Pop 25+ by race &amp; gender'!EE40)*100</f>
        <v>94.332067314098538</v>
      </c>
      <c r="BL42" s="352">
        <f>('Attainment 25+ by race &amp; gender'!GX41/'Pop 25+ by race &amp; gender'!DB40)*100</f>
        <v>83.140576885270903</v>
      </c>
      <c r="BM42" s="453">
        <f>('Attainment 25+ by race &amp; gender'!IB41/'Pop 25+ by race &amp; gender'!EF40)*100</f>
        <v>86.743487737067255</v>
      </c>
      <c r="BN42" s="453">
        <f>('Attainment 25+ by race &amp; gender'!GY41/'Pop 25+ by race &amp; gender'!DD40)*100</f>
        <v>61.252527688117539</v>
      </c>
      <c r="BO42" s="453">
        <f>('Attainment 25+ by race &amp; gender'!IC41/'Pop 25+ by race &amp; gender'!EH40)*100</f>
        <v>66.019294802585065</v>
      </c>
      <c r="BP42" s="453">
        <f>('Attainment 25+ by race &amp; gender'!ZB41/'Pop 25+ by race &amp; gender'!DA40)*100</f>
        <v>34.871689602801546</v>
      </c>
      <c r="BQ42" s="453">
        <f>('Attainment 25+ by race &amp; gender'!AAF41/'Pop 25+ by race &amp; gender'!EE40)*100</f>
        <v>38.757155611804919</v>
      </c>
      <c r="BR42" s="453">
        <f>('Attainment 25+ by race &amp; gender'!ZC41/'Pop 25+ by race &amp; gender'!DB40)*100</f>
        <v>18.714786575018096</v>
      </c>
      <c r="BS42" s="453">
        <f>('Attainment 25+ by race &amp; gender'!AAG41/'Pop 25+ by race &amp; gender'!EF40)*100</f>
        <v>21.056509353475903</v>
      </c>
      <c r="BT42" s="453">
        <f>('Attainment 25+ by race &amp; gender'!ZD41/'Pop 25+ by race &amp; gender'!DD40)*100</f>
        <v>12.371651897843952</v>
      </c>
      <c r="BU42" s="453">
        <f>('Attainment 25+ by race &amp; gender'!AAH41/'Pop 25+ by race &amp; gender'!EH40)*100</f>
        <v>14.269098590431325</v>
      </c>
      <c r="BV42" s="352">
        <f>('Attainment 25+ by race &amp; gender'!HN41/'Pop 25+ by race &amp; gender'!DR40)*100</f>
        <v>74.277127332988172</v>
      </c>
      <c r="BW42" s="453" t="e">
        <f>('Attainment 25+ by race &amp; gender'!JB41/'Pop 25+ by race &amp; gender'!EQ40)*100</f>
        <v>#VALUE!</v>
      </c>
      <c r="BX42" s="352">
        <f>('Attainment 25+ by race &amp; gender'!HO41/'Pop 25+ by race &amp; gender'!DS40)*100</f>
        <v>66.915032329660434</v>
      </c>
      <c r="BY42" s="453" t="e">
        <f>('Attainment 25+ by race &amp; gender'!JC41/'Pop 25+ by race &amp; gender'!ER40)*100</f>
        <v>#VALUE!</v>
      </c>
      <c r="BZ42" s="453">
        <f>('Attainment 25+ by race &amp; gender'!HP41/'Pop 25+ by race &amp; gender'!DU40)*100</f>
        <v>134.48796851299875</v>
      </c>
      <c r="CA42" s="453">
        <f>('Attainment 25+ by race &amp; gender'!JD41/'Pop 25+ by race &amp; gender'!ET40)*100</f>
        <v>33.340301162786048</v>
      </c>
      <c r="CB42" s="453">
        <f>('Attainment 25+ by race &amp; gender'!ZS41/'Pop 25+ by race &amp; gender'!DR40)*100</f>
        <v>15.47389228172354</v>
      </c>
      <c r="CC42" s="453">
        <f>('Attainment 25+ by race &amp; gender'!ABB41/'Pop 25+ by race &amp; gender'!EQ40)*100</f>
        <v>18.332353205834956</v>
      </c>
      <c r="CD42" s="453">
        <f>('Attainment 25+ by race &amp; gender'!ZT41/'Pop 25+ by race &amp; gender'!DS40)*100</f>
        <v>32.073232581066854</v>
      </c>
      <c r="CE42" s="453">
        <f>('Attainment 25+ by race &amp; gender'!ABC41/'Pop 25+ by race &amp; gender'!ER40)*100</f>
        <v>6.8008367321597429</v>
      </c>
      <c r="CF42" s="453">
        <f>('Attainment 25+ by race &amp; gender'!ZU41/'Pop 25+ by race &amp; gender'!DU40)*100</f>
        <v>51.397924822006949</v>
      </c>
      <c r="CG42" s="453">
        <f>('Attainment 25+ by race &amp; gender'!ABD41/'Pop 25+ by race &amp; gender'!ET40)*100</f>
        <v>13.818222829369784</v>
      </c>
      <c r="CH42" s="352">
        <f>('Attainment 25+ by race &amp; gender'!HG41/'Pop 25+ by race &amp; gender'!DK40)*100</f>
        <v>93.30967747524538</v>
      </c>
      <c r="CI42" s="452">
        <f>('Attainment 25+ by race &amp; gender'!IK41/'Pop 25+ by race &amp; gender'!EO40)*100</f>
        <v>94.590530716467327</v>
      </c>
      <c r="CJ42" s="352">
        <f>('Attainment 25+ by race &amp; gender'!HH41/'Pop 25+ by race &amp; gender'!DL40)*100</f>
        <v>84.782722394429541</v>
      </c>
      <c r="CK42" s="453">
        <f>('Attainment 25+ by race &amp; gender'!IL41/'Pop 25+ by race &amp; gender'!EP40)*100</f>
        <v>86.546878423340118</v>
      </c>
      <c r="CL42" s="453">
        <f>('Attainment 25+ by race &amp; gender'!HI41/'Pop 25+ by race &amp; gender'!DN40)*100</f>
        <v>64.522996657783153</v>
      </c>
      <c r="CM42" s="453">
        <f>('Attainment 25+ by race &amp; gender'!IM41/'Pop 25+ by race &amp; gender'!ER40)*100</f>
        <v>71.272753033472469</v>
      </c>
      <c r="CN42" s="453">
        <f>('Attainment 25+ by race &amp; gender'!ZL41/'Pop 25+ by race &amp; gender'!DK40)*100</f>
        <v>36.617431756949919</v>
      </c>
      <c r="CO42" s="453">
        <f>('Attainment 25+ by race &amp; gender'!AAP41/'Pop 25+ by race &amp; gender'!EO40)*100</f>
        <v>39.922074058894196</v>
      </c>
      <c r="CP42" s="453">
        <f>('Attainment 25+ by race &amp; gender'!ZM41/'Pop 25+ by race &amp; gender'!DL40)*100</f>
        <v>20.830442226088657</v>
      </c>
      <c r="CQ42" s="453">
        <f>('Attainment 25+ by race &amp; gender'!AAQ41/'Pop 25+ by race &amp; gender'!EP40)*100</f>
        <v>22.647162226196482</v>
      </c>
      <c r="CR42" s="453">
        <f>('Attainment 25+ by race &amp; gender'!ZN41/'Pop 25+ by race &amp; gender'!DN40)*100</f>
        <v>13.364506837052181</v>
      </c>
      <c r="CS42" s="453">
        <f>('Attainment 25+ by race &amp; gender'!AAR41/'Pop 25+ by race &amp; gender'!ER40)*100</f>
        <v>16.787416541698107</v>
      </c>
      <c r="CT42" s="350">
        <f>IFERROR(('Attainment 25+ by race &amp; gender'!HQ41/'Pop 25+ by race &amp; gender'!DU40)*100,"-")</f>
        <v>93.790537234469056</v>
      </c>
      <c r="CU42" s="452">
        <f>IFERROR(('Attainment 25+ by race &amp; gender'!IP41/'Pop 25+ by race &amp; gender'!ET40)*100,"-")</f>
        <v>94.785932660619977</v>
      </c>
      <c r="CV42" s="350">
        <f>IFERROR(('Attainment 25+ by race &amp; gender'!HR41/'Pop 25+ by race &amp; gender'!DV40)*100,"-")</f>
        <v>86.21674255497571</v>
      </c>
      <c r="CW42" s="452">
        <f>IFERROR(('Attainment 25+ by race &amp; gender'!IQ41/'Pop 25+ by race &amp; gender'!EU40)*100, "-")</f>
        <v>88.121106345059232</v>
      </c>
      <c r="CX42" s="452">
        <f>IFERROR(('Attainment 25+ by race &amp; gender'!HS41/'Pop 25+ by race &amp; gender'!DX40)*100, "-")</f>
        <v>66.900571013177029</v>
      </c>
      <c r="CY42" s="452">
        <f>IFERROR(('Attainment 25+ by race &amp; gender'!IR41/'Pop 25+ by race &amp; gender'!EW40)*100, "-")</f>
        <v>71.912394014299764</v>
      </c>
      <c r="CZ42" s="452">
        <f>IFERROR(('Attainment 25+ by race &amp; gender'!HU41/'Pop 25+ by race &amp; gender'!DY40)*100, "-")</f>
        <v>90.74734806918535</v>
      </c>
      <c r="DA42" s="452">
        <f>IFERROR(('Attainment 25+ by race &amp; gender'!IT41/'Pop 25+ by race &amp; gender'!EX40)*100, "-")</f>
        <v>91.447681655738933</v>
      </c>
      <c r="DB42" s="452" t="str">
        <f>IFERROR(('Attainment 25+ by race &amp; gender'!HV41/'Pop 25+ by race &amp; gender'!DZ40)*100, "-")</f>
        <v>-</v>
      </c>
      <c r="DC42" s="452" t="str">
        <f>IFERROR(('Attainment 25+ by race &amp; gender'!IU41/'Pop 25+ by race &amp; gender'!EY40)*100, "-")</f>
        <v>-</v>
      </c>
      <c r="DD42" s="452">
        <f>IFERROR(('Attainment 25+ by race &amp; gender'!HW41/'Pop 25+ by race &amp; gender'!EA40)*100, "-")</f>
        <v>76.5969527775149</v>
      </c>
      <c r="DE42" s="452">
        <f>IFERROR(('Attainment 25+ by race &amp; gender'!IV41/'Pop 25+ by race &amp; gender'!EZ40)*100, "-")</f>
        <v>71.502897913119995</v>
      </c>
      <c r="DF42" s="452">
        <f>IFERROR(('Attainment 25+ by race &amp; gender'!HX41/'Pop 25+ by race &amp; gender'!EB40)*100, "-")</f>
        <v>89.957117605561237</v>
      </c>
      <c r="DG42" s="452">
        <f>IFERROR(('Attainment 25+ by race &amp; gender'!IW41/'Pop 25+ by race &amp; gender'!FA40)*100, "-")</f>
        <v>79.332860258319755</v>
      </c>
      <c r="DH42" s="452">
        <f>IFERROR(('Attainment 25+ by race &amp; gender'!HY41/'Pop 25+ by race &amp; gender'!EC40)*100, "-")</f>
        <v>59.235616254007397</v>
      </c>
      <c r="DI42" s="452">
        <f>IFERROR(('Attainment 25+ by race &amp; gender'!IX41/'Pop 25+ by race &amp; gender'!FB40)*100, "-")</f>
        <v>67.56980632984201</v>
      </c>
      <c r="DJ42" s="452">
        <f>IFERROR(('Attainment 25+ by race &amp; gender'!ZV41/'Pop 25+ by race &amp; gender'!DU40)*100, "-")</f>
        <v>37.811023839374506</v>
      </c>
      <c r="DK42" s="452">
        <f>IFERROR(('Attainment 25+ by race &amp; gender'!AAU41/'Pop 25+ by race &amp; gender'!ET40)*100, "-")</f>
        <v>41.375685628969798</v>
      </c>
      <c r="DL42" s="452">
        <f>IFERROR(('Attainment 25+ by race &amp; gender'!ZW41/'Pop 25+ by race &amp; gender'!DV40)*100, "-")</f>
        <v>21.640123084599871</v>
      </c>
      <c r="DM42" s="452">
        <f>IFERROR(('Attainment 25+ by race &amp; gender'!AAV41/'Pop 25+ by race &amp; gender'!EU40)*100, "-")</f>
        <v>25.123450117715919</v>
      </c>
      <c r="DN42" s="452">
        <f>IFERROR(('Attainment 25+ by race &amp; gender'!ZX41/'Pop 25+ by race &amp; gender'!DX40)*100, "-")</f>
        <v>14.497892620312335</v>
      </c>
      <c r="DO42" s="452">
        <f>IFERROR(('Attainment 25+ by race &amp; gender'!AAW41/'Pop 25+ by race &amp; gender'!EW40)*100, "-")</f>
        <v>18.194721314089783</v>
      </c>
      <c r="DP42" s="452">
        <f>IFERROR(('Attainment 25+ by race &amp; gender'!ZZ41/'Pop 25+ by race &amp; gender'!DY40)*100, "-")</f>
        <v>65.102785180540309</v>
      </c>
      <c r="DQ42" s="452">
        <f>IFERROR(('Attainment 25+ by race &amp; gender'!AAY41/'Pop 25+ by race &amp; gender'!EX40)*100, "-")</f>
        <v>65.515382011966011</v>
      </c>
      <c r="DR42" s="452" t="str">
        <f>IFERROR(('Attainment 25+ by race &amp; gender'!AAA41/'Pop 25+ by race &amp; gender'!DZ40)*100, "-")</f>
        <v>-</v>
      </c>
      <c r="DS42" s="452" t="str">
        <f>IFERROR(('Attainment 25+ by race &amp; gender'!AAZ41/'Pop 25+ by race &amp; gender'!EY40)*100, "-")</f>
        <v>-</v>
      </c>
      <c r="DT42" s="452">
        <f>IFERROR(('Attainment 25+ by race &amp; gender'!AAB41/'Pop 25+ by race &amp; gender'!EA40)*100, "-")</f>
        <v>19.428409198447998</v>
      </c>
      <c r="DU42" s="452">
        <f>IFERROR(('Attainment 25+ by race &amp; gender'!ABA41/'Pop 25+ by race &amp; gender'!EZ40)*100, "-")</f>
        <v>16.065724286998602</v>
      </c>
      <c r="DV42" s="452">
        <f>IFERROR(('Attainment 25+ by race &amp; gender'!AAC41/'Pop 25+ by race &amp; gender'!EB40)*100, "-")</f>
        <v>37.529625314087781</v>
      </c>
      <c r="DW42" s="452">
        <f>IFERROR(('Attainment 25+ by race &amp; gender'!ABB41/'Pop 25+ by race &amp; gender'!FA40)*100, "-")</f>
        <v>26.213034516280796</v>
      </c>
      <c r="DX42" s="452">
        <f>IFERROR(('Attainment 25+ by race &amp; gender'!AAD41/'Pop 25+ by race &amp; gender'!EC40)*100, "-")</f>
        <v>9.7855271525967478</v>
      </c>
      <c r="DY42" s="452">
        <f>IFERROR(('Attainment 25+ by race &amp; gender'!ABC41/'Pop 25+ by race &amp; gender'!FB40)*100, "-")</f>
        <v>14.713834517581173</v>
      </c>
    </row>
    <row r="43" spans="1:129">
      <c r="A43" s="38" t="s">
        <v>40</v>
      </c>
      <c r="B43" s="351">
        <f>('Attainment 25+ by race &amp; gender'!FS42/'Pop 25+ by race &amp; gender'!AT41)*100</f>
        <v>83.16706914051305</v>
      </c>
      <c r="C43" s="444">
        <f>('Attainment 25+ by race &amp; gender'!GR42/'Pop 25+ by race &amp; gender'!CV41)*100</f>
        <v>87.9</v>
      </c>
      <c r="D43" s="352">
        <f>('Attainment 25+ by race &amp; gender'!FT42/'Pop 25+ by race &amp; gender'!AZ41)*100</f>
        <v>74.938306990010275</v>
      </c>
      <c r="E43" s="351">
        <f>IF('Pop 25+ by race &amp; gender'!CW41&gt;0,('Attainment 25+ by race &amp; gender'!GS42/'Pop 25+ by race &amp; gender'!CW41)*100,"—")</f>
        <v>83.500000000000014</v>
      </c>
      <c r="F43" s="352">
        <f>('Attainment 25+ by race &amp; gender'!FU42/'Pop 25+ by race &amp; gender'!BC41)*100</f>
        <v>57.926546251765245</v>
      </c>
      <c r="G43" s="351">
        <f>('Attainment 25+ by race &amp; gender'!GT42/'Pop 25+ by race &amp; gender'!CY41)*100</f>
        <v>61.199999999999996</v>
      </c>
      <c r="H43" s="352">
        <f>('Attainment 25+ by race &amp; gender'!XM42/'Pop 25+ by race &amp; gender'!AT41)*100</f>
        <v>19.810365399877718</v>
      </c>
      <c r="I43" s="351">
        <f>('Attainment 25+ by race &amp; gender'!YW42/'Pop 25+ by race &amp; gender'!CV41)*100</f>
        <v>23.199999999999996</v>
      </c>
      <c r="J43" s="352">
        <f>('Attainment 25+ by race &amp; gender'!XS42/'Pop 25+ by race &amp; gender'!AZ41)*100</f>
        <v>12.089033674246926</v>
      </c>
      <c r="K43" s="351">
        <f>IF('Pop 25+ by race &amp; gender'!CW41&gt;0,('Attainment 25+ by race &amp; gender'!YX42/'Pop 25+ by race &amp; gender'!CW41)*100,"—")</f>
        <v>14.299999999999999</v>
      </c>
      <c r="L43" s="352">
        <f>('Attainment 25+ by race &amp; gender'!XV42/'Pop 25+ by race &amp; gender'!BC41)*100</f>
        <v>11.256061069908455</v>
      </c>
      <c r="M43" s="437">
        <f>('Attainment 25+ by race &amp; gender'!YY42/'Pop 25+ by race &amp; gender'!CY41)*100</f>
        <v>11.999999999999998</v>
      </c>
      <c r="N43" s="351">
        <f>('Attainment 25+ by race &amp; gender'!FS42/'Pop 25+ by race &amp; gender'!AT41)*100</f>
        <v>83.16706914051305</v>
      </c>
      <c r="O43" s="445">
        <f>('Attainment 25+ by race &amp; gender'!GW42/'Pop 25+ by race &amp; gender'!DA41)*100</f>
        <v>89.014260118002909</v>
      </c>
      <c r="P43" s="352">
        <f>('Attainment 25+ by race &amp; gender'!FT42/'Pop 25+ by race &amp; gender'!AZ41)*100</f>
        <v>74.938306990010275</v>
      </c>
      <c r="Q43" s="351">
        <f>('Attainment 25+ by race &amp; gender'!GX42/'Pop 25+ by race &amp; gender'!DB41)*100</f>
        <v>83.896112156774308</v>
      </c>
      <c r="R43" s="352">
        <f>('Attainment 25+ by race &amp; gender'!FU42/'Pop 25+ by race &amp; gender'!BC41)*100</f>
        <v>57.926546251765245</v>
      </c>
      <c r="S43" s="351">
        <f>('Attainment 25+ by race &amp; gender'!GY42/'Pop 25+ by race &amp; gender'!DD41)*100</f>
        <v>62.014204894846884</v>
      </c>
      <c r="T43" s="352">
        <f>('Attainment 25+ by race &amp; gender'!XM42/'Pop 25+ by race &amp; gender'!AT41)*100</f>
        <v>19.810365399877718</v>
      </c>
      <c r="U43" s="351">
        <f>('Attainment 25+ by race &amp; gender'!ZB42/'Pop 25+ by race &amp; gender'!DA41)*100</f>
        <v>23.794987012799648</v>
      </c>
      <c r="V43" s="352">
        <f>('Attainment 25+ by race &amp; gender'!XS42/'Pop 25+ by race &amp; gender'!AZ41)*100</f>
        <v>12.089033674246926</v>
      </c>
      <c r="W43" s="351">
        <f>('Attainment 25+ by race &amp; gender'!ZC42/'Pop 25+ by race &amp; gender'!DB41)*100</f>
        <v>15.213098449430859</v>
      </c>
      <c r="X43" s="352">
        <f>('Attainment 25+ by race &amp; gender'!XV42/'Pop 25+ by race &amp; gender'!BC41)*100</f>
        <v>11.256061069908455</v>
      </c>
      <c r="Y43" s="437">
        <f>('Attainment 25+ by race &amp; gender'!ZD42/'Pop 25+ by race &amp; gender'!DD41)*100</f>
        <v>12.641434017955971</v>
      </c>
      <c r="Z43" s="351">
        <f>('Attainment 25+ by race &amp; gender'!FS42/'Pop 25+ by race &amp; gender'!AT41)*100</f>
        <v>83.16706914051305</v>
      </c>
      <c r="AA43" s="445">
        <f>('Attainment 25+ by race &amp; gender'!HB42/'Pop 25+ by race &amp; gender'!DF41)*100</f>
        <v>89.119058991062232</v>
      </c>
      <c r="AB43" s="352">
        <f>('Attainment 25+ by race &amp; gender'!FT42/'Pop 25+ by race &amp; gender'!AZ41)*100</f>
        <v>74.938306990010275</v>
      </c>
      <c r="AC43" s="351">
        <f>('Attainment 25+ by race &amp; gender'!HC42/'Pop 25+ by race &amp; gender'!DG41)*100</f>
        <v>84.668147950053623</v>
      </c>
      <c r="AD43" s="352">
        <f>('Attainment 25+ by race &amp; gender'!FU42/'Pop 25+ by race &amp; gender'!BC41)*100</f>
        <v>57.926546251765245</v>
      </c>
      <c r="AE43" s="351">
        <f>('Attainment 25+ by race &amp; gender'!HD42/'Pop 25+ by race &amp; gender'!DI41)*100</f>
        <v>63.007879649042621</v>
      </c>
      <c r="AF43" s="352">
        <f>('Attainment 25+ by race &amp; gender'!XM42/'Pop 25+ by race &amp; gender'!AT41)*100</f>
        <v>19.810365399877718</v>
      </c>
      <c r="AG43" s="351">
        <f>('Attainment 25+ by race &amp; gender'!ZG42/'Pop 25+ by race &amp; gender'!DF41)*100</f>
        <v>24.220957770023748</v>
      </c>
      <c r="AH43" s="352">
        <f>('Attainment 25+ by race &amp; gender'!XS42/'Pop 25+ by race &amp; gender'!AZ41)*100</f>
        <v>12.089033674246926</v>
      </c>
      <c r="AI43" s="351">
        <f>('Attainment 25+ by race &amp; gender'!ZH42/'Pop 25+ by race &amp; gender'!DG41)*100</f>
        <v>15.742666366996019</v>
      </c>
      <c r="AJ43" s="352">
        <f>('Attainment 25+ by race &amp; gender'!XV42/'Pop 25+ by race &amp; gender'!BC41)*100</f>
        <v>11.256061069908455</v>
      </c>
      <c r="AK43" s="453">
        <f>('Attainment 25+ by race &amp; gender'!ZI42/'Pop 25+ by race &amp; gender'!DI41)*100</f>
        <v>12.083287791015412</v>
      </c>
      <c r="AL43" s="352">
        <f>('Attainment 25+ by race &amp; gender'!FS42/'Pop 25+ by race &amp; gender'!AT41)*100</f>
        <v>83.16706914051305</v>
      </c>
      <c r="AM43" s="453">
        <f>('Attainment 25+ by race &amp; gender'!HL42/'Pop 25+ by race &amp; gender'!DP41)*100</f>
        <v>90.044576238236445</v>
      </c>
      <c r="AN43" s="352">
        <v>74.938306990010275</v>
      </c>
      <c r="AO43" s="453">
        <f>('Attainment 25+ by race &amp; gender'!HM42/'Pop 25+ by race &amp; gender'!DQ41)*100</f>
        <v>85.443499925914139</v>
      </c>
      <c r="AP43" s="453">
        <f>('Attainment 25+ by race &amp; gender'!FU42/'Pop 25+ by race &amp; gender'!BC41)*100</f>
        <v>57.926546251765245</v>
      </c>
      <c r="AQ43" s="453">
        <f>('Attainment 25+ by race &amp; gender'!HN42/'Pop 25+ by race &amp; gender'!DS41)*100</f>
        <v>62.793444766084605</v>
      </c>
      <c r="AR43" s="453">
        <f>('Attainment 25+ by race &amp; gender'!XM42/'Pop 25+ by race &amp; gender'!AT41)*100</f>
        <v>19.810365399877718</v>
      </c>
      <c r="AS43" s="453">
        <f>('Attainment 25+ by race &amp; gender'!ZQ42/'Pop 25+ by race &amp; gender'!DP41)*100</f>
        <v>25.6886727616732</v>
      </c>
      <c r="AT43" s="453">
        <f>('Attainment 25+ by race &amp; gender'!XS42/'Pop 25+ by race &amp; gender'!AZ41)*100</f>
        <v>12.089033674246926</v>
      </c>
      <c r="AU43" s="453">
        <f>('Attainment 25+ by race &amp; gender'!ZR42/'Pop 25+ by race &amp; gender'!DQ41)*100</f>
        <v>16.890753535542007</v>
      </c>
      <c r="AV43" s="453">
        <f>('Attainment 25+ by race &amp; gender'!XV42/'Pop 25+ by race &amp; gender'!BC41)*100</f>
        <v>11.256061069908455</v>
      </c>
      <c r="AW43" s="453">
        <f>('Attainment 25+ by race &amp; gender'!ZS42/'Pop 25+ by race &amp; gender'!DS41)*100</f>
        <v>11.943225324493417</v>
      </c>
      <c r="AX43" s="352">
        <f>('Attainment 25+ by race &amp; gender'!GR42/'Pop 25+ by race &amp; gender'!CV41)*100</f>
        <v>87.9</v>
      </c>
      <c r="AY43" s="453">
        <f>('Attainment 25+ by race &amp; gender'!HQ42/'Pop 25+ by race &amp; gender'!DU41)*100</f>
        <v>90.143536011446997</v>
      </c>
      <c r="AZ43" s="352">
        <f>('Attainment 25+ by race &amp; gender'!GS42/'Pop 25+ by race &amp; gender'!CW41)*100</f>
        <v>83.500000000000014</v>
      </c>
      <c r="BA43" s="453">
        <f>('Attainment 25+ by race &amp; gender'!HR42/'Pop 25+ by race &amp; gender'!DV41)*100</f>
        <v>85.540902656970914</v>
      </c>
      <c r="BB43" s="453">
        <f>('Attainment 25+ by race &amp; gender'!GT42/'Pop 25+ by race &amp; gender'!CY41)*100</f>
        <v>61.199999999999996</v>
      </c>
      <c r="BC43" s="453">
        <f>('Attainment 25+ by race &amp; gender'!HS42/'Pop 25+ by race &amp; gender'!DX41)*100</f>
        <v>66.784490145672663</v>
      </c>
      <c r="BD43" s="453">
        <f>('Attainment 25+ by race &amp; gender'!YW42/'Pop 25+ by race &amp; gender'!CV41)*100</f>
        <v>23.199999999999996</v>
      </c>
      <c r="BE43" s="453">
        <f>('Attainment 25+ by race &amp; gender'!ZV42/'Pop 25+ by race &amp; gender'!DU41)*100</f>
        <v>26.76119047046031</v>
      </c>
      <c r="BF43" s="453">
        <f>('Attainment 25+ by race &amp; gender'!YX42/'Pop 25+ by race &amp; gender'!CW41)*100</f>
        <v>14.299999999999999</v>
      </c>
      <c r="BG43" s="453">
        <f>('Attainment 25+ by race &amp; gender'!ZW42/'Pop 25+ by race &amp; gender'!DV41)*100</f>
        <v>15.748414353477616</v>
      </c>
      <c r="BH43" s="453">
        <f>('Attainment 25+ by race &amp; gender'!YY42/'Pop 25+ by race &amp; gender'!CY41)*100</f>
        <v>11.999999999999998</v>
      </c>
      <c r="BI43" s="453">
        <f>('Attainment 25+ by race &amp; gender'!ZX42/'Pop 25+ by race &amp; gender'!DX41)*100</f>
        <v>13.273439731505285</v>
      </c>
      <c r="BJ43" s="352">
        <f>('Attainment 25+ by race &amp; gender'!GW42/'Pop 25+ by race &amp; gender'!DA41)*100</f>
        <v>89.014260118002909</v>
      </c>
      <c r="BK43" s="453">
        <f>('Attainment 25+ by race &amp; gender'!IA42/'Pop 25+ by race &amp; gender'!EE41)*100</f>
        <v>90.558966303025016</v>
      </c>
      <c r="BL43" s="352">
        <f>('Attainment 25+ by race &amp; gender'!GX42/'Pop 25+ by race &amp; gender'!DB41)*100</f>
        <v>83.896112156774308</v>
      </c>
      <c r="BM43" s="453">
        <f>('Attainment 25+ by race &amp; gender'!IB42/'Pop 25+ by race &amp; gender'!EF41)*100</f>
        <v>85.170460322384699</v>
      </c>
      <c r="BN43" s="453">
        <f>('Attainment 25+ by race &amp; gender'!GY42/'Pop 25+ by race &amp; gender'!DD41)*100</f>
        <v>62.014204894846884</v>
      </c>
      <c r="BO43" s="453">
        <f>('Attainment 25+ by race &amp; gender'!IC42/'Pop 25+ by race &amp; gender'!EH41)*100</f>
        <v>64.327044025157235</v>
      </c>
      <c r="BP43" s="453">
        <f>('Attainment 25+ by race &amp; gender'!ZB42/'Pop 25+ by race &amp; gender'!DA41)*100</f>
        <v>23.794987012799648</v>
      </c>
      <c r="BQ43" s="453">
        <f>('Attainment 25+ by race &amp; gender'!AAF42/'Pop 25+ by race &amp; gender'!EE41)*100</f>
        <v>27.639877703149718</v>
      </c>
      <c r="BR43" s="453">
        <f>('Attainment 25+ by race &amp; gender'!ZC42/'Pop 25+ by race &amp; gender'!DB41)*100</f>
        <v>15.213098449430859</v>
      </c>
      <c r="BS43" s="453">
        <f>('Attainment 25+ by race &amp; gender'!AAG42/'Pop 25+ by race &amp; gender'!EF41)*100</f>
        <v>19.215337648828534</v>
      </c>
      <c r="BT43" s="453">
        <f>('Attainment 25+ by race &amp; gender'!ZD42/'Pop 25+ by race &amp; gender'!DD41)*100</f>
        <v>12.641434017955971</v>
      </c>
      <c r="BU43" s="453">
        <f>('Attainment 25+ by race &amp; gender'!AAH42/'Pop 25+ by race &amp; gender'!EH41)*100</f>
        <v>14.530904359141184</v>
      </c>
      <c r="BV43" s="352">
        <f>('Attainment 25+ by race &amp; gender'!HN42/'Pop 25+ by race &amp; gender'!DR41)*100</f>
        <v>62.99078727360439</v>
      </c>
      <c r="BW43" s="453" t="e">
        <f>('Attainment 25+ by race &amp; gender'!JB42/'Pop 25+ by race &amp; gender'!EQ41)*100</f>
        <v>#VALUE!</v>
      </c>
      <c r="BX43" s="352">
        <f>('Attainment 25+ by race &amp; gender'!HO42/'Pop 25+ by race &amp; gender'!DS41)*100</f>
        <v>77.231767672051546</v>
      </c>
      <c r="BY43" s="453" t="e">
        <f>('Attainment 25+ by race &amp; gender'!JC42/'Pop 25+ by race &amp; gender'!ER41)*100</f>
        <v>#VALUE!</v>
      </c>
      <c r="BZ43" s="453">
        <f>('Attainment 25+ by race &amp; gender'!HP42/'Pop 25+ by race &amp; gender'!DU41)*100</f>
        <v>106.14174085410546</v>
      </c>
      <c r="CA43" s="453">
        <f>('Attainment 25+ by race &amp; gender'!JD42/'Pop 25+ by race &amp; gender'!ET41)*100</f>
        <v>20.840610775546484</v>
      </c>
      <c r="CB43" s="453">
        <f>('Attainment 25+ by race &amp; gender'!ZS42/'Pop 25+ by race &amp; gender'!DR41)*100</f>
        <v>11.980759593272415</v>
      </c>
      <c r="CC43" s="453">
        <f>('Attainment 25+ by race &amp; gender'!ABB42/'Pop 25+ by race &amp; gender'!EQ41)*100</f>
        <v>24.795957430518335</v>
      </c>
      <c r="CD43" s="453">
        <f>('Attainment 25+ by race &amp; gender'!ZT42/'Pop 25+ by race &amp; gender'!DS41)*100</f>
        <v>33.0703146885797</v>
      </c>
      <c r="CE43" s="453">
        <f>('Attainment 25+ by race &amp; gender'!ABC42/'Pop 25+ by race &amp; gender'!ER41)*100</f>
        <v>7.2451756106041554</v>
      </c>
      <c r="CF43" s="453">
        <f>('Attainment 25+ by race &amp; gender'!ZU42/'Pop 25+ by race &amp; gender'!DU41)*100</f>
        <v>30.762881703397561</v>
      </c>
      <c r="CG43" s="453">
        <f>('Attainment 25+ by race &amp; gender'!ABD42/'Pop 25+ by race &amp; gender'!ET41)*100</f>
        <v>7.6536943927432866</v>
      </c>
      <c r="CH43" s="352">
        <f>('Attainment 25+ by race &amp; gender'!HG42/'Pop 25+ by race &amp; gender'!DK41)*100</f>
        <v>90.221430938715287</v>
      </c>
      <c r="CI43" s="452">
        <f>('Attainment 25+ by race &amp; gender'!IK42/'Pop 25+ by race &amp; gender'!EO41)*100</f>
        <v>91.252694753490999</v>
      </c>
      <c r="CJ43" s="352">
        <f>('Attainment 25+ by race &amp; gender'!HH42/'Pop 25+ by race &amp; gender'!DL41)*100</f>
        <v>85.262453037824955</v>
      </c>
      <c r="CK43" s="453">
        <f>('Attainment 25+ by race &amp; gender'!IL42/'Pop 25+ by race &amp; gender'!EP41)*100</f>
        <v>87.696218010747941</v>
      </c>
      <c r="CL43" s="453">
        <f>('Attainment 25+ by race &amp; gender'!HI42/'Pop 25+ by race &amp; gender'!DN41)*100</f>
        <v>63.696055505092474</v>
      </c>
      <c r="CM43" s="453">
        <f>('Attainment 25+ by race &amp; gender'!IM42/'Pop 25+ by race &amp; gender'!ER41)*100</f>
        <v>69.907454202161418</v>
      </c>
      <c r="CN43" s="453">
        <f>('Attainment 25+ by race &amp; gender'!ZL42/'Pop 25+ by race &amp; gender'!DK41)*100</f>
        <v>25.478355683827932</v>
      </c>
      <c r="CO43" s="453">
        <f>('Attainment 25+ by race &amp; gender'!AAP42/'Pop 25+ by race &amp; gender'!EO41)*100</f>
        <v>27.672003813279311</v>
      </c>
      <c r="CP43" s="453">
        <f>('Attainment 25+ by race &amp; gender'!ZM42/'Pop 25+ by race &amp; gender'!DL41)*100</f>
        <v>16.315256497863547</v>
      </c>
      <c r="CQ43" s="453">
        <f>('Attainment 25+ by race &amp; gender'!AAQ42/'Pop 25+ by race &amp; gender'!EP41)*100</f>
        <v>19.326826630823376</v>
      </c>
      <c r="CR43" s="453">
        <f>('Attainment 25+ by race &amp; gender'!ZN42/'Pop 25+ by race &amp; gender'!DN41)*100</f>
        <v>12.641806621185475</v>
      </c>
      <c r="CS43" s="453">
        <f>('Attainment 25+ by race &amp; gender'!AAR42/'Pop 25+ by race &amp; gender'!ER41)*100</f>
        <v>15.610685016798943</v>
      </c>
      <c r="CT43" s="350">
        <f>IFERROR(('Attainment 25+ by race &amp; gender'!HQ42/'Pop 25+ by race &amp; gender'!DU41)*100,"-")</f>
        <v>90.143536011446997</v>
      </c>
      <c r="CU43" s="452">
        <f>IFERROR(('Attainment 25+ by race &amp; gender'!IP42/'Pop 25+ by race &amp; gender'!ET41)*100,"-")</f>
        <v>92.34365761015259</v>
      </c>
      <c r="CV43" s="350">
        <f>IFERROR(('Attainment 25+ by race &amp; gender'!HR42/'Pop 25+ by race &amp; gender'!DV41)*100,"-")</f>
        <v>85.540902656970914</v>
      </c>
      <c r="CW43" s="452">
        <f>IFERROR(('Attainment 25+ by race &amp; gender'!IQ42/'Pop 25+ by race &amp; gender'!EU41)*100, "-")</f>
        <v>87.290667317570154</v>
      </c>
      <c r="CX43" s="452">
        <f>IFERROR(('Attainment 25+ by race &amp; gender'!HS42/'Pop 25+ by race &amp; gender'!DX41)*100, "-")</f>
        <v>66.784490145672663</v>
      </c>
      <c r="CY43" s="452">
        <f>IFERROR(('Attainment 25+ by race &amp; gender'!IR42/'Pop 25+ by race &amp; gender'!EW41)*100, "-")</f>
        <v>75.41825260005055</v>
      </c>
      <c r="CZ43" s="452">
        <f>IFERROR(('Attainment 25+ by race &amp; gender'!HU42/'Pop 25+ by race &amp; gender'!DY41)*100, "-")</f>
        <v>82.530342913634357</v>
      </c>
      <c r="DA43" s="452">
        <f>IFERROR(('Attainment 25+ by race &amp; gender'!IT42/'Pop 25+ by race &amp; gender'!EX41)*100, "-")</f>
        <v>80.005868425845364</v>
      </c>
      <c r="DB43" s="452" t="str">
        <f>IFERROR(('Attainment 25+ by race &amp; gender'!HV42/'Pop 25+ by race &amp; gender'!DZ41)*100, "-")</f>
        <v>-</v>
      </c>
      <c r="DC43" s="452" t="str">
        <f>IFERROR(('Attainment 25+ by race &amp; gender'!IU42/'Pop 25+ by race &amp; gender'!EY41)*100, "-")</f>
        <v>-</v>
      </c>
      <c r="DD43" s="452">
        <f>IFERROR(('Attainment 25+ by race &amp; gender'!HW42/'Pop 25+ by race &amp; gender'!EA41)*100, "-")</f>
        <v>82.503770739064848</v>
      </c>
      <c r="DE43" s="452">
        <f>IFERROR(('Attainment 25+ by race &amp; gender'!IV42/'Pop 25+ by race &amp; gender'!EZ41)*100, "-")</f>
        <v>84.028110525475171</v>
      </c>
      <c r="DF43" s="452">
        <f>IFERROR(('Attainment 25+ by race &amp; gender'!HX42/'Pop 25+ by race &amp; gender'!EB41)*100, "-")</f>
        <v>86.844242004158829</v>
      </c>
      <c r="DG43" s="452">
        <f>IFERROR(('Attainment 25+ by race &amp; gender'!IW42/'Pop 25+ by race &amp; gender'!FA41)*100, "-")</f>
        <v>85.42984972814638</v>
      </c>
      <c r="DH43" s="452">
        <f>IFERROR(('Attainment 25+ by race &amp; gender'!HY42/'Pop 25+ by race &amp; gender'!EC41)*100, "-")</f>
        <v>60.501526123645945</v>
      </c>
      <c r="DI43" s="452">
        <f>IFERROR(('Attainment 25+ by race &amp; gender'!IX42/'Pop 25+ by race &amp; gender'!FB41)*100, "-")</f>
        <v>71.512056393226572</v>
      </c>
      <c r="DJ43" s="452">
        <f>IFERROR(('Attainment 25+ by race &amp; gender'!ZV42/'Pop 25+ by race &amp; gender'!DU41)*100, "-")</f>
        <v>26.76119047046031</v>
      </c>
      <c r="DK43" s="452">
        <f>IFERROR(('Attainment 25+ by race &amp; gender'!AAU42/'Pop 25+ by race &amp; gender'!ET41)*100, "-")</f>
        <v>29.710254518929901</v>
      </c>
      <c r="DL43" s="452">
        <f>IFERROR(('Attainment 25+ by race &amp; gender'!ZW42/'Pop 25+ by race &amp; gender'!DV41)*100, "-")</f>
        <v>15.748414353477616</v>
      </c>
      <c r="DM43" s="452">
        <f>IFERROR(('Attainment 25+ by race &amp; gender'!AAV42/'Pop 25+ by race &amp; gender'!EU41)*100, "-")</f>
        <v>20.865613193530585</v>
      </c>
      <c r="DN43" s="452">
        <f>IFERROR(('Attainment 25+ by race &amp; gender'!ZX42/'Pop 25+ by race &amp; gender'!DX41)*100, "-")</f>
        <v>13.273439731505285</v>
      </c>
      <c r="DO43" s="452">
        <f>IFERROR(('Attainment 25+ by race &amp; gender'!AAW42/'Pop 25+ by race &amp; gender'!EW41)*100, "-")</f>
        <v>20.131577458306772</v>
      </c>
      <c r="DP43" s="452">
        <f>IFERROR(('Attainment 25+ by race &amp; gender'!ZZ42/'Pop 25+ by race &amp; gender'!DY41)*100, "-")</f>
        <v>53.511916814559832</v>
      </c>
      <c r="DQ43" s="452">
        <f>IFERROR(('Attainment 25+ by race &amp; gender'!AAY42/'Pop 25+ by race &amp; gender'!EX41)*100, "-")</f>
        <v>53.424934739057406</v>
      </c>
      <c r="DR43" s="452" t="str">
        <f>IFERROR(('Attainment 25+ by race &amp; gender'!AAA42/'Pop 25+ by race &amp; gender'!DZ41)*100, "-")</f>
        <v>-</v>
      </c>
      <c r="DS43" s="452" t="str">
        <f>IFERROR(('Attainment 25+ by race &amp; gender'!AAZ42/'Pop 25+ by race &amp; gender'!EY41)*100, "-")</f>
        <v>-</v>
      </c>
      <c r="DT43" s="452">
        <f>IFERROR(('Attainment 25+ by race &amp; gender'!AAB42/'Pop 25+ by race &amp; gender'!EA41)*100, "-")</f>
        <v>17.880844645550528</v>
      </c>
      <c r="DU43" s="452">
        <f>IFERROR(('Attainment 25+ by race &amp; gender'!ABA42/'Pop 25+ by race &amp; gender'!EZ41)*100, "-")</f>
        <v>14.742053984986425</v>
      </c>
      <c r="DV43" s="452">
        <f>IFERROR(('Attainment 25+ by race &amp; gender'!AAC42/'Pop 25+ by race &amp; gender'!EB41)*100, "-")</f>
        <v>22.505198534508366</v>
      </c>
      <c r="DW43" s="452">
        <f>IFERROR(('Attainment 25+ by race &amp; gender'!ABB42/'Pop 25+ by race &amp; gender'!FA41)*100, "-")</f>
        <v>25.990409887045324</v>
      </c>
      <c r="DX43" s="452">
        <f>IFERROR(('Attainment 25+ by race &amp; gender'!AAD42/'Pop 25+ by race &amp; gender'!EC41)*100, "-")</f>
        <v>10.205278592375366</v>
      </c>
      <c r="DY43" s="452">
        <f>IFERROR(('Attainment 25+ by race &amp; gender'!ABC42/'Pop 25+ by race &amp; gender'!FB41)*100, "-")</f>
        <v>15.537617160743238</v>
      </c>
    </row>
    <row r="44" spans="1:129">
      <c r="A44" s="38" t="s">
        <v>41</v>
      </c>
      <c r="B44" s="351">
        <f>('Attainment 25+ by race &amp; gender'!FS43/'Pop 25+ by race &amp; gender'!AT42)*100</f>
        <v>86.88499596474162</v>
      </c>
      <c r="C44" s="444">
        <f>('Attainment 25+ by race &amp; gender'!GR43/'Pop 25+ by race &amp; gender'!CV42)*100</f>
        <v>91.600000000000009</v>
      </c>
      <c r="D44" s="352">
        <f>('Attainment 25+ by race &amp; gender'!FT43/'Pop 25+ by race &amp; gender'!AZ42)*100</f>
        <v>77.262031396060976</v>
      </c>
      <c r="E44" s="351">
        <f>IF('Pop 25+ by race &amp; gender'!CW42&gt;0,('Attainment 25+ by race &amp; gender'!GS43/'Pop 25+ by race &amp; gender'!CW42)*100,"—")</f>
        <v>82.2</v>
      </c>
      <c r="F44" s="352">
        <f>('Attainment 25+ by race &amp; gender'!FU43/'Pop 25+ by race &amp; gender'!BC42)*100</f>
        <v>52.303937345778351</v>
      </c>
      <c r="G44" s="351">
        <f>('Attainment 25+ by race &amp; gender'!GT43/'Pop 25+ by race &amp; gender'!CY42)*100</f>
        <v>54.999999999999993</v>
      </c>
      <c r="H44" s="352">
        <f>('Attainment 25+ by race &amp; gender'!XM43/'Pop 25+ by race &amp; gender'!AT42)*100</f>
        <v>21.26412685681268</v>
      </c>
      <c r="I44" s="351">
        <f>('Attainment 25+ by race &amp; gender'!YW43/'Pop 25+ by race &amp; gender'!CV42)*100</f>
        <v>25.400000000000006</v>
      </c>
      <c r="J44" s="352">
        <f>('Attainment 25+ by race &amp; gender'!XS43/'Pop 25+ by race &amp; gender'!AZ42)*100</f>
        <v>14.695548464042806</v>
      </c>
      <c r="K44" s="351">
        <f>IF('Pop 25+ by race &amp; gender'!CW42&gt;0,('Attainment 25+ by race &amp; gender'!YX43/'Pop 25+ by race &amp; gender'!CW42)*100,"—")</f>
        <v>16.600000000000001</v>
      </c>
      <c r="L44" s="352">
        <f>('Attainment 25+ by race &amp; gender'!XV43/'Pop 25+ by race &amp; gender'!BC42)*100</f>
        <v>10.975217251367878</v>
      </c>
      <c r="M44" s="437">
        <f>('Attainment 25+ by race &amp; gender'!YY43/'Pop 25+ by race &amp; gender'!CY42)*100</f>
        <v>10.600000000000001</v>
      </c>
      <c r="N44" s="351">
        <f>('Attainment 25+ by race &amp; gender'!FS43/'Pop 25+ by race &amp; gender'!AT42)*100</f>
        <v>86.88499596474162</v>
      </c>
      <c r="O44" s="445">
        <f>('Attainment 25+ by race &amp; gender'!GW43/'Pop 25+ by race &amp; gender'!DA42)*100</f>
        <v>92.729799312729583</v>
      </c>
      <c r="P44" s="352">
        <f>('Attainment 25+ by race &amp; gender'!FT43/'Pop 25+ by race &amp; gender'!AZ42)*100</f>
        <v>77.262031396060976</v>
      </c>
      <c r="Q44" s="351">
        <f>('Attainment 25+ by race &amp; gender'!GX43/'Pop 25+ by race &amp; gender'!DB42)*100</f>
        <v>82.740715415188674</v>
      </c>
      <c r="R44" s="352">
        <f>('Attainment 25+ by race &amp; gender'!FU43/'Pop 25+ by race &amp; gender'!BC42)*100</f>
        <v>52.303937345778351</v>
      </c>
      <c r="S44" s="351">
        <f>('Attainment 25+ by race &amp; gender'!GY43/'Pop 25+ by race &amp; gender'!DD42)*100</f>
        <v>54.888390957823972</v>
      </c>
      <c r="T44" s="352">
        <f>('Attainment 25+ by race &amp; gender'!XM43/'Pop 25+ by race &amp; gender'!AT42)*100</f>
        <v>21.26412685681268</v>
      </c>
      <c r="U44" s="351">
        <f>('Attainment 25+ by race &amp; gender'!ZB43/'Pop 25+ by race &amp; gender'!DA42)*100</f>
        <v>26.2038543159074</v>
      </c>
      <c r="V44" s="352">
        <f>('Attainment 25+ by race &amp; gender'!XS43/'Pop 25+ by race &amp; gender'!AZ42)*100</f>
        <v>14.695548464042806</v>
      </c>
      <c r="W44" s="351">
        <f>('Attainment 25+ by race &amp; gender'!ZC43/'Pop 25+ by race &amp; gender'!DB42)*100</f>
        <v>18.212316765673748</v>
      </c>
      <c r="X44" s="352">
        <f>('Attainment 25+ by race &amp; gender'!XV43/'Pop 25+ by race &amp; gender'!BC42)*100</f>
        <v>10.975217251367878</v>
      </c>
      <c r="Y44" s="437">
        <f>('Attainment 25+ by race &amp; gender'!ZD43/'Pop 25+ by race &amp; gender'!DD42)*100</f>
        <v>10.463170434240009</v>
      </c>
      <c r="Z44" s="351">
        <f>('Attainment 25+ by race &amp; gender'!FS43/'Pop 25+ by race &amp; gender'!AT42)*100</f>
        <v>86.88499596474162</v>
      </c>
      <c r="AA44" s="445">
        <f>('Attainment 25+ by race &amp; gender'!HB43/'Pop 25+ by race &amp; gender'!DF42)*100</f>
        <v>92.979080721514592</v>
      </c>
      <c r="AB44" s="352">
        <f>('Attainment 25+ by race &amp; gender'!FT43/'Pop 25+ by race &amp; gender'!AZ42)*100</f>
        <v>77.262031396060976</v>
      </c>
      <c r="AC44" s="351">
        <f>('Attainment 25+ by race &amp; gender'!HC43/'Pop 25+ by race &amp; gender'!DG42)*100</f>
        <v>82.930998970133885</v>
      </c>
      <c r="AD44" s="352">
        <f>('Attainment 25+ by race &amp; gender'!FU43/'Pop 25+ by race &amp; gender'!BC42)*100</f>
        <v>52.303937345778351</v>
      </c>
      <c r="AE44" s="351">
        <f>('Attainment 25+ by race &amp; gender'!HD43/'Pop 25+ by race &amp; gender'!DI42)*100</f>
        <v>56.167299349240785</v>
      </c>
      <c r="AF44" s="352">
        <f>('Attainment 25+ by race &amp; gender'!XM43/'Pop 25+ by race &amp; gender'!AT42)*100</f>
        <v>21.26412685681268</v>
      </c>
      <c r="AG44" s="351">
        <f>('Attainment 25+ by race &amp; gender'!ZG43/'Pop 25+ by race &amp; gender'!DF42)*100</f>
        <v>26.57878354884803</v>
      </c>
      <c r="AH44" s="352">
        <f>('Attainment 25+ by race &amp; gender'!XS43/'Pop 25+ by race &amp; gender'!AZ42)*100</f>
        <v>14.695548464042806</v>
      </c>
      <c r="AI44" s="351">
        <f>('Attainment 25+ by race &amp; gender'!ZH43/'Pop 25+ by race &amp; gender'!DG42)*100</f>
        <v>16.889804325437694</v>
      </c>
      <c r="AJ44" s="352">
        <f>('Attainment 25+ by race &amp; gender'!XV43/'Pop 25+ by race &amp; gender'!BC42)*100</f>
        <v>10.975217251367878</v>
      </c>
      <c r="AK44" s="453">
        <f>('Attainment 25+ by race &amp; gender'!ZI43/'Pop 25+ by race &amp; gender'!DI42)*100</f>
        <v>11.228308026030369</v>
      </c>
      <c r="AL44" s="352">
        <f>('Attainment 25+ by race &amp; gender'!FS43/'Pop 25+ by race &amp; gender'!AT42)*100</f>
        <v>86.88499596474162</v>
      </c>
      <c r="AM44" s="453">
        <f>('Attainment 25+ by race &amp; gender'!HL43/'Pop 25+ by race &amp; gender'!DP42)*100</f>
        <v>93.643528746304668</v>
      </c>
      <c r="AN44" s="352">
        <v>77.262031396060976</v>
      </c>
      <c r="AO44" s="453">
        <f>('Attainment 25+ by race &amp; gender'!HM43/'Pop 25+ by race &amp; gender'!DQ42)*100</f>
        <v>83.502086671714594</v>
      </c>
      <c r="AP44" s="453">
        <f>('Attainment 25+ by race &amp; gender'!FU43/'Pop 25+ by race &amp; gender'!BC42)*100</f>
        <v>52.303937345778351</v>
      </c>
      <c r="AQ44" s="453">
        <f>('Attainment 25+ by race &amp; gender'!HN43/'Pop 25+ by race &amp; gender'!DS42)*100</f>
        <v>57.691687644936074</v>
      </c>
      <c r="AR44" s="453">
        <f>('Attainment 25+ by race &amp; gender'!XM43/'Pop 25+ by race &amp; gender'!AT42)*100</f>
        <v>21.26412685681268</v>
      </c>
      <c r="AS44" s="453">
        <f>('Attainment 25+ by race &amp; gender'!ZQ43/'Pop 25+ by race &amp; gender'!DP42)*100</f>
        <v>27.580070224868997</v>
      </c>
      <c r="AT44" s="453">
        <f>('Attainment 25+ by race &amp; gender'!XS43/'Pop 25+ by race &amp; gender'!AZ42)*100</f>
        <v>14.695548464042806</v>
      </c>
      <c r="AU44" s="453">
        <f>('Attainment 25+ by race &amp; gender'!ZR43/'Pop 25+ by race &amp; gender'!DQ42)*100</f>
        <v>14.19465037243128</v>
      </c>
      <c r="AV44" s="453">
        <f>('Attainment 25+ by race &amp; gender'!XV43/'Pop 25+ by race &amp; gender'!BC42)*100</f>
        <v>10.975217251367878</v>
      </c>
      <c r="AW44" s="453">
        <f>('Attainment 25+ by race &amp; gender'!ZS43/'Pop 25+ by race &amp; gender'!DS42)*100</f>
        <v>10.814866255781942</v>
      </c>
      <c r="AX44" s="352">
        <f>('Attainment 25+ by race &amp; gender'!GR43/'Pop 25+ by race &amp; gender'!CV42)*100</f>
        <v>91.600000000000009</v>
      </c>
      <c r="AY44" s="453">
        <f>('Attainment 25+ by race &amp; gender'!HQ43/'Pop 25+ by race &amp; gender'!DU42)*100</f>
        <v>93.717487080234392</v>
      </c>
      <c r="AZ44" s="352">
        <f>('Attainment 25+ by race &amp; gender'!GS43/'Pop 25+ by race &amp; gender'!CW42)*100</f>
        <v>82.2</v>
      </c>
      <c r="BA44" s="453">
        <f>('Attainment 25+ by race &amp; gender'!HR43/'Pop 25+ by race &amp; gender'!DV42)*100</f>
        <v>82.329135180520581</v>
      </c>
      <c r="BB44" s="453">
        <f>('Attainment 25+ by race &amp; gender'!GT43/'Pop 25+ by race &amp; gender'!CY42)*100</f>
        <v>54.999999999999993</v>
      </c>
      <c r="BC44" s="453">
        <f>('Attainment 25+ by race &amp; gender'!HS43/'Pop 25+ by race &amp; gender'!DX42)*100</f>
        <v>60.898731958160468</v>
      </c>
      <c r="BD44" s="453">
        <f>('Attainment 25+ by race &amp; gender'!YW43/'Pop 25+ by race &amp; gender'!CV42)*100</f>
        <v>25.400000000000006</v>
      </c>
      <c r="BE44" s="453">
        <f>('Attainment 25+ by race &amp; gender'!ZV43/'Pop 25+ by race &amp; gender'!DU42)*100</f>
        <v>28.803311046893331</v>
      </c>
      <c r="BF44" s="453">
        <f>('Attainment 25+ by race &amp; gender'!YX43/'Pop 25+ by race &amp; gender'!CW42)*100</f>
        <v>16.600000000000001</v>
      </c>
      <c r="BG44" s="453">
        <f>('Attainment 25+ by race &amp; gender'!ZW43/'Pop 25+ by race &amp; gender'!DV42)*100</f>
        <v>19.867338371116709</v>
      </c>
      <c r="BH44" s="453">
        <f>('Attainment 25+ by race &amp; gender'!YY43/'Pop 25+ by race &amp; gender'!CY42)*100</f>
        <v>10.600000000000001</v>
      </c>
      <c r="BI44" s="453">
        <f>('Attainment 25+ by race &amp; gender'!ZX43/'Pop 25+ by race &amp; gender'!DX42)*100</f>
        <v>12.432653538245777</v>
      </c>
      <c r="BJ44" s="352">
        <f>('Attainment 25+ by race &amp; gender'!GW43/'Pop 25+ by race &amp; gender'!DA42)*100</f>
        <v>92.729799312729583</v>
      </c>
      <c r="BK44" s="453">
        <f>('Attainment 25+ by race &amp; gender'!IA43/'Pop 25+ by race &amp; gender'!EE42)*100</f>
        <v>94.065482381684021</v>
      </c>
      <c r="BL44" s="352">
        <f>('Attainment 25+ by race &amp; gender'!GX43/'Pop 25+ by race &amp; gender'!DB42)*100</f>
        <v>82.740715415188674</v>
      </c>
      <c r="BM44" s="453">
        <f>('Attainment 25+ by race &amp; gender'!IB43/'Pop 25+ by race &amp; gender'!EF42)*100</f>
        <v>85.48999038377481</v>
      </c>
      <c r="BN44" s="453">
        <f>('Attainment 25+ by race &amp; gender'!GY43/'Pop 25+ by race &amp; gender'!DD42)*100</f>
        <v>54.888390957823972</v>
      </c>
      <c r="BO44" s="453">
        <f>('Attainment 25+ by race &amp; gender'!IC43/'Pop 25+ by race &amp; gender'!EH42)*100</f>
        <v>62.722868982960897</v>
      </c>
      <c r="BP44" s="453">
        <f>('Attainment 25+ by race &amp; gender'!ZB43/'Pop 25+ by race &amp; gender'!DA42)*100</f>
        <v>26.2038543159074</v>
      </c>
      <c r="BQ44" s="453">
        <f>('Attainment 25+ by race &amp; gender'!AAF43/'Pop 25+ by race &amp; gender'!EE42)*100</f>
        <v>29.672481357571201</v>
      </c>
      <c r="BR44" s="453">
        <f>('Attainment 25+ by race &amp; gender'!ZC43/'Pop 25+ by race &amp; gender'!DB42)*100</f>
        <v>18.212316765673748</v>
      </c>
      <c r="BS44" s="453">
        <f>('Attainment 25+ by race &amp; gender'!AAG43/'Pop 25+ by race &amp; gender'!EF42)*100</f>
        <v>19.683538770871582</v>
      </c>
      <c r="BT44" s="453">
        <f>('Attainment 25+ by race &amp; gender'!ZD43/'Pop 25+ by race &amp; gender'!DD42)*100</f>
        <v>10.463170434240009</v>
      </c>
      <c r="BU44" s="453">
        <f>('Attainment 25+ by race &amp; gender'!AAH43/'Pop 25+ by race &amp; gender'!EH42)*100</f>
        <v>13.151387179458226</v>
      </c>
      <c r="BV44" s="352">
        <f>('Attainment 25+ by race &amp; gender'!HN43/'Pop 25+ by race &amp; gender'!DR42)*100</f>
        <v>52.154708520179369</v>
      </c>
      <c r="BW44" s="453" t="e">
        <f>('Attainment 25+ by race &amp; gender'!JB43/'Pop 25+ by race &amp; gender'!EQ42)*100</f>
        <v>#VALUE!</v>
      </c>
      <c r="BX44" s="352">
        <f>('Attainment 25+ by race &amp; gender'!HO43/'Pop 25+ by race &amp; gender'!DS42)*100</f>
        <v>83.392651198551576</v>
      </c>
      <c r="BY44" s="453" t="e">
        <f>('Attainment 25+ by race &amp; gender'!JC43/'Pop 25+ by race &amp; gender'!ER42)*100</f>
        <v>#VALUE!</v>
      </c>
      <c r="BZ44" s="453">
        <f>('Attainment 25+ by race &amp; gender'!HP43/'Pop 25+ by race &amp; gender'!DU42)*100</f>
        <v>102.21170587877357</v>
      </c>
      <c r="CA44" s="453">
        <f>('Attainment 25+ by race &amp; gender'!JD43/'Pop 25+ by race &amp; gender'!ET42)*100</f>
        <v>23.621740661964598</v>
      </c>
      <c r="CB44" s="453">
        <f>('Attainment 25+ by race &amp; gender'!ZS43/'Pop 25+ by race &amp; gender'!DR42)*100</f>
        <v>9.7769058295964122</v>
      </c>
      <c r="CC44" s="453">
        <f>('Attainment 25+ by race &amp; gender'!ABB43/'Pop 25+ by race &amp; gender'!EQ42)*100</f>
        <v>24.246878040869284</v>
      </c>
      <c r="CD44" s="453">
        <f>('Attainment 25+ by race &amp; gender'!ZT43/'Pop 25+ by race &amp; gender'!DS42)*100</f>
        <v>30.57701608402882</v>
      </c>
      <c r="CE44" s="453">
        <f>('Attainment 25+ by race &amp; gender'!ABC43/'Pop 25+ by race &amp; gender'!ER42)*100</f>
        <v>6.8897513235325141</v>
      </c>
      <c r="CF44" s="453">
        <f>('Attainment 25+ by race &amp; gender'!ZU43/'Pop 25+ by race &amp; gender'!DU42)*100</f>
        <v>31.660871765254718</v>
      </c>
      <c r="CG44" s="453">
        <f>('Attainment 25+ by race &amp; gender'!ABD43/'Pop 25+ by race &amp; gender'!ET42)*100</f>
        <v>6.6546022646298804</v>
      </c>
      <c r="CH44" s="352">
        <f>('Attainment 25+ by race &amp; gender'!HG43/'Pop 25+ by race &amp; gender'!DK42)*100</f>
        <v>93.934411219987297</v>
      </c>
      <c r="CI44" s="452">
        <f>('Attainment 25+ by race &amp; gender'!IK43/'Pop 25+ by race &amp; gender'!EO42)*100</f>
        <v>94.617153287780937</v>
      </c>
      <c r="CJ44" s="352">
        <f>('Attainment 25+ by race &amp; gender'!HH43/'Pop 25+ by race &amp; gender'!DL42)*100</f>
        <v>83.766638346077599</v>
      </c>
      <c r="CK44" s="453">
        <f>('Attainment 25+ by race &amp; gender'!IL43/'Pop 25+ by race &amp; gender'!EP42)*100</f>
        <v>83.001298665414055</v>
      </c>
      <c r="CL44" s="453">
        <f>('Attainment 25+ by race &amp; gender'!HI43/'Pop 25+ by race &amp; gender'!DN42)*100</f>
        <v>59.921444217841227</v>
      </c>
      <c r="CM44" s="453">
        <f>('Attainment 25+ by race &amp; gender'!IM43/'Pop 25+ by race &amp; gender'!ER42)*100</f>
        <v>67.531796418552659</v>
      </c>
      <c r="CN44" s="453">
        <f>('Attainment 25+ by race &amp; gender'!ZL43/'Pop 25+ by race &amp; gender'!DK42)*100</f>
        <v>28.028390500019544</v>
      </c>
      <c r="CO44" s="453">
        <f>('Attainment 25+ by race &amp; gender'!AAP43/'Pop 25+ by race &amp; gender'!EO42)*100</f>
        <v>30.154090769676419</v>
      </c>
      <c r="CP44" s="453">
        <f>('Attainment 25+ by race &amp; gender'!ZM43/'Pop 25+ by race &amp; gender'!DL42)*100</f>
        <v>19.140942131596336</v>
      </c>
      <c r="CQ44" s="453">
        <f>('Attainment 25+ by race &amp; gender'!AAQ43/'Pop 25+ by race &amp; gender'!EP42)*100</f>
        <v>14.871100549860463</v>
      </c>
      <c r="CR44" s="453">
        <f>('Attainment 25+ by race &amp; gender'!ZN43/'Pop 25+ by race &amp; gender'!DN42)*100</f>
        <v>12.931490293828841</v>
      </c>
      <c r="CS44" s="453">
        <f>('Attainment 25+ by race &amp; gender'!AAR43/'Pop 25+ by race &amp; gender'!ER42)*100</f>
        <v>13.812195482061124</v>
      </c>
      <c r="CT44" s="350">
        <f>IFERROR(('Attainment 25+ by race &amp; gender'!HQ43/'Pop 25+ by race &amp; gender'!DU42)*100,"-")</f>
        <v>93.717487080234392</v>
      </c>
      <c r="CU44" s="452">
        <f>IFERROR(('Attainment 25+ by race &amp; gender'!IP43/'Pop 25+ by race &amp; gender'!ET42)*100,"-")</f>
        <v>95.30988752141073</v>
      </c>
      <c r="CV44" s="350">
        <f>IFERROR(('Attainment 25+ by race &amp; gender'!HR43/'Pop 25+ by race &amp; gender'!DV42)*100,"-")</f>
        <v>82.329135180520581</v>
      </c>
      <c r="CW44" s="452">
        <f>IFERROR(('Attainment 25+ by race &amp; gender'!IQ43/'Pop 25+ by race &amp; gender'!EU42)*100, "-")</f>
        <v>85.754271765663134</v>
      </c>
      <c r="CX44" s="452">
        <f>IFERROR(('Attainment 25+ by race &amp; gender'!HS43/'Pop 25+ by race &amp; gender'!DX42)*100, "-")</f>
        <v>60.898731958160468</v>
      </c>
      <c r="CY44" s="452">
        <f>IFERROR(('Attainment 25+ by race &amp; gender'!IR43/'Pop 25+ by race &amp; gender'!EW42)*100, "-")</f>
        <v>70.290113902448709</v>
      </c>
      <c r="CZ44" s="452">
        <f>IFERROR(('Attainment 25+ by race &amp; gender'!HU43/'Pop 25+ by race &amp; gender'!DY42)*100, "-")</f>
        <v>82.779896791563829</v>
      </c>
      <c r="DA44" s="452">
        <f>IFERROR(('Attainment 25+ by race &amp; gender'!IT43/'Pop 25+ by race &amp; gender'!EX42)*100, "-")</f>
        <v>77.01173644619567</v>
      </c>
      <c r="DB44" s="452" t="str">
        <f>IFERROR(('Attainment 25+ by race &amp; gender'!HV43/'Pop 25+ by race &amp; gender'!DZ42)*100, "-")</f>
        <v>-</v>
      </c>
      <c r="DC44" s="452" t="str">
        <f>IFERROR(('Attainment 25+ by race &amp; gender'!IU43/'Pop 25+ by race &amp; gender'!EY42)*100, "-")</f>
        <v>-</v>
      </c>
      <c r="DD44" s="452">
        <f>IFERROR(('Attainment 25+ by race &amp; gender'!HW43/'Pop 25+ by race &amp; gender'!EA42)*100, "-")</f>
        <v>82.949932341001357</v>
      </c>
      <c r="DE44" s="452">
        <f>IFERROR(('Attainment 25+ by race &amp; gender'!IV43/'Pop 25+ by race &amp; gender'!EZ42)*100, "-")</f>
        <v>84.352603917821313</v>
      </c>
      <c r="DF44" s="452">
        <f>IFERROR(('Attainment 25+ by race &amp; gender'!HX43/'Pop 25+ by race &amp; gender'!EB42)*100, "-")</f>
        <v>89.351569854366247</v>
      </c>
      <c r="DG44" s="452">
        <f>IFERROR(('Attainment 25+ by race &amp; gender'!IW43/'Pop 25+ by race &amp; gender'!FA42)*100, "-")</f>
        <v>83.612586431506159</v>
      </c>
      <c r="DH44" s="452">
        <f>IFERROR(('Attainment 25+ by race &amp; gender'!HY43/'Pop 25+ by race &amp; gender'!EC42)*100, "-")</f>
        <v>52.334886993228395</v>
      </c>
      <c r="DI44" s="452">
        <f>IFERROR(('Attainment 25+ by race &amp; gender'!IX43/'Pop 25+ by race &amp; gender'!FB42)*100, "-")</f>
        <v>64.057629338572369</v>
      </c>
      <c r="DJ44" s="452">
        <f>IFERROR(('Attainment 25+ by race &amp; gender'!ZV43/'Pop 25+ by race &amp; gender'!DU42)*100, "-")</f>
        <v>28.803311046893331</v>
      </c>
      <c r="DK44" s="452">
        <f>IFERROR(('Attainment 25+ by race &amp; gender'!AAU43/'Pop 25+ by race &amp; gender'!ET42)*100, "-")</f>
        <v>31.306424159637313</v>
      </c>
      <c r="DL44" s="452">
        <f>IFERROR(('Attainment 25+ by race &amp; gender'!ZW43/'Pop 25+ by race &amp; gender'!DV42)*100, "-")</f>
        <v>19.867338371116709</v>
      </c>
      <c r="DM44" s="452">
        <f>IFERROR(('Attainment 25+ by race &amp; gender'!AAV43/'Pop 25+ by race &amp; gender'!EU42)*100, "-")</f>
        <v>22.034174125305125</v>
      </c>
      <c r="DN44" s="452">
        <f>IFERROR(('Attainment 25+ by race &amp; gender'!ZX43/'Pop 25+ by race &amp; gender'!DX42)*100, "-")</f>
        <v>12.432653538245777</v>
      </c>
      <c r="DO44" s="452">
        <f>IFERROR(('Attainment 25+ by race &amp; gender'!AAW43/'Pop 25+ by race &amp; gender'!EW42)*100, "-")</f>
        <v>16.640869944834701</v>
      </c>
      <c r="DP44" s="452">
        <f>IFERROR(('Attainment 25+ by race &amp; gender'!ZZ43/'Pop 25+ by race &amp; gender'!DY42)*100, "-")</f>
        <v>52.629571460623737</v>
      </c>
      <c r="DQ44" s="452">
        <f>IFERROR(('Attainment 25+ by race &amp; gender'!AAY43/'Pop 25+ by race &amp; gender'!EX42)*100, "-")</f>
        <v>41.543226785225137</v>
      </c>
      <c r="DR44" s="452" t="str">
        <f>IFERROR(('Attainment 25+ by race &amp; gender'!AAA43/'Pop 25+ by race &amp; gender'!DZ42)*100, "-")</f>
        <v>-</v>
      </c>
      <c r="DS44" s="452" t="str">
        <f>IFERROR(('Attainment 25+ by race &amp; gender'!AAZ43/'Pop 25+ by race &amp; gender'!EY42)*100, "-")</f>
        <v>-</v>
      </c>
      <c r="DT44" s="452">
        <f>IFERROR(('Attainment 25+ by race &amp; gender'!AAB43/'Pop 25+ by race &amp; gender'!EA42)*100, "-")</f>
        <v>25.244324161780185</v>
      </c>
      <c r="DU44" s="452">
        <f>IFERROR(('Attainment 25+ by race &amp; gender'!ABA43/'Pop 25+ by race &amp; gender'!EZ42)*100, "-")</f>
        <v>17.594362159579553</v>
      </c>
      <c r="DV44" s="452">
        <f>IFERROR(('Attainment 25+ by race &amp; gender'!AAC43/'Pop 25+ by race &amp; gender'!EB42)*100, "-")</f>
        <v>32.89772412647433</v>
      </c>
      <c r="DW44" s="452">
        <f>IFERROR(('Attainment 25+ by race &amp; gender'!ABB43/'Pop 25+ by race &amp; gender'!FA42)*100, "-")</f>
        <v>23.971339813608576</v>
      </c>
      <c r="DX44" s="452">
        <f>IFERROR(('Attainment 25+ by race &amp; gender'!AAD43/'Pop 25+ by race &amp; gender'!EC42)*100, "-")</f>
        <v>11.564506199982413</v>
      </c>
      <c r="DY44" s="452">
        <f>IFERROR(('Attainment 25+ by race &amp; gender'!ABC43/'Pop 25+ by race &amp; gender'!FB42)*100, "-")</f>
        <v>17.11329404060249</v>
      </c>
    </row>
    <row r="45" spans="1:129">
      <c r="A45" s="38" t="s">
        <v>42</v>
      </c>
      <c r="B45" s="351">
        <f>('Attainment 25+ by race &amp; gender'!FS44/'Pop 25+ by race &amp; gender'!AT43)*100</f>
        <v>87.845677587757336</v>
      </c>
      <c r="C45" s="444">
        <f>('Attainment 25+ by race &amp; gender'!GR44/'Pop 25+ by race &amp; gender'!CV43)*100</f>
        <v>90.8</v>
      </c>
      <c r="D45" s="352">
        <f>('Attainment 25+ by race &amp; gender'!FT44/'Pop 25+ by race &amp; gender'!AZ43)*100</f>
        <v>0</v>
      </c>
      <c r="E45" s="351">
        <f>IF('Pop 25+ by race &amp; gender'!CW43&gt;0,('Attainment 25+ by race &amp; gender'!GS44/'Pop 25+ by race &amp; gender'!CW43)*100,"—")</f>
        <v>85.90000000000002</v>
      </c>
      <c r="F45" s="352">
        <f>('Attainment 25+ by race &amp; gender'!FU44/'Pop 25+ by race &amp; gender'!BC43)*100</f>
        <v>0</v>
      </c>
      <c r="G45" s="351">
        <f>('Attainment 25+ by race &amp; gender'!GT44/'Pop 25+ by race &amp; gender'!CY43)*100</f>
        <v>59.599999999999994</v>
      </c>
      <c r="H45" s="352">
        <f>('Attainment 25+ by race &amp; gender'!XM44/'Pop 25+ by race &amp; gender'!AT43)*100</f>
        <v>26.892489462221835</v>
      </c>
      <c r="I45" s="351">
        <f>('Attainment 25+ by race &amp; gender'!YW44/'Pop 25+ by race &amp; gender'!CV43)*100</f>
        <v>30.700000000000006</v>
      </c>
      <c r="J45" s="352">
        <f>('Attainment 25+ by race &amp; gender'!XS44/'Pop 25+ by race &amp; gender'!AZ43)*100</f>
        <v>14.852196400991344</v>
      </c>
      <c r="K45" s="351">
        <f>IF('Pop 25+ by race &amp; gender'!CW43&gt;0,('Attainment 25+ by race &amp; gender'!YX44/'Pop 25+ by race &amp; gender'!CW43)*100,"—")</f>
        <v>19.000000000000004</v>
      </c>
      <c r="L45" s="352">
        <f>('Attainment 25+ by race &amp; gender'!XV44/'Pop 25+ by race &amp; gender'!BC43)*100</f>
        <v>9.709087529335223</v>
      </c>
      <c r="M45" s="437">
        <f>('Attainment 25+ by race &amp; gender'!YY44/'Pop 25+ by race &amp; gender'!CY43)*100</f>
        <v>11.200000000000001</v>
      </c>
      <c r="N45" s="351">
        <f>('Attainment 25+ by race &amp; gender'!FS44/'Pop 25+ by race &amp; gender'!AT43)*100</f>
        <v>87.845677587757336</v>
      </c>
      <c r="O45" s="445">
        <f>('Attainment 25+ by race &amp; gender'!GW44/'Pop 25+ by race &amp; gender'!DA43)*100</f>
        <v>93.03012918495466</v>
      </c>
      <c r="P45" s="352">
        <f>('Attainment 25+ by race &amp; gender'!FT44/'Pop 25+ by race &amp; gender'!AZ43)*100</f>
        <v>0</v>
      </c>
      <c r="Q45" s="351">
        <f>('Attainment 25+ by race &amp; gender'!GX44/'Pop 25+ by race &amp; gender'!DB43)*100</f>
        <v>86.795325487614178</v>
      </c>
      <c r="R45" s="352">
        <f>('Attainment 25+ by race &amp; gender'!FU44/'Pop 25+ by race &amp; gender'!BC43)*100</f>
        <v>0</v>
      </c>
      <c r="S45" s="351">
        <f>('Attainment 25+ by race &amp; gender'!GY44/'Pop 25+ by race &amp; gender'!DD43)*100</f>
        <v>59.891303602881209</v>
      </c>
      <c r="T45" s="352">
        <f>('Attainment 25+ by race &amp; gender'!XM44/'Pop 25+ by race &amp; gender'!AT43)*100</f>
        <v>26.892489462221835</v>
      </c>
      <c r="U45" s="351">
        <f>('Attainment 25+ by race &amp; gender'!ZB44/'Pop 25+ by race &amp; gender'!DA43)*100</f>
        <v>32.313004024996104</v>
      </c>
      <c r="V45" s="352">
        <f>('Attainment 25+ by race &amp; gender'!XS44/'Pop 25+ by race &amp; gender'!AZ43)*100</f>
        <v>14.852196400991344</v>
      </c>
      <c r="W45" s="351">
        <f>('Attainment 25+ by race &amp; gender'!ZC44/'Pop 25+ by race &amp; gender'!DB43)*100</f>
        <v>18.594148629742406</v>
      </c>
      <c r="X45" s="352">
        <f>('Attainment 25+ by race &amp; gender'!XV44/'Pop 25+ by race &amp; gender'!BC43)*100</f>
        <v>9.709087529335223</v>
      </c>
      <c r="Y45" s="437">
        <f>('Attainment 25+ by race &amp; gender'!ZD44/'Pop 25+ by race &amp; gender'!DD43)*100</f>
        <v>11.833240811179417</v>
      </c>
      <c r="Z45" s="351">
        <f>('Attainment 25+ by race &amp; gender'!FS44/'Pop 25+ by race &amp; gender'!AT43)*100</f>
        <v>87.845677587757336</v>
      </c>
      <c r="AA45" s="445">
        <f>('Attainment 25+ by race &amp; gender'!HB44/'Pop 25+ by race &amp; gender'!DF43)*100</f>
        <v>93.3821719433315</v>
      </c>
      <c r="AB45" s="352">
        <f>('Attainment 25+ by race &amp; gender'!FT44/'Pop 25+ by race &amp; gender'!AZ43)*100</f>
        <v>0</v>
      </c>
      <c r="AC45" s="351">
        <f>('Attainment 25+ by race &amp; gender'!HC44/'Pop 25+ by race &amp; gender'!DG43)*100</f>
        <v>87.251320355351126</v>
      </c>
      <c r="AD45" s="352">
        <f>('Attainment 25+ by race &amp; gender'!FU44/'Pop 25+ by race &amp; gender'!BC43)*100</f>
        <v>0</v>
      </c>
      <c r="AE45" s="351">
        <f>('Attainment 25+ by race &amp; gender'!HD44/'Pop 25+ by race &amp; gender'!DI43)*100</f>
        <v>60.204040781466851</v>
      </c>
      <c r="AF45" s="352">
        <f>('Attainment 25+ by race &amp; gender'!XM44/'Pop 25+ by race &amp; gender'!AT43)*100</f>
        <v>26.892489462221835</v>
      </c>
      <c r="AG45" s="351">
        <f>('Attainment 25+ by race &amp; gender'!ZG44/'Pop 25+ by race &amp; gender'!DF43)*100</f>
        <v>32.819545918768171</v>
      </c>
      <c r="AH45" s="352">
        <f>('Attainment 25+ by race &amp; gender'!XS44/'Pop 25+ by race &amp; gender'!AZ43)*100</f>
        <v>14.852196400991344</v>
      </c>
      <c r="AI45" s="351">
        <f>('Attainment 25+ by race &amp; gender'!ZH44/'Pop 25+ by race &amp; gender'!DG43)*100</f>
        <v>18.029083434246811</v>
      </c>
      <c r="AJ45" s="352">
        <f>('Attainment 25+ by race &amp; gender'!XV44/'Pop 25+ by race &amp; gender'!BC43)*100</f>
        <v>9.709087529335223</v>
      </c>
      <c r="AK45" s="453">
        <f>('Attainment 25+ by race &amp; gender'!ZI44/'Pop 25+ by race &amp; gender'!DI43)*100</f>
        <v>11.57921426283762</v>
      </c>
      <c r="AL45" s="352">
        <f>('Attainment 25+ by race &amp; gender'!FS44/'Pop 25+ by race &amp; gender'!AT43)*100</f>
        <v>87.845677587757336</v>
      </c>
      <c r="AM45" s="453">
        <f>('Attainment 25+ by race &amp; gender'!HL44/'Pop 25+ by race &amp; gender'!DP43)*100</f>
        <v>93.744619218535931</v>
      </c>
      <c r="AN45" s="352">
        <v>0</v>
      </c>
      <c r="AO45" s="453">
        <f>('Attainment 25+ by race &amp; gender'!HM44/'Pop 25+ by race &amp; gender'!DQ43)*100</f>
        <v>86.425933125972008</v>
      </c>
      <c r="AP45" s="453">
        <f>('Attainment 25+ by race &amp; gender'!FU44/'Pop 25+ by race &amp; gender'!BC43)*100</f>
        <v>0</v>
      </c>
      <c r="AQ45" s="453">
        <f>('Attainment 25+ by race &amp; gender'!HN44/'Pop 25+ by race &amp; gender'!DS43)*100</f>
        <v>62.603474158267211</v>
      </c>
      <c r="AR45" s="453">
        <f>('Attainment 25+ by race &amp; gender'!XM44/'Pop 25+ by race &amp; gender'!AT43)*100</f>
        <v>26.892489462221835</v>
      </c>
      <c r="AS45" s="453">
        <f>('Attainment 25+ by race &amp; gender'!ZQ44/'Pop 25+ by race &amp; gender'!DP43)*100</f>
        <v>34.279371805390475</v>
      </c>
      <c r="AT45" s="453">
        <f>('Attainment 25+ by race &amp; gender'!XS44/'Pop 25+ by race &amp; gender'!AZ43)*100</f>
        <v>14.852196400991344</v>
      </c>
      <c r="AU45" s="453">
        <f>('Attainment 25+ by race &amp; gender'!ZR44/'Pop 25+ by race &amp; gender'!DQ43)*100</f>
        <v>19.275855365474339</v>
      </c>
      <c r="AV45" s="453">
        <f>('Attainment 25+ by race &amp; gender'!XV44/'Pop 25+ by race &amp; gender'!BC43)*100</f>
        <v>9.709087529335223</v>
      </c>
      <c r="AW45" s="453">
        <f>('Attainment 25+ by race &amp; gender'!ZS44/'Pop 25+ by race &amp; gender'!DS43)*100</f>
        <v>12.744707576361019</v>
      </c>
      <c r="AX45" s="352">
        <f>('Attainment 25+ by race &amp; gender'!GR44/'Pop 25+ by race &amp; gender'!CV43)*100</f>
        <v>90.8</v>
      </c>
      <c r="AY45" s="453">
        <f>('Attainment 25+ by race &amp; gender'!HQ44/'Pop 25+ by race &amp; gender'!DU43)*100</f>
        <v>93.841343882390717</v>
      </c>
      <c r="AZ45" s="352">
        <f>('Attainment 25+ by race &amp; gender'!GS44/'Pop 25+ by race &amp; gender'!CW43)*100</f>
        <v>85.90000000000002</v>
      </c>
      <c r="BA45" s="453">
        <f>('Attainment 25+ by race &amp; gender'!HR44/'Pop 25+ by race &amp; gender'!DV43)*100</f>
        <v>88.109950156190337</v>
      </c>
      <c r="BB45" s="453">
        <f>('Attainment 25+ by race &amp; gender'!GT44/'Pop 25+ by race &amp; gender'!CY43)*100</f>
        <v>59.599999999999994</v>
      </c>
      <c r="BC45" s="453">
        <f>('Attainment 25+ by race &amp; gender'!HS44/'Pop 25+ by race &amp; gender'!DX43)*100</f>
        <v>63.552500290767078</v>
      </c>
      <c r="BD45" s="453">
        <f>('Attainment 25+ by race &amp; gender'!YW44/'Pop 25+ by race &amp; gender'!CV43)*100</f>
        <v>30.700000000000006</v>
      </c>
      <c r="BE45" s="453">
        <f>('Attainment 25+ by race &amp; gender'!ZV44/'Pop 25+ by race &amp; gender'!DU43)*100</f>
        <v>35.207740035865406</v>
      </c>
      <c r="BF45" s="453">
        <f>('Attainment 25+ by race &amp; gender'!YX44/'Pop 25+ by race &amp; gender'!CW43)*100</f>
        <v>19.000000000000004</v>
      </c>
      <c r="BG45" s="453">
        <f>('Attainment 25+ by race &amp; gender'!ZW44/'Pop 25+ by race &amp; gender'!DV43)*100</f>
        <v>20.420293970759605</v>
      </c>
      <c r="BH45" s="453">
        <f>('Attainment 25+ by race &amp; gender'!YY44/'Pop 25+ by race &amp; gender'!CY43)*100</f>
        <v>11.200000000000001</v>
      </c>
      <c r="BI45" s="453">
        <f>('Attainment 25+ by race &amp; gender'!ZX44/'Pop 25+ by race &amp; gender'!DX43)*100</f>
        <v>13.928661063534136</v>
      </c>
      <c r="BJ45" s="352">
        <f>('Attainment 25+ by race &amp; gender'!GW44/'Pop 25+ by race &amp; gender'!DA43)*100</f>
        <v>93.03012918495466</v>
      </c>
      <c r="BK45" s="453">
        <f>('Attainment 25+ by race &amp; gender'!IA44/'Pop 25+ by race &amp; gender'!EE43)*100</f>
        <v>94.244834354803345</v>
      </c>
      <c r="BL45" s="352">
        <f>('Attainment 25+ by race &amp; gender'!GX44/'Pop 25+ by race &amp; gender'!DB43)*100</f>
        <v>86.795325487614178</v>
      </c>
      <c r="BM45" s="453">
        <f>('Attainment 25+ by race &amp; gender'!IB44/'Pop 25+ by race &amp; gender'!EF43)*100</f>
        <v>86.543049766857067</v>
      </c>
      <c r="BN45" s="453">
        <f>('Attainment 25+ by race &amp; gender'!GY44/'Pop 25+ by race &amp; gender'!DD43)*100</f>
        <v>59.891303602881209</v>
      </c>
      <c r="BO45" s="453">
        <f>('Attainment 25+ by race &amp; gender'!IC44/'Pop 25+ by race &amp; gender'!EH43)*100</f>
        <v>66.244531429887175</v>
      </c>
      <c r="BP45" s="453">
        <f>('Attainment 25+ by race &amp; gender'!ZB44/'Pop 25+ by race &amp; gender'!DA43)*100</f>
        <v>32.313004024996104</v>
      </c>
      <c r="BQ45" s="453">
        <f>('Attainment 25+ by race &amp; gender'!AAF44/'Pop 25+ by race &amp; gender'!EE43)*100</f>
        <v>36.506285433872435</v>
      </c>
      <c r="BR45" s="453">
        <f>('Attainment 25+ by race &amp; gender'!ZC44/'Pop 25+ by race &amp; gender'!DB43)*100</f>
        <v>18.594148629742406</v>
      </c>
      <c r="BS45" s="453">
        <f>('Attainment 25+ by race &amp; gender'!AAG44/'Pop 25+ by race &amp; gender'!EF43)*100</f>
        <v>20.042371622892556</v>
      </c>
      <c r="BT45" s="453">
        <f>('Attainment 25+ by race &amp; gender'!ZD44/'Pop 25+ by race &amp; gender'!DD43)*100</f>
        <v>11.833240811179417</v>
      </c>
      <c r="BU45" s="453">
        <f>('Attainment 25+ by race &amp; gender'!AAH44/'Pop 25+ by race &amp; gender'!EH43)*100</f>
        <v>13.461095662339043</v>
      </c>
      <c r="BV45" s="352">
        <f>('Attainment 25+ by race &amp; gender'!HN44/'Pop 25+ by race &amp; gender'!DR43)*100</f>
        <v>74.443885840856268</v>
      </c>
      <c r="BW45" s="453" t="e">
        <f>('Attainment 25+ by race &amp; gender'!JB44/'Pop 25+ by race &amp; gender'!EQ43)*100</f>
        <v>#VALUE!</v>
      </c>
      <c r="BX45" s="352">
        <f>('Attainment 25+ by race &amp; gender'!HO44/'Pop 25+ by race &amp; gender'!DS43)*100</f>
        <v>47.013878251279067</v>
      </c>
      <c r="BY45" s="453" t="e">
        <f>('Attainment 25+ by race &amp; gender'!JC44/'Pop 25+ by race &amp; gender'!ER43)*100</f>
        <v>#VALUE!</v>
      </c>
      <c r="BZ45" s="453">
        <f>('Attainment 25+ by race &amp; gender'!HP44/'Pop 25+ by race &amp; gender'!DU43)*100</f>
        <v>111.79179533227703</v>
      </c>
      <c r="CA45" s="453">
        <f>('Attainment 25+ by race &amp; gender'!JD44/'Pop 25+ by race &amp; gender'!ET43)*100</f>
        <v>28.341801691464891</v>
      </c>
      <c r="CB45" s="453">
        <f>('Attainment 25+ by race &amp; gender'!ZS44/'Pop 25+ by race &amp; gender'!DR43)*100</f>
        <v>15.155158218394574</v>
      </c>
      <c r="CC45" s="453">
        <f>('Attainment 25+ by race &amp; gender'!ABB44/'Pop 25+ by race &amp; gender'!EQ43)*100</f>
        <v>22.936613968678095</v>
      </c>
      <c r="CD45" s="453">
        <f>('Attainment 25+ by race &amp; gender'!ZT44/'Pop 25+ by race &amp; gender'!DS43)*100</f>
        <v>18.149566496124507</v>
      </c>
      <c r="CE45" s="453">
        <f>('Attainment 25+ by race &amp; gender'!ABC44/'Pop 25+ by race &amp; gender'!ER43)*100</f>
        <v>5.1705220038375188</v>
      </c>
      <c r="CF45" s="453">
        <f>('Attainment 25+ by race &amp; gender'!ZU44/'Pop 25+ by race &amp; gender'!DU43)*100</f>
        <v>40.552572572624825</v>
      </c>
      <c r="CG45" s="453">
        <f>('Attainment 25+ by race &amp; gender'!ABD44/'Pop 25+ by race &amp; gender'!ET43)*100</f>
        <v>9.844722861256848</v>
      </c>
      <c r="CH45" s="352">
        <f>('Attainment 25+ by race &amp; gender'!HG44/'Pop 25+ by race &amp; gender'!DK43)*100</f>
        <v>93.638841899251744</v>
      </c>
      <c r="CI45" s="452">
        <f>('Attainment 25+ by race &amp; gender'!IK44/'Pop 25+ by race &amp; gender'!EO43)*100</f>
        <v>95.057712068743641</v>
      </c>
      <c r="CJ45" s="352">
        <f>('Attainment 25+ by race &amp; gender'!HH44/'Pop 25+ by race &amp; gender'!DL43)*100</f>
        <v>86.230938955626385</v>
      </c>
      <c r="CK45" s="453">
        <f>('Attainment 25+ by race &amp; gender'!IL44/'Pop 25+ by race &amp; gender'!EP43)*100</f>
        <v>87.379260875119144</v>
      </c>
      <c r="CL45" s="453">
        <f>('Attainment 25+ by race &amp; gender'!HI44/'Pop 25+ by race &amp; gender'!DN43)*100</f>
        <v>61.251577055907426</v>
      </c>
      <c r="CM45" s="453">
        <f>('Attainment 25+ by race &amp; gender'!IM44/'Pop 25+ by race &amp; gender'!ER43)*100</f>
        <v>68.396175985685275</v>
      </c>
      <c r="CN45" s="453">
        <f>('Attainment 25+ by race &amp; gender'!ZL44/'Pop 25+ by race &amp; gender'!DK43)*100</f>
        <v>33.889362236373962</v>
      </c>
      <c r="CO45" s="453">
        <f>('Attainment 25+ by race &amp; gender'!AAP44/'Pop 25+ by race &amp; gender'!EO43)*100</f>
        <v>36.926186430657651</v>
      </c>
      <c r="CP45" s="453">
        <f>('Attainment 25+ by race &amp; gender'!ZM44/'Pop 25+ by race &amp; gender'!DL43)*100</f>
        <v>19.557734738906596</v>
      </c>
      <c r="CQ45" s="453">
        <f>('Attainment 25+ by race &amp; gender'!AAQ44/'Pop 25+ by race &amp; gender'!EP43)*100</f>
        <v>20.892413210309623</v>
      </c>
      <c r="CR45" s="453">
        <f>('Attainment 25+ by race &amp; gender'!ZN44/'Pop 25+ by race &amp; gender'!DN43)*100</f>
        <v>12.432298104984135</v>
      </c>
      <c r="CS45" s="453">
        <f>('Attainment 25+ by race &amp; gender'!AAR44/'Pop 25+ by race &amp; gender'!ER43)*100</f>
        <v>14.115541951057569</v>
      </c>
      <c r="CT45" s="350">
        <f>IFERROR(('Attainment 25+ by race &amp; gender'!HQ44/'Pop 25+ by race &amp; gender'!DU43)*100,"-")</f>
        <v>93.841343882390717</v>
      </c>
      <c r="CU45" s="452">
        <f>IFERROR(('Attainment 25+ by race &amp; gender'!IP44/'Pop 25+ by race &amp; gender'!ET43)*100,"-")</f>
        <v>95.048013108025359</v>
      </c>
      <c r="CV45" s="350">
        <f>IFERROR(('Attainment 25+ by race &amp; gender'!HR44/'Pop 25+ by race &amp; gender'!DV43)*100,"-")</f>
        <v>88.109950156190337</v>
      </c>
      <c r="CW45" s="452">
        <f>IFERROR(('Attainment 25+ by race &amp; gender'!IQ44/'Pop 25+ by race &amp; gender'!EU43)*100, "-")</f>
        <v>86.717474142623843</v>
      </c>
      <c r="CX45" s="452">
        <f>IFERROR(('Attainment 25+ by race &amp; gender'!HS44/'Pop 25+ by race &amp; gender'!DX43)*100, "-")</f>
        <v>63.552500290767078</v>
      </c>
      <c r="CY45" s="452">
        <f>IFERROR(('Attainment 25+ by race &amp; gender'!IR44/'Pop 25+ by race &amp; gender'!EW43)*100, "-")</f>
        <v>70.096037907473601</v>
      </c>
      <c r="CZ45" s="452">
        <f>IFERROR(('Attainment 25+ by race &amp; gender'!HU44/'Pop 25+ by race &amp; gender'!DY43)*100, "-")</f>
        <v>84.484584608143081</v>
      </c>
      <c r="DA45" s="452">
        <f>IFERROR(('Attainment 25+ by race &amp; gender'!IT44/'Pop 25+ by race &amp; gender'!EX43)*100, "-")</f>
        <v>87.454225108823323</v>
      </c>
      <c r="DB45" s="452" t="str">
        <f>IFERROR(('Attainment 25+ by race &amp; gender'!HV44/'Pop 25+ by race &amp; gender'!DZ43)*100, "-")</f>
        <v>-</v>
      </c>
      <c r="DC45" s="452" t="str">
        <f>IFERROR(('Attainment 25+ by race &amp; gender'!IU44/'Pop 25+ by race &amp; gender'!EY43)*100, "-")</f>
        <v>-</v>
      </c>
      <c r="DD45" s="452">
        <f>IFERROR(('Attainment 25+ by race &amp; gender'!HW44/'Pop 25+ by race &amp; gender'!EA43)*100, "-")</f>
        <v>83.928188255489587</v>
      </c>
      <c r="DE45" s="452">
        <f>IFERROR(('Attainment 25+ by race &amp; gender'!IV44/'Pop 25+ by race &amp; gender'!EZ43)*100, "-")</f>
        <v>81.515697173725826</v>
      </c>
      <c r="DF45" s="452">
        <f>IFERROR(('Attainment 25+ by race &amp; gender'!HX44/'Pop 25+ by race &amp; gender'!EB43)*100, "-")</f>
        <v>0</v>
      </c>
      <c r="DG45" s="452">
        <f>IFERROR(('Attainment 25+ by race &amp; gender'!IW44/'Pop 25+ by race &amp; gender'!FA43)*100, "-")</f>
        <v>83.350781124174588</v>
      </c>
      <c r="DH45" s="452">
        <f>IFERROR(('Attainment 25+ by race &amp; gender'!HY44/'Pop 25+ by race &amp; gender'!EC43)*100, "-")</f>
        <v>60.473360962700355</v>
      </c>
      <c r="DI45" s="452">
        <f>IFERROR(('Attainment 25+ by race &amp; gender'!IX44/'Pop 25+ by race &amp; gender'!FB43)*100, "-")</f>
        <v>63.30084633510409</v>
      </c>
      <c r="DJ45" s="452">
        <f>IFERROR(('Attainment 25+ by race &amp; gender'!ZV44/'Pop 25+ by race &amp; gender'!DU43)*100, "-")</f>
        <v>35.207740035865406</v>
      </c>
      <c r="DK45" s="452">
        <f>IFERROR(('Attainment 25+ by race &amp; gender'!AAU44/'Pop 25+ by race &amp; gender'!ET43)*100, "-")</f>
        <v>38.131973982555735</v>
      </c>
      <c r="DL45" s="452">
        <f>IFERROR(('Attainment 25+ by race &amp; gender'!ZW44/'Pop 25+ by race &amp; gender'!DV43)*100, "-")</f>
        <v>20.420293970759605</v>
      </c>
      <c r="DM45" s="452">
        <f>IFERROR(('Attainment 25+ by race &amp; gender'!AAV44/'Pop 25+ by race &amp; gender'!EU43)*100, "-")</f>
        <v>24.112436284455882</v>
      </c>
      <c r="DN45" s="452">
        <f>IFERROR(('Attainment 25+ by race &amp; gender'!ZX44/'Pop 25+ by race &amp; gender'!DX43)*100, "-")</f>
        <v>13.928661063534136</v>
      </c>
      <c r="DO45" s="452">
        <f>IFERROR(('Attainment 25+ by race &amp; gender'!AAW44/'Pop 25+ by race &amp; gender'!EW43)*100, "-")</f>
        <v>17.167304804010747</v>
      </c>
      <c r="DP45" s="452">
        <f>IFERROR(('Attainment 25+ by race &amp; gender'!ZZ44/'Pop 25+ by race &amp; gender'!DY43)*100, "-")</f>
        <v>50.798227033811884</v>
      </c>
      <c r="DQ45" s="452">
        <f>IFERROR(('Attainment 25+ by race &amp; gender'!AAY44/'Pop 25+ by race &amp; gender'!EX43)*100, "-")</f>
        <v>53.048780487804883</v>
      </c>
      <c r="DR45" s="452" t="str">
        <f>IFERROR(('Attainment 25+ by race &amp; gender'!AAA44/'Pop 25+ by race &amp; gender'!DZ43)*100, "-")</f>
        <v>-</v>
      </c>
      <c r="DS45" s="452" t="str">
        <f>IFERROR(('Attainment 25+ by race &amp; gender'!AAZ44/'Pop 25+ by race &amp; gender'!EY43)*100, "-")</f>
        <v>-</v>
      </c>
      <c r="DT45" s="452">
        <f>IFERROR(('Attainment 25+ by race &amp; gender'!AAB44/'Pop 25+ by race &amp; gender'!EA43)*100, "-")</f>
        <v>17.938630999213217</v>
      </c>
      <c r="DU45" s="452">
        <f>IFERROR(('Attainment 25+ by race &amp; gender'!ABA44/'Pop 25+ by race &amp; gender'!EZ43)*100, "-")</f>
        <v>17.717059422218743</v>
      </c>
      <c r="DV45" s="452">
        <f>IFERROR(('Attainment 25+ by race &amp; gender'!AAC44/'Pop 25+ by race &amp; gender'!EB43)*100, "-")</f>
        <v>0</v>
      </c>
      <c r="DW45" s="452">
        <f>IFERROR(('Attainment 25+ by race &amp; gender'!ABB44/'Pop 25+ by race &amp; gender'!FA43)*100, "-")</f>
        <v>24.885247221774843</v>
      </c>
      <c r="DX45" s="452">
        <f>IFERROR(('Attainment 25+ by race &amp; gender'!AAD44/'Pop 25+ by race &amp; gender'!EC43)*100, "-")</f>
        <v>11.08253857292655</v>
      </c>
      <c r="DY45" s="452">
        <f>IFERROR(('Attainment 25+ by race &amp; gender'!ABC44/'Pop 25+ by race &amp; gender'!FB43)*100, "-")</f>
        <v>12.812147069895847</v>
      </c>
    </row>
    <row r="46" spans="1:129">
      <c r="A46" s="38" t="s">
        <v>43</v>
      </c>
      <c r="B46" s="351">
        <f>('Attainment 25+ by race &amp; gender'!FS45/'Pop 25+ by race &amp; gender'!AT44)*100</f>
        <v>85.296528570955005</v>
      </c>
      <c r="C46" s="444">
        <f>('Attainment 25+ by race &amp; gender'!GR45/'Pop 25+ by race &amp; gender'!CV44)*100</f>
        <v>89.999999999999986</v>
      </c>
      <c r="D46" s="352">
        <f>('Attainment 25+ by race &amp; gender'!FT45/'Pop 25+ by race &amp; gender'!AZ44)*100</f>
        <v>74.125259932482507</v>
      </c>
      <c r="E46" s="351">
        <f>IF('Pop 25+ by race &amp; gender'!CW44&gt;0,('Attainment 25+ by race &amp; gender'!GS45/'Pop 25+ by race &amp; gender'!CW44)*100,"—")</f>
        <v>82.3</v>
      </c>
      <c r="F46" s="352">
        <f>('Attainment 25+ by race &amp; gender'!FU45/'Pop 25+ by race &amp; gender'!BC44)*100</f>
        <v>62.256143297667052</v>
      </c>
      <c r="G46" s="351">
        <f>('Attainment 25+ by race &amp; gender'!GT45/'Pop 25+ by race &amp; gender'!CY44)*100</f>
        <v>67.600000000000009</v>
      </c>
      <c r="H46" s="352">
        <f>('Attainment 25+ by race &amp; gender'!XM45/'Pop 25+ by race &amp; gender'!AT44)*100</f>
        <v>22.630796388436003</v>
      </c>
      <c r="I46" s="351">
        <f>('Attainment 25+ by race &amp; gender'!YW45/'Pop 25+ by race &amp; gender'!CV44)*100</f>
        <v>26</v>
      </c>
      <c r="J46" s="352">
        <f>('Attainment 25+ by race &amp; gender'!XS45/'Pop 25+ by race &amp; gender'!AZ44)*100</f>
        <v>12.757937759700539</v>
      </c>
      <c r="K46" s="351">
        <f>IF('Pop 25+ by race &amp; gender'!CW44&gt;0,('Attainment 25+ by race &amp; gender'!YX45/'Pop 25+ by race &amp; gender'!CW44)*100,"—")</f>
        <v>15.799999999999997</v>
      </c>
      <c r="L46" s="352">
        <f>('Attainment 25+ by race &amp; gender'!XV45/'Pop 25+ by race &amp; gender'!BC44)*100</f>
        <v>12.886019630344334</v>
      </c>
      <c r="M46" s="437">
        <f>('Attainment 25+ by race &amp; gender'!YY45/'Pop 25+ by race &amp; gender'!CY44)*100</f>
        <v>14.6</v>
      </c>
      <c r="N46" s="351">
        <f>('Attainment 25+ by race &amp; gender'!FS45/'Pop 25+ by race &amp; gender'!AT44)*100</f>
        <v>85.296528570955005</v>
      </c>
      <c r="O46" s="445">
        <f>('Attainment 25+ by race &amp; gender'!GW45/'Pop 25+ by race &amp; gender'!DA44)*100</f>
        <v>90.852595520461634</v>
      </c>
      <c r="P46" s="352">
        <f>('Attainment 25+ by race &amp; gender'!FT45/'Pop 25+ by race &amp; gender'!AZ44)*100</f>
        <v>74.125259932482507</v>
      </c>
      <c r="Q46" s="351">
        <f>('Attainment 25+ by race &amp; gender'!GX45/'Pop 25+ by race &amp; gender'!DB44)*100</f>
        <v>82.995270125733839</v>
      </c>
      <c r="R46" s="352">
        <f>('Attainment 25+ by race &amp; gender'!FU45/'Pop 25+ by race &amp; gender'!BC44)*100</f>
        <v>62.256143297667052</v>
      </c>
      <c r="S46" s="351">
        <f>('Attainment 25+ by race &amp; gender'!GY45/'Pop 25+ by race &amp; gender'!DD44)*100</f>
        <v>68.392355615731546</v>
      </c>
      <c r="T46" s="352">
        <f>('Attainment 25+ by race &amp; gender'!XM45/'Pop 25+ by race &amp; gender'!AT44)*100</f>
        <v>22.630796388436003</v>
      </c>
      <c r="U46" s="351">
        <f>('Attainment 25+ by race &amp; gender'!ZB45/'Pop 25+ by race &amp; gender'!DA44)*100</f>
        <v>26.723211190226021</v>
      </c>
      <c r="V46" s="352">
        <f>('Attainment 25+ by race &amp; gender'!XS45/'Pop 25+ by race &amp; gender'!AZ44)*100</f>
        <v>12.757937759700539</v>
      </c>
      <c r="W46" s="351">
        <f>('Attainment 25+ by race &amp; gender'!ZC45/'Pop 25+ by race &amp; gender'!DB44)*100</f>
        <v>15.884771706319967</v>
      </c>
      <c r="X46" s="352">
        <f>('Attainment 25+ by race &amp; gender'!XV45/'Pop 25+ by race &amp; gender'!BC44)*100</f>
        <v>12.886019630344334</v>
      </c>
      <c r="Y46" s="437">
        <f>('Attainment 25+ by race &amp; gender'!ZD45/'Pop 25+ by race &amp; gender'!DD44)*100</f>
        <v>15.262695660924535</v>
      </c>
      <c r="Z46" s="351">
        <f>('Attainment 25+ by race &amp; gender'!FS45/'Pop 25+ by race &amp; gender'!AT44)*100</f>
        <v>85.296528570955005</v>
      </c>
      <c r="AA46" s="445">
        <f>('Attainment 25+ by race &amp; gender'!HB45/'Pop 25+ by race &amp; gender'!DF44)*100</f>
        <v>90.979893041805553</v>
      </c>
      <c r="AB46" s="352">
        <f>('Attainment 25+ by race &amp; gender'!FT45/'Pop 25+ by race &amp; gender'!AZ44)*100</f>
        <v>74.125259932482507</v>
      </c>
      <c r="AC46" s="351">
        <f>('Attainment 25+ by race &amp; gender'!HC45/'Pop 25+ by race &amp; gender'!DG44)*100</f>
        <v>83.532072099691405</v>
      </c>
      <c r="AD46" s="352">
        <f>('Attainment 25+ by race &amp; gender'!FU45/'Pop 25+ by race &amp; gender'!BC44)*100</f>
        <v>62.256143297667052</v>
      </c>
      <c r="AE46" s="351">
        <f>('Attainment 25+ by race &amp; gender'!HD45/'Pop 25+ by race &amp; gender'!DI44)*100</f>
        <v>69.357816208581227</v>
      </c>
      <c r="AF46" s="352">
        <f>('Attainment 25+ by race &amp; gender'!XM45/'Pop 25+ by race &amp; gender'!AT44)*100</f>
        <v>22.630796388436003</v>
      </c>
      <c r="AG46" s="351">
        <f>('Attainment 25+ by race &amp; gender'!ZG45/'Pop 25+ by race &amp; gender'!DF44)*100</f>
        <v>27.255580971264081</v>
      </c>
      <c r="AH46" s="352">
        <f>('Attainment 25+ by race &amp; gender'!XS45/'Pop 25+ by race &amp; gender'!AZ44)*100</f>
        <v>12.757937759700539</v>
      </c>
      <c r="AI46" s="351">
        <f>('Attainment 25+ by race &amp; gender'!ZH45/'Pop 25+ by race &amp; gender'!DG44)*100</f>
        <v>16.072470432781142</v>
      </c>
      <c r="AJ46" s="352">
        <f>('Attainment 25+ by race &amp; gender'!XV45/'Pop 25+ by race &amp; gender'!BC44)*100</f>
        <v>12.886019630344334</v>
      </c>
      <c r="AK46" s="453">
        <f>('Attainment 25+ by race &amp; gender'!ZI45/'Pop 25+ by race &amp; gender'!DI44)*100</f>
        <v>15.742822533423325</v>
      </c>
      <c r="AL46" s="352">
        <f>('Attainment 25+ by race &amp; gender'!FS45/'Pop 25+ by race &amp; gender'!AT44)*100</f>
        <v>85.296528570955005</v>
      </c>
      <c r="AM46" s="453">
        <f>('Attainment 25+ by race &amp; gender'!HL45/'Pop 25+ by race &amp; gender'!DP44)*100</f>
        <v>91.932955039759193</v>
      </c>
      <c r="AN46" s="352">
        <v>74.125259932482507</v>
      </c>
      <c r="AO46" s="453">
        <f>('Attainment 25+ by race &amp; gender'!HM45/'Pop 25+ by race &amp; gender'!DQ44)*100</f>
        <v>84.845252169127846</v>
      </c>
      <c r="AP46" s="453">
        <f>('Attainment 25+ by race &amp; gender'!FU45/'Pop 25+ by race &amp; gender'!BC44)*100</f>
        <v>62.256143297667052</v>
      </c>
      <c r="AQ46" s="453">
        <f>('Attainment 25+ by race &amp; gender'!HN45/'Pop 25+ by race &amp; gender'!DS44)*100</f>
        <v>71.110644551753097</v>
      </c>
      <c r="AR46" s="453">
        <f>('Attainment 25+ by race &amp; gender'!XM45/'Pop 25+ by race &amp; gender'!AT44)*100</f>
        <v>22.630796388436003</v>
      </c>
      <c r="AS46" s="453">
        <f>('Attainment 25+ by race &amp; gender'!ZQ45/'Pop 25+ by race &amp; gender'!DP44)*100</f>
        <v>28.916815721706925</v>
      </c>
      <c r="AT46" s="453">
        <f>('Attainment 25+ by race &amp; gender'!XS45/'Pop 25+ by race &amp; gender'!AZ44)*100</f>
        <v>12.757937759700539</v>
      </c>
      <c r="AU46" s="453">
        <f>('Attainment 25+ by race &amp; gender'!ZR45/'Pop 25+ by race &amp; gender'!DQ44)*100</f>
        <v>17.0428975490779</v>
      </c>
      <c r="AV46" s="453">
        <f>('Attainment 25+ by race &amp; gender'!XV45/'Pop 25+ by race &amp; gender'!BC44)*100</f>
        <v>12.886019630344334</v>
      </c>
      <c r="AW46" s="453">
        <f>('Attainment 25+ by race &amp; gender'!ZS45/'Pop 25+ by race &amp; gender'!DS44)*100</f>
        <v>16.69898276337619</v>
      </c>
      <c r="AX46" s="352">
        <f>('Attainment 25+ by race &amp; gender'!GR45/'Pop 25+ by race &amp; gender'!CV44)*100</f>
        <v>89.999999999999986</v>
      </c>
      <c r="AY46" s="453">
        <f>('Attainment 25+ by race &amp; gender'!HQ45/'Pop 25+ by race &amp; gender'!DU44)*100</f>
        <v>92.246925200697234</v>
      </c>
      <c r="AZ46" s="352">
        <f>('Attainment 25+ by race &amp; gender'!GS45/'Pop 25+ by race &amp; gender'!CW44)*100</f>
        <v>82.3</v>
      </c>
      <c r="BA46" s="453">
        <f>('Attainment 25+ by race &amp; gender'!HR45/'Pop 25+ by race &amp; gender'!DV44)*100</f>
        <v>85.230112501509623</v>
      </c>
      <c r="BB46" s="453">
        <f>('Attainment 25+ by race &amp; gender'!GT45/'Pop 25+ by race &amp; gender'!CY44)*100</f>
        <v>67.600000000000009</v>
      </c>
      <c r="BC46" s="453">
        <f>('Attainment 25+ by race &amp; gender'!HS45/'Pop 25+ by race &amp; gender'!DX44)*100</f>
        <v>71.794240410776425</v>
      </c>
      <c r="BD46" s="453">
        <f>('Attainment 25+ by race &amp; gender'!YW45/'Pop 25+ by race &amp; gender'!CV44)*100</f>
        <v>26</v>
      </c>
      <c r="BE46" s="453">
        <f>('Attainment 25+ by race &amp; gender'!ZV45/'Pop 25+ by race &amp; gender'!DU44)*100</f>
        <v>29.438077765123861</v>
      </c>
      <c r="BF46" s="453">
        <f>('Attainment 25+ by race &amp; gender'!YX45/'Pop 25+ by race &amp; gender'!CW44)*100</f>
        <v>15.799999999999997</v>
      </c>
      <c r="BG46" s="453">
        <f>('Attainment 25+ by race &amp; gender'!ZW45/'Pop 25+ by race &amp; gender'!DV44)*100</f>
        <v>17.01167284449523</v>
      </c>
      <c r="BH46" s="453">
        <f>('Attainment 25+ by race &amp; gender'!YY45/'Pop 25+ by race &amp; gender'!CY44)*100</f>
        <v>14.6</v>
      </c>
      <c r="BI46" s="453">
        <f>('Attainment 25+ by race &amp; gender'!ZX45/'Pop 25+ by race &amp; gender'!DX44)*100</f>
        <v>17.52702582692168</v>
      </c>
      <c r="BJ46" s="352">
        <f>('Attainment 25+ by race &amp; gender'!GW45/'Pop 25+ by race &amp; gender'!DA44)*100</f>
        <v>90.852595520461634</v>
      </c>
      <c r="BK46" s="453">
        <f>('Attainment 25+ by race &amp; gender'!IA45/'Pop 25+ by race &amp; gender'!EE44)*100</f>
        <v>92.649457949334817</v>
      </c>
      <c r="BL46" s="352">
        <f>('Attainment 25+ by race &amp; gender'!GX45/'Pop 25+ by race &amp; gender'!DB44)*100</f>
        <v>82.995270125733839</v>
      </c>
      <c r="BM46" s="453">
        <f>('Attainment 25+ by race &amp; gender'!IB45/'Pop 25+ by race &amp; gender'!EF44)*100</f>
        <v>86.143298394392716</v>
      </c>
      <c r="BN46" s="453">
        <f>('Attainment 25+ by race &amp; gender'!GY45/'Pop 25+ by race &amp; gender'!DD44)*100</f>
        <v>68.392355615731546</v>
      </c>
      <c r="BO46" s="453">
        <f>('Attainment 25+ by race &amp; gender'!IC45/'Pop 25+ by race &amp; gender'!EH44)*100</f>
        <v>72.746809265861074</v>
      </c>
      <c r="BP46" s="453">
        <f>('Attainment 25+ by race &amp; gender'!ZB45/'Pop 25+ by race &amp; gender'!DA44)*100</f>
        <v>26.723211190226021</v>
      </c>
      <c r="BQ46" s="453">
        <f>('Attainment 25+ by race &amp; gender'!AAF45/'Pop 25+ by race &amp; gender'!EE44)*100</f>
        <v>30.354949425680182</v>
      </c>
      <c r="BR46" s="453">
        <f>('Attainment 25+ by race &amp; gender'!ZC45/'Pop 25+ by race &amp; gender'!DB44)*100</f>
        <v>15.884771706319967</v>
      </c>
      <c r="BS46" s="453">
        <f>('Attainment 25+ by race &amp; gender'!AAG45/'Pop 25+ by race &amp; gender'!EF44)*100</f>
        <v>17.422940902320224</v>
      </c>
      <c r="BT46" s="453">
        <f>('Attainment 25+ by race &amp; gender'!ZD45/'Pop 25+ by race &amp; gender'!DD44)*100</f>
        <v>15.262695660924535</v>
      </c>
      <c r="BU46" s="453">
        <f>('Attainment 25+ by race &amp; gender'!AAH45/'Pop 25+ by race &amp; gender'!EH44)*100</f>
        <v>17.095698874947914</v>
      </c>
      <c r="BV46" s="352">
        <f>('Attainment 25+ by race &amp; gender'!HN45/'Pop 25+ by race &amp; gender'!DR44)*100</f>
        <v>44.092444117714628</v>
      </c>
      <c r="BW46" s="453" t="e">
        <f>('Attainment 25+ by race &amp; gender'!JB45/'Pop 25+ by race &amp; gender'!EQ44)*100</f>
        <v>#VALUE!</v>
      </c>
      <c r="BX46" s="352">
        <f>('Attainment 25+ by race &amp; gender'!HO45/'Pop 25+ by race &amp; gender'!DS44)*100</f>
        <v>135.89886090904974</v>
      </c>
      <c r="BY46" s="453" t="e">
        <f>('Attainment 25+ by race &amp; gender'!JC45/'Pop 25+ by race &amp; gender'!ER44)*100</f>
        <v>#VALUE!</v>
      </c>
      <c r="BZ46" s="453">
        <f>('Attainment 25+ by race &amp; gender'!HP45/'Pop 25+ by race &amp; gender'!DU44)*100</f>
        <v>114.70142785379824</v>
      </c>
      <c r="CA46" s="453">
        <f>('Attainment 25+ by race &amp; gender'!JD45/'Pop 25+ by race &amp; gender'!ET44)*100</f>
        <v>29.793314238176976</v>
      </c>
      <c r="CB46" s="453">
        <f>('Attainment 25+ by race &amp; gender'!ZS45/'Pop 25+ by race &amp; gender'!DR44)*100</f>
        <v>10.354272119991526</v>
      </c>
      <c r="CC46" s="453">
        <f>('Attainment 25+ by race &amp; gender'!ABB45/'Pop 25+ by race &amp; gender'!EQ44)*100</f>
        <v>22.676471658961013</v>
      </c>
      <c r="CD46" s="453">
        <f>('Attainment 25+ by race &amp; gender'!ZT45/'Pop 25+ by race &amp; gender'!DS44)*100</f>
        <v>64.196234865980827</v>
      </c>
      <c r="CE46" s="453">
        <f>('Attainment 25+ by race &amp; gender'!ABC45/'Pop 25+ by race &amp; gender'!ER44)*100</f>
        <v>8.1711763436692042</v>
      </c>
      <c r="CF46" s="453">
        <f>('Attainment 25+ by race &amp; gender'!ZU45/'Pop 25+ by race &amp; gender'!DU44)*100</f>
        <v>35.83811514516573</v>
      </c>
      <c r="CG46" s="453">
        <f>('Attainment 25+ by race &amp; gender'!ABD45/'Pop 25+ by race &amp; gender'!ET44)*100</f>
        <v>9.732719209436457</v>
      </c>
      <c r="CH46" s="352">
        <f>('Attainment 25+ by race &amp; gender'!HG45/'Pop 25+ by race &amp; gender'!DK44)*100</f>
        <v>91.73567924203995</v>
      </c>
      <c r="CI46" s="452">
        <f>('Attainment 25+ by race &amp; gender'!IK45/'Pop 25+ by race &amp; gender'!EO44)*100</f>
        <v>92.786198665679109</v>
      </c>
      <c r="CJ46" s="352">
        <f>('Attainment 25+ by race &amp; gender'!HH45/'Pop 25+ by race &amp; gender'!DL44)*100</f>
        <v>84.282613373309658</v>
      </c>
      <c r="CK46" s="453">
        <f>('Attainment 25+ by race &amp; gender'!IL45/'Pop 25+ by race &amp; gender'!EP44)*100</f>
        <v>87.930677633221819</v>
      </c>
      <c r="CL46" s="453">
        <f>('Attainment 25+ by race &amp; gender'!HI45/'Pop 25+ by race &amp; gender'!DN44)*100</f>
        <v>70.038920414754955</v>
      </c>
      <c r="CM46" s="453">
        <f>('Attainment 25+ by race &amp; gender'!IM45/'Pop 25+ by race &amp; gender'!ER44)*100</f>
        <v>75.565096233666978</v>
      </c>
      <c r="CN46" s="453">
        <f>('Attainment 25+ by race &amp; gender'!ZL45/'Pop 25+ by race &amp; gender'!DK44)*100</f>
        <v>28.402804388805464</v>
      </c>
      <c r="CO46" s="453">
        <f>('Attainment 25+ by race &amp; gender'!AAP45/'Pop 25+ by race &amp; gender'!EO44)*100</f>
        <v>31.1395841279151</v>
      </c>
      <c r="CP46" s="453">
        <f>('Attainment 25+ by race &amp; gender'!ZM45/'Pop 25+ by race &amp; gender'!DL44)*100</f>
        <v>16.918567945956298</v>
      </c>
      <c r="CQ46" s="453">
        <f>('Attainment 25+ by race &amp; gender'!AAQ45/'Pop 25+ by race &amp; gender'!EP44)*100</f>
        <v>18.034411466289317</v>
      </c>
      <c r="CR46" s="453">
        <f>('Attainment 25+ by race &amp; gender'!ZN45/'Pop 25+ by race &amp; gender'!DN44)*100</f>
        <v>16.51380040660586</v>
      </c>
      <c r="CS46" s="453">
        <f>('Attainment 25+ by race &amp; gender'!AAR45/'Pop 25+ by race &amp; gender'!ER44)*100</f>
        <v>21.57952671247655</v>
      </c>
      <c r="CT46" s="350">
        <f>IFERROR(('Attainment 25+ by race &amp; gender'!HQ45/'Pop 25+ by race &amp; gender'!DU44)*100,"-")</f>
        <v>92.246925200697234</v>
      </c>
      <c r="CU46" s="452">
        <f>IFERROR(('Attainment 25+ by race &amp; gender'!IP45/'Pop 25+ by race &amp; gender'!ET44)*100,"-")</f>
        <v>93.58477587511527</v>
      </c>
      <c r="CV46" s="350">
        <f>IFERROR(('Attainment 25+ by race &amp; gender'!HR45/'Pop 25+ by race &amp; gender'!DV44)*100,"-")</f>
        <v>85.230112501509623</v>
      </c>
      <c r="CW46" s="452">
        <f>IFERROR(('Attainment 25+ by race &amp; gender'!IQ45/'Pop 25+ by race &amp; gender'!EU44)*100, "-")</f>
        <v>87.806600840082027</v>
      </c>
      <c r="CX46" s="452">
        <f>IFERROR(('Attainment 25+ by race &amp; gender'!HS45/'Pop 25+ by race &amp; gender'!DX44)*100, "-")</f>
        <v>71.794240410776425</v>
      </c>
      <c r="CY46" s="452">
        <f>IFERROR(('Attainment 25+ by race &amp; gender'!IR45/'Pop 25+ by race &amp; gender'!EW44)*100, "-")</f>
        <v>77.76180711911654</v>
      </c>
      <c r="CZ46" s="452">
        <f>IFERROR(('Attainment 25+ by race &amp; gender'!HU45/'Pop 25+ by race &amp; gender'!DY44)*100, "-")</f>
        <v>88.414598755823832</v>
      </c>
      <c r="DA46" s="452">
        <f>IFERROR(('Attainment 25+ by race &amp; gender'!IT45/'Pop 25+ by race &amp; gender'!EX44)*100, "-")</f>
        <v>90.268102461038453</v>
      </c>
      <c r="DB46" s="452" t="str">
        <f>IFERROR(('Attainment 25+ by race &amp; gender'!HV45/'Pop 25+ by race &amp; gender'!DZ44)*100, "-")</f>
        <v>-</v>
      </c>
      <c r="DC46" s="452" t="str">
        <f>IFERROR(('Attainment 25+ by race &amp; gender'!IU45/'Pop 25+ by race &amp; gender'!EY44)*100, "-")</f>
        <v>-</v>
      </c>
      <c r="DD46" s="452">
        <f>IFERROR(('Attainment 25+ by race &amp; gender'!HW45/'Pop 25+ by race &amp; gender'!EA44)*100, "-")</f>
        <v>83.361486486486484</v>
      </c>
      <c r="DE46" s="452">
        <f>IFERROR(('Attainment 25+ by race &amp; gender'!IV45/'Pop 25+ by race &amp; gender'!EZ44)*100, "-")</f>
        <v>83.242894435807941</v>
      </c>
      <c r="DF46" s="452">
        <f>IFERROR(('Attainment 25+ by race &amp; gender'!HX45/'Pop 25+ by race &amp; gender'!EB44)*100, "-")</f>
        <v>87.465921540983331</v>
      </c>
      <c r="DG46" s="452">
        <f>IFERROR(('Attainment 25+ by race &amp; gender'!IW45/'Pop 25+ by race &amp; gender'!FA44)*100, "-")</f>
        <v>86.675686754516974</v>
      </c>
      <c r="DH46" s="452">
        <f>IFERROR(('Attainment 25+ by race &amp; gender'!HY45/'Pop 25+ by race &amp; gender'!EC44)*100, "-")</f>
        <v>63.295874477494394</v>
      </c>
      <c r="DI46" s="452">
        <f>IFERROR(('Attainment 25+ by race &amp; gender'!IX45/'Pop 25+ by race &amp; gender'!FB44)*100, "-")</f>
        <v>73.201020549847257</v>
      </c>
      <c r="DJ46" s="452">
        <f>IFERROR(('Attainment 25+ by race &amp; gender'!ZV45/'Pop 25+ by race &amp; gender'!DU44)*100, "-")</f>
        <v>29.438077765123861</v>
      </c>
      <c r="DK46" s="452">
        <f>IFERROR(('Attainment 25+ by race &amp; gender'!AAU45/'Pop 25+ by race &amp; gender'!ET44)*100, "-")</f>
        <v>32.914755521323343</v>
      </c>
      <c r="DL46" s="452">
        <f>IFERROR(('Attainment 25+ by race &amp; gender'!ZW45/'Pop 25+ by race &amp; gender'!DV44)*100, "-")</f>
        <v>17.01167284449523</v>
      </c>
      <c r="DM46" s="452">
        <f>IFERROR(('Attainment 25+ by race &amp; gender'!AAV45/'Pop 25+ by race &amp; gender'!EU44)*100, "-")</f>
        <v>19.472740696279882</v>
      </c>
      <c r="DN46" s="452">
        <f>IFERROR(('Attainment 25+ by race &amp; gender'!ZX45/'Pop 25+ by race &amp; gender'!DX44)*100, "-")</f>
        <v>17.52702582692168</v>
      </c>
      <c r="DO46" s="452">
        <f>IFERROR(('Attainment 25+ by race &amp; gender'!AAW45/'Pop 25+ by race &amp; gender'!EW44)*100, "-")</f>
        <v>22.558834566312854</v>
      </c>
      <c r="DP46" s="452">
        <f>IFERROR(('Attainment 25+ by race &amp; gender'!ZZ45/'Pop 25+ by race &amp; gender'!DY44)*100, "-")</f>
        <v>63.005017860629053</v>
      </c>
      <c r="DQ46" s="452">
        <f>IFERROR(('Attainment 25+ by race &amp; gender'!AAY45/'Pop 25+ by race &amp; gender'!EX44)*100, "-")</f>
        <v>65.50653395074302</v>
      </c>
      <c r="DR46" s="452" t="str">
        <f>IFERROR(('Attainment 25+ by race &amp; gender'!AAA45/'Pop 25+ by race &amp; gender'!DZ44)*100, "-")</f>
        <v>-</v>
      </c>
      <c r="DS46" s="452" t="str">
        <f>IFERROR(('Attainment 25+ by race &amp; gender'!AAZ45/'Pop 25+ by race &amp; gender'!EY44)*100, "-")</f>
        <v>-</v>
      </c>
      <c r="DT46" s="452">
        <f>IFERROR(('Attainment 25+ by race &amp; gender'!AAB45/'Pop 25+ by race &amp; gender'!EA44)*100, "-")</f>
        <v>11.233108108108109</v>
      </c>
      <c r="DU46" s="452">
        <f>IFERROR(('Attainment 25+ by race &amp; gender'!ABA45/'Pop 25+ by race &amp; gender'!EZ44)*100, "-")</f>
        <v>15.709969788519636</v>
      </c>
      <c r="DV46" s="452">
        <f>IFERROR(('Attainment 25+ by race &amp; gender'!AAC45/'Pop 25+ by race &amp; gender'!EB44)*100, "-")</f>
        <v>25.887738549213118</v>
      </c>
      <c r="DW46" s="452">
        <f>IFERROR(('Attainment 25+ by race &amp; gender'!ABB45/'Pop 25+ by race &amp; gender'!FA44)*100, "-")</f>
        <v>28.569217230278831</v>
      </c>
      <c r="DX46" s="452">
        <f>IFERROR(('Attainment 25+ by race &amp; gender'!AAD45/'Pop 25+ by race &amp; gender'!EC44)*100, "-")</f>
        <v>14.592294178227419</v>
      </c>
      <c r="DY46" s="452">
        <f>IFERROR(('Attainment 25+ by race &amp; gender'!ABC45/'Pop 25+ by race &amp; gender'!FB44)*100, "-")</f>
        <v>19.390447098028325</v>
      </c>
    </row>
    <row r="47" spans="1:129" s="465" customFormat="1" ht="14.45">
      <c r="A47" s="455" t="s">
        <v>44</v>
      </c>
      <c r="B47" s="456">
        <f>('Attainment 25+ by race &amp; gender'!FS46/'Pop 25+ by race &amp; gender'!AT45)*100</f>
        <v>89.195769446988081</v>
      </c>
      <c r="C47" s="457">
        <f>('Attainment 25+ by race &amp; gender'!GR46/'Pop 25+ by race &amp; gender'!CV45)*100</f>
        <v>93.2</v>
      </c>
      <c r="D47" s="458">
        <f>('Attainment 25+ by race &amp; gender'!FT46/'Pop 25+ by race &amp; gender'!AZ45)*100</f>
        <v>79.004930418435265</v>
      </c>
      <c r="E47" s="456">
        <f>IF('Pop 25+ by race &amp; gender'!CW45&gt;0,('Attainment 25+ by race &amp; gender'!GS46/'Pop 25+ by race &amp; gender'!CW45)*100,"—")</f>
        <v>79.5</v>
      </c>
      <c r="F47" s="458">
        <f>('Attainment 25+ by race &amp; gender'!FU46/'Pop 25+ by race &amp; gender'!BC45)*100</f>
        <v>58.096480601372967</v>
      </c>
      <c r="G47" s="456">
        <f>('Attainment 25+ by race &amp; gender'!GT46/'Pop 25+ by race &amp; gender'!CY45)*100</f>
        <v>60.699999999999996</v>
      </c>
      <c r="H47" s="458">
        <f>('Attainment 25+ by race &amp; gender'!XM46/'Pop 25+ by race &amp; gender'!AT45)*100</f>
        <v>27.91410633113296</v>
      </c>
      <c r="I47" s="456">
        <f>('Attainment 25+ by race &amp; gender'!YW46/'Pop 25+ by race &amp; gender'!CV45)*100</f>
        <v>32.499999999999993</v>
      </c>
      <c r="J47" s="458">
        <f>('Attainment 25+ by race &amp; gender'!XS46/'Pop 25+ by race &amp; gender'!AZ45)*100</f>
        <v>18.696572354186124</v>
      </c>
      <c r="K47" s="456">
        <f>IF('Pop 25+ by race &amp; gender'!CW45&gt;0,('Attainment 25+ by race &amp; gender'!YX46/'Pop 25+ by race &amp; gender'!CW45)*100,"—")</f>
        <v>18.399999999999999</v>
      </c>
      <c r="L47" s="458">
        <f>('Attainment 25+ by race &amp; gender'!XV46/'Pop 25+ by race &amp; gender'!BC45)*100</f>
        <v>14.021681732053551</v>
      </c>
      <c r="M47" s="459">
        <f>('Attainment 25+ by race &amp; gender'!YY46/'Pop 25+ by race &amp; gender'!CY45)*100</f>
        <v>13.599999999999998</v>
      </c>
      <c r="N47" s="460">
        <f>('Attainment 25+ by race &amp; gender'!FS46/'Pop 25+ by race &amp; gender'!AT45)*100</f>
        <v>89.195769446988081</v>
      </c>
      <c r="O47" s="461">
        <f>('Attainment 25+ by race &amp; gender'!GW46/'Pop 25+ by race &amp; gender'!DA45)*100</f>
        <v>94.439381304362428</v>
      </c>
      <c r="P47" s="462">
        <f>('Attainment 25+ by race &amp; gender'!FT46/'Pop 25+ by race &amp; gender'!AZ45)*100</f>
        <v>79.004930418435265</v>
      </c>
      <c r="Q47" s="460">
        <f>('Attainment 25+ by race &amp; gender'!GX46/'Pop 25+ by race &amp; gender'!DB45)*100</f>
        <v>80.490621265625634</v>
      </c>
      <c r="R47" s="462">
        <f>('Attainment 25+ by race &amp; gender'!FU46/'Pop 25+ by race &amp; gender'!BC45)*100</f>
        <v>58.096480601372967</v>
      </c>
      <c r="S47" s="460">
        <f>('Attainment 25+ by race &amp; gender'!GY46/'Pop 25+ by race &amp; gender'!DD45)*100</f>
        <v>64.041361201040559</v>
      </c>
      <c r="T47" s="462">
        <f>('Attainment 25+ by race &amp; gender'!XM46/'Pop 25+ by race &amp; gender'!AT45)*100</f>
        <v>27.91410633113296</v>
      </c>
      <c r="U47" s="463">
        <f>('Attainment 25+ by race &amp; gender'!ZB46/'Pop 25+ by race &amp; gender'!DA45)*100</f>
        <v>33.688950794023711</v>
      </c>
      <c r="V47" s="462">
        <f>('Attainment 25+ by race &amp; gender'!XS46/'Pop 25+ by race &amp; gender'!AZ45)*100</f>
        <v>18.696572354186124</v>
      </c>
      <c r="W47" s="463">
        <f>('Attainment 25+ by race &amp; gender'!ZC46/'Pop 25+ by race &amp; gender'!DB45)*100</f>
        <v>18.814533345865168</v>
      </c>
      <c r="X47" s="462">
        <f>('Attainment 25+ by race &amp; gender'!XV46/'Pop 25+ by race &amp; gender'!BC45)*100</f>
        <v>14.021681732053551</v>
      </c>
      <c r="Y47" s="494">
        <f>('Attainment 25+ by race &amp; gender'!ZD46/'Pop 25+ by race &amp; gender'!DD45)*100</f>
        <v>15.645820251657467</v>
      </c>
      <c r="Z47" s="351">
        <f>('Attainment 25+ by race &amp; gender'!FS46/'Pop 25+ by race &amp; gender'!AT45)*100</f>
        <v>89.195769446988081</v>
      </c>
      <c r="AA47" s="445">
        <f>('Attainment 25+ by race &amp; gender'!HB46/'Pop 25+ by race &amp; gender'!DF45)*100</f>
        <v>94.64670471184435</v>
      </c>
      <c r="AB47" s="352">
        <f>('Attainment 25+ by race &amp; gender'!FT46/'Pop 25+ by race &amp; gender'!AZ45)*100</f>
        <v>79.004930418435265</v>
      </c>
      <c r="AC47" s="351">
        <f>('Attainment 25+ by race &amp; gender'!HC46/'Pop 25+ by race &amp; gender'!DG45)*100</f>
        <v>80.560329115242411</v>
      </c>
      <c r="AD47" s="352">
        <f>('Attainment 25+ by race &amp; gender'!FU46/'Pop 25+ by race &amp; gender'!BC45)*100</f>
        <v>58.096480601372967</v>
      </c>
      <c r="AE47" s="351">
        <f>('Attainment 25+ by race &amp; gender'!HD46/'Pop 25+ by race &amp; gender'!DI45)*100</f>
        <v>64.41855485324092</v>
      </c>
      <c r="AF47" s="352">
        <f>('Attainment 25+ by race &amp; gender'!XM46/'Pop 25+ by race &amp; gender'!AT45)*100</f>
        <v>27.91410633113296</v>
      </c>
      <c r="AG47" s="351">
        <f>('Attainment 25+ by race &amp; gender'!ZG46/'Pop 25+ by race &amp; gender'!DF45)*100</f>
        <v>34.232126059834535</v>
      </c>
      <c r="AH47" s="352">
        <f>('Attainment 25+ by race &amp; gender'!XS46/'Pop 25+ by race &amp; gender'!AZ45)*100</f>
        <v>18.696572354186124</v>
      </c>
      <c r="AI47" s="351">
        <f>('Attainment 25+ by race &amp; gender'!ZH46/'Pop 25+ by race &amp; gender'!DG45)*100</f>
        <v>19.32250169244389</v>
      </c>
      <c r="AJ47" s="352">
        <f>('Attainment 25+ by race &amp; gender'!XV46/'Pop 25+ by race &amp; gender'!BC45)*100</f>
        <v>14.021681732053551</v>
      </c>
      <c r="AK47" s="453">
        <f>('Attainment 25+ by race &amp; gender'!ZI46/'Pop 25+ by race &amp; gender'!DI45)*100</f>
        <v>16.130413748800471</v>
      </c>
      <c r="AL47" s="352">
        <f>('Attainment 25+ by race &amp; gender'!FS46/'Pop 25+ by race &amp; gender'!AT45)*100</f>
        <v>89.195769446988081</v>
      </c>
      <c r="AM47" s="453">
        <f>('Attainment 25+ by race &amp; gender'!HL46/'Pop 25+ by race &amp; gender'!DP45)*100</f>
        <v>95.401036998090078</v>
      </c>
      <c r="AN47" s="352">
        <v>79.004930418435265</v>
      </c>
      <c r="AO47" s="453">
        <f>('Attainment 25+ by race &amp; gender'!HM46/'Pop 25+ by race &amp; gender'!DQ45)*100</f>
        <v>80.717842154110159</v>
      </c>
      <c r="AP47" s="453">
        <f>('Attainment 25+ by race &amp; gender'!FU46/'Pop 25+ by race &amp; gender'!BC45)*100</f>
        <v>58.096480601372967</v>
      </c>
      <c r="AQ47" s="453">
        <f>('Attainment 25+ by race &amp; gender'!HN46/'Pop 25+ by race &amp; gender'!DS45)*100</f>
        <v>64.622268439861742</v>
      </c>
      <c r="AR47" s="453">
        <f>('Attainment 25+ by race &amp; gender'!XM46/'Pop 25+ by race &amp; gender'!AT45)*100</f>
        <v>27.91410633113296</v>
      </c>
      <c r="AS47" s="453">
        <f>('Attainment 25+ by race &amp; gender'!ZQ46/'Pop 25+ by race &amp; gender'!DP45)*100</f>
        <v>36.107678030147063</v>
      </c>
      <c r="AT47" s="453">
        <f>('Attainment 25+ by race &amp; gender'!XS46/'Pop 25+ by race &amp; gender'!AZ45)*100</f>
        <v>18.696572354186124</v>
      </c>
      <c r="AU47" s="453">
        <f>('Attainment 25+ by race &amp; gender'!ZR46/'Pop 25+ by race &amp; gender'!DQ45)*100</f>
        <v>19.028245553616351</v>
      </c>
      <c r="AV47" s="453">
        <f>('Attainment 25+ by race &amp; gender'!XV46/'Pop 25+ by race &amp; gender'!BC45)*100</f>
        <v>14.021681732053551</v>
      </c>
      <c r="AW47" s="453">
        <f>('Attainment 25+ by race &amp; gender'!ZS46/'Pop 25+ by race &amp; gender'!DS45)*100</f>
        <v>17.461479875798229</v>
      </c>
      <c r="AX47" s="352">
        <f>('Attainment 25+ by race &amp; gender'!GR46/'Pop 25+ by race &amp; gender'!CV45)*100</f>
        <v>93.2</v>
      </c>
      <c r="AY47" s="453">
        <f>('Attainment 25+ by race &amp; gender'!HQ46/'Pop 25+ by race &amp; gender'!DU45)*100</f>
        <v>95.664495524486711</v>
      </c>
      <c r="AZ47" s="352">
        <f>('Attainment 25+ by race &amp; gender'!GS46/'Pop 25+ by race &amp; gender'!CW45)*100</f>
        <v>79.5</v>
      </c>
      <c r="BA47" s="453">
        <f>('Attainment 25+ by race &amp; gender'!HR46/'Pop 25+ by race &amp; gender'!DV45)*100</f>
        <v>81.759608975783166</v>
      </c>
      <c r="BB47" s="453">
        <f>('Attainment 25+ by race &amp; gender'!GT46/'Pop 25+ by race &amp; gender'!CY45)*100</f>
        <v>60.699999999999996</v>
      </c>
      <c r="BC47" s="453">
        <f>('Attainment 25+ by race &amp; gender'!HS46/'Pop 25+ by race &amp; gender'!DX45)*100</f>
        <v>62.583193206064806</v>
      </c>
      <c r="BD47" s="453">
        <f>('Attainment 25+ by race &amp; gender'!YW46/'Pop 25+ by race &amp; gender'!CV45)*100</f>
        <v>32.499999999999993</v>
      </c>
      <c r="BE47" s="453">
        <f>('Attainment 25+ by race &amp; gender'!ZV46/'Pop 25+ by race &amp; gender'!DU45)*100</f>
        <v>36.369163443326428</v>
      </c>
      <c r="BF47" s="453">
        <f>('Attainment 25+ by race &amp; gender'!YX46/'Pop 25+ by race &amp; gender'!CW45)*100</f>
        <v>18.399999999999999</v>
      </c>
      <c r="BG47" s="453">
        <f>('Attainment 25+ by race &amp; gender'!ZW46/'Pop 25+ by race &amp; gender'!DV45)*100</f>
        <v>20.739835592090646</v>
      </c>
      <c r="BH47" s="453">
        <f>('Attainment 25+ by race &amp; gender'!YY46/'Pop 25+ by race &amp; gender'!CY45)*100</f>
        <v>13.599999999999998</v>
      </c>
      <c r="BI47" s="453">
        <f>('Attainment 25+ by race &amp; gender'!ZX46/'Pop 25+ by race &amp; gender'!DX45)*100</f>
        <v>15.174723395837161</v>
      </c>
      <c r="BJ47" s="352">
        <f>('Attainment 25+ by race &amp; gender'!GW46/'Pop 25+ by race &amp; gender'!DA45)*100</f>
        <v>94.439381304362428</v>
      </c>
      <c r="BK47" s="453">
        <f>('Attainment 25+ by race &amp; gender'!IA46/'Pop 25+ by race &amp; gender'!EE45)*100</f>
        <v>95.834333910607555</v>
      </c>
      <c r="BL47" s="352">
        <f>('Attainment 25+ by race &amp; gender'!GX46/'Pop 25+ by race &amp; gender'!DB45)*100</f>
        <v>80.490621265625634</v>
      </c>
      <c r="BM47" s="453">
        <f>('Attainment 25+ by race &amp; gender'!IB46/'Pop 25+ by race &amp; gender'!EF45)*100</f>
        <v>81.262123564900847</v>
      </c>
      <c r="BN47" s="453">
        <f>('Attainment 25+ by race &amp; gender'!GY46/'Pop 25+ by race &amp; gender'!DD45)*100</f>
        <v>64.041361201040559</v>
      </c>
      <c r="BO47" s="453">
        <f>('Attainment 25+ by race &amp; gender'!IC46/'Pop 25+ by race &amp; gender'!EH45)*100</f>
        <v>66.025213401767118</v>
      </c>
      <c r="BP47" s="453">
        <f>('Attainment 25+ by race &amp; gender'!ZB46/'Pop 25+ by race &amp; gender'!DA45)*100</f>
        <v>33.688950794023711</v>
      </c>
      <c r="BQ47" s="453">
        <f>('Attainment 25+ by race &amp; gender'!AAF46/'Pop 25+ by race &amp; gender'!EE45)*100</f>
        <v>37.651840544238702</v>
      </c>
      <c r="BR47" s="453">
        <f>('Attainment 25+ by race &amp; gender'!ZC46/'Pop 25+ by race &amp; gender'!DB45)*100</f>
        <v>18.814533345865168</v>
      </c>
      <c r="BS47" s="453">
        <f>('Attainment 25+ by race &amp; gender'!AAG46/'Pop 25+ by race &amp; gender'!EF45)*100</f>
        <v>21.969299697069982</v>
      </c>
      <c r="BT47" s="453">
        <f>('Attainment 25+ by race &amp; gender'!ZD46/'Pop 25+ by race &amp; gender'!DD45)*100</f>
        <v>15.645820251657467</v>
      </c>
      <c r="BU47" s="453">
        <f>('Attainment 25+ by race &amp; gender'!AAH46/'Pop 25+ by race &amp; gender'!EH45)*100</f>
        <v>16.796454875907045</v>
      </c>
      <c r="BV47" s="352">
        <f>('Attainment 25+ by race &amp; gender'!HN46/'Pop 25+ by race &amp; gender'!DR45)*100</f>
        <v>30.682545201668987</v>
      </c>
      <c r="BW47" s="453" t="e">
        <f>('Attainment 25+ by race &amp; gender'!JB46/'Pop 25+ by race &amp; gender'!EQ45)*100</f>
        <v>#VALUE!</v>
      </c>
      <c r="BX47" s="352">
        <f>('Attainment 25+ by race &amp; gender'!HO46/'Pop 25+ by race &amp; gender'!DS45)*100</f>
        <v>164.53146054250396</v>
      </c>
      <c r="BY47" s="453" t="e">
        <f>('Attainment 25+ by race &amp; gender'!JC46/'Pop 25+ by race &amp; gender'!ER45)*100</f>
        <v>#VALUE!</v>
      </c>
      <c r="BZ47" s="453">
        <f>('Attainment 25+ by race &amp; gender'!HP46/'Pop 25+ by race &amp; gender'!DU45)*100</f>
        <v>109.32232002170406</v>
      </c>
      <c r="CA47" s="453">
        <f>('Attainment 25+ by race &amp; gender'!JD46/'Pop 25+ by race &amp; gender'!ET45)*100</f>
        <v>24.045700011992192</v>
      </c>
      <c r="CB47" s="453">
        <f>('Attainment 25+ by race &amp; gender'!ZS46/'Pop 25+ by race &amp; gender'!DR45)*100</f>
        <v>8.2906815020862314</v>
      </c>
      <c r="CC47" s="453">
        <f>('Attainment 25+ by race &amp; gender'!ABB46/'Pop 25+ by race &amp; gender'!EQ45)*100</f>
        <v>17.086852871059836</v>
      </c>
      <c r="CD47" s="453">
        <f>('Attainment 25+ by race &amp; gender'!ZT46/'Pop 25+ by race &amp; gender'!DS45)*100</f>
        <v>69.531753471205107</v>
      </c>
      <c r="CE47" s="453">
        <f>('Attainment 25+ by race &amp; gender'!ABC46/'Pop 25+ by race &amp; gender'!ER45)*100</f>
        <v>12.224651509598495</v>
      </c>
      <c r="CF47" s="453">
        <f>('Attainment 25+ by race &amp; gender'!ZU46/'Pop 25+ by race &amp; gender'!DU45)*100</f>
        <v>40.963050998522213</v>
      </c>
      <c r="CG47" s="453">
        <f>('Attainment 25+ by race &amp; gender'!ABD46/'Pop 25+ by race &amp; gender'!ET45)*100</f>
        <v>8.2740464711634978</v>
      </c>
      <c r="CH47" s="352">
        <f>('Attainment 25+ by race &amp; gender'!HG46/'Pop 25+ by race &amp; gender'!DK45)*100</f>
        <v>95.064389479688515</v>
      </c>
      <c r="CI47" s="452">
        <f>('Attainment 25+ by race &amp; gender'!IK46/'Pop 25+ by race &amp; gender'!EO45)*100</f>
        <v>96.041100642466361</v>
      </c>
      <c r="CJ47" s="352">
        <f>('Attainment 25+ by race &amp; gender'!HH46/'Pop 25+ by race &amp; gender'!DL45)*100</f>
        <v>80.915506705394492</v>
      </c>
      <c r="CK47" s="453">
        <f>('Attainment 25+ by race &amp; gender'!IL46/'Pop 25+ by race &amp; gender'!EP45)*100</f>
        <v>82.112326811006909</v>
      </c>
      <c r="CL47" s="453">
        <f>('Attainment 25+ by race &amp; gender'!HI46/'Pop 25+ by race &amp; gender'!DN45)*100</f>
        <v>65.274272157415609</v>
      </c>
      <c r="CM47" s="453">
        <f>('Attainment 25+ by race &amp; gender'!IM46/'Pop 25+ by race &amp; gender'!ER45)*100</f>
        <v>75.009794381184676</v>
      </c>
      <c r="CN47" s="453">
        <f>('Attainment 25+ by race &amp; gender'!ZL46/'Pop 25+ by race &amp; gender'!DK45)*100</f>
        <v>35.714719252335257</v>
      </c>
      <c r="CO47" s="453">
        <f>('Attainment 25+ by race &amp; gender'!AAP46/'Pop 25+ by race &amp; gender'!EO45)*100</f>
        <v>38.797512916806014</v>
      </c>
      <c r="CP47" s="453">
        <f>('Attainment 25+ by race &amp; gender'!ZM46/'Pop 25+ by race &amp; gender'!DL45)*100</f>
        <v>18.622480670598605</v>
      </c>
      <c r="CQ47" s="453">
        <f>('Attainment 25+ by race &amp; gender'!AAQ46/'Pop 25+ by race &amp; gender'!EP45)*100</f>
        <v>21.741248890432637</v>
      </c>
      <c r="CR47" s="453">
        <f>('Attainment 25+ by race &amp; gender'!ZN46/'Pop 25+ by race &amp; gender'!DN45)*100</f>
        <v>15.978049131743107</v>
      </c>
      <c r="CS47" s="453">
        <f>('Attainment 25+ by race &amp; gender'!AAR46/'Pop 25+ by race &amp; gender'!ER45)*100</f>
        <v>22.78425821780176</v>
      </c>
      <c r="CT47" s="350">
        <f>IFERROR(('Attainment 25+ by race &amp; gender'!HQ46/'Pop 25+ by race &amp; gender'!DU45)*100,"-")</f>
        <v>95.664495524486711</v>
      </c>
      <c r="CU47" s="452">
        <f>IFERROR(('Attainment 25+ by race &amp; gender'!IP46/'Pop 25+ by race &amp; gender'!ET45)*100,"-")</f>
        <v>96.59931628763259</v>
      </c>
      <c r="CV47" s="350">
        <f>IFERROR(('Attainment 25+ by race &amp; gender'!HR46/'Pop 25+ by race &amp; gender'!DV45)*100,"-")</f>
        <v>81.759608975783166</v>
      </c>
      <c r="CW47" s="452">
        <f>IFERROR(('Attainment 25+ by race &amp; gender'!IQ46/'Pop 25+ by race &amp; gender'!EU45)*100, "-")</f>
        <v>83.160662904973663</v>
      </c>
      <c r="CX47" s="452">
        <f>IFERROR(('Attainment 25+ by race &amp; gender'!HS46/'Pop 25+ by race &amp; gender'!DX45)*100, "-")</f>
        <v>62.583193206064806</v>
      </c>
      <c r="CY47" s="452">
        <f>IFERROR(('Attainment 25+ by race &amp; gender'!IR46/'Pop 25+ by race &amp; gender'!EW45)*100, "-")</f>
        <v>72.224890471616334</v>
      </c>
      <c r="CZ47" s="452">
        <f>IFERROR(('Attainment 25+ by race &amp; gender'!HU46/'Pop 25+ by race &amp; gender'!DY45)*100, "-")</f>
        <v>78.670833252460156</v>
      </c>
      <c r="DA47" s="452">
        <f>IFERROR(('Attainment 25+ by race &amp; gender'!IT46/'Pop 25+ by race &amp; gender'!EX45)*100, "-")</f>
        <v>84.803226088095343</v>
      </c>
      <c r="DB47" s="452" t="str">
        <f>IFERROR(('Attainment 25+ by race &amp; gender'!HV46/'Pop 25+ by race &amp; gender'!DZ45)*100, "-")</f>
        <v>-</v>
      </c>
      <c r="DC47" s="452" t="str">
        <f>IFERROR(('Attainment 25+ by race &amp; gender'!IU46/'Pop 25+ by race &amp; gender'!EY45)*100, "-")</f>
        <v>-</v>
      </c>
      <c r="DD47" s="452">
        <f>IFERROR(('Attainment 25+ by race &amp; gender'!HW46/'Pop 25+ by race &amp; gender'!EA45)*100, "-")</f>
        <v>84.775745854782286</v>
      </c>
      <c r="DE47" s="452">
        <f>IFERROR(('Attainment 25+ by race &amp; gender'!IV46/'Pop 25+ by race &amp; gender'!EZ45)*100, "-")</f>
        <v>84.545741657016521</v>
      </c>
      <c r="DF47" s="452">
        <f>IFERROR(('Attainment 25+ by race &amp; gender'!HX46/'Pop 25+ by race &amp; gender'!EB45)*100, "-")</f>
        <v>91.072989095330371</v>
      </c>
      <c r="DG47" s="452">
        <f>IFERROR(('Attainment 25+ by race &amp; gender'!IW46/'Pop 25+ by race &amp; gender'!FA45)*100, "-")</f>
        <v>87.652199609274533</v>
      </c>
      <c r="DH47" s="452">
        <f>IFERROR(('Attainment 25+ by race &amp; gender'!HY46/'Pop 25+ by race &amp; gender'!EC45)*100, "-")</f>
        <v>54.513485773896655</v>
      </c>
      <c r="DI47" s="452">
        <f>IFERROR(('Attainment 25+ by race &amp; gender'!IX46/'Pop 25+ by race &amp; gender'!FB45)*100, "-")</f>
        <v>69.767817950791269</v>
      </c>
      <c r="DJ47" s="452">
        <f>IFERROR(('Attainment 25+ by race &amp; gender'!ZV46/'Pop 25+ by race &amp; gender'!DU45)*100, "-")</f>
        <v>36.369163443326428</v>
      </c>
      <c r="DK47" s="452">
        <f>IFERROR(('Attainment 25+ by race &amp; gender'!AAU46/'Pop 25+ by race &amp; gender'!ET45)*100, "-")</f>
        <v>40.687621633412199</v>
      </c>
      <c r="DL47" s="452">
        <f>IFERROR(('Attainment 25+ by race &amp; gender'!ZW46/'Pop 25+ by race &amp; gender'!DV45)*100, "-")</f>
        <v>20.739835592090646</v>
      </c>
      <c r="DM47" s="452">
        <f>IFERROR(('Attainment 25+ by race &amp; gender'!AAV46/'Pop 25+ by race &amp; gender'!EU45)*100, "-")</f>
        <v>24.303557415642167</v>
      </c>
      <c r="DN47" s="452">
        <f>IFERROR(('Attainment 25+ by race &amp; gender'!ZX46/'Pop 25+ by race &amp; gender'!DX45)*100, "-")</f>
        <v>15.174723395837161</v>
      </c>
      <c r="DO47" s="452">
        <f>IFERROR(('Attainment 25+ by race &amp; gender'!AAW46/'Pop 25+ by race &amp; gender'!EW45)*100, "-")</f>
        <v>22.25124756928988</v>
      </c>
      <c r="DP47" s="452">
        <f>IFERROR(('Attainment 25+ by race &amp; gender'!ZZ46/'Pop 25+ by race &amp; gender'!DY45)*100, "-")</f>
        <v>41.694325291305162</v>
      </c>
      <c r="DQ47" s="452">
        <f>IFERROR(('Attainment 25+ by race &amp; gender'!AAY46/'Pop 25+ by race &amp; gender'!EX45)*100, "-")</f>
        <v>44.666477495961928</v>
      </c>
      <c r="DR47" s="452" t="str">
        <f>IFERROR(('Attainment 25+ by race &amp; gender'!AAA46/'Pop 25+ by race &amp; gender'!DZ45)*100, "-")</f>
        <v>-</v>
      </c>
      <c r="DS47" s="452" t="str">
        <f>IFERROR(('Attainment 25+ by race &amp; gender'!AAZ46/'Pop 25+ by race &amp; gender'!EY45)*100, "-")</f>
        <v>-</v>
      </c>
      <c r="DT47" s="452">
        <f>IFERROR(('Attainment 25+ by race &amp; gender'!AAB46/'Pop 25+ by race &amp; gender'!EA45)*100, "-")</f>
        <v>14.006996388043571</v>
      </c>
      <c r="DU47" s="452">
        <f>IFERROR(('Attainment 25+ by race &amp; gender'!ABA46/'Pop 25+ by race &amp; gender'!EZ45)*100, "-")</f>
        <v>13.987437274099026</v>
      </c>
      <c r="DV47" s="452">
        <f>IFERROR(('Attainment 25+ by race &amp; gender'!AAC46/'Pop 25+ by race &amp; gender'!EB45)*100, "-")</f>
        <v>32.430943424902168</v>
      </c>
      <c r="DW47" s="452">
        <f>IFERROR(('Attainment 25+ by race &amp; gender'!ABB46/'Pop 25+ by race &amp; gender'!FA45)*100, "-")</f>
        <v>31.770249046443794</v>
      </c>
      <c r="DX47" s="452">
        <f>IFERROR(('Attainment 25+ by race &amp; gender'!AAD46/'Pop 25+ by race &amp; gender'!EC45)*100, "-")</f>
        <v>11.451550485420556</v>
      </c>
      <c r="DY47" s="452">
        <f>IFERROR(('Attainment 25+ by race &amp; gender'!ABC46/'Pop 25+ by race &amp; gender'!FB45)*100, "-")</f>
        <v>22.347233452697239</v>
      </c>
    </row>
    <row r="48" spans="1:129">
      <c r="A48" s="38" t="s">
        <v>45</v>
      </c>
      <c r="B48" s="351">
        <f>('Attainment 25+ by race &amp; gender'!FS47/'Pop 25+ by race &amp; gender'!AT46)*100</f>
        <v>82.379612039998335</v>
      </c>
      <c r="C48" s="444">
        <f>('Attainment 25+ by race &amp; gender'!GR47/'Pop 25+ by race &amp; gender'!CV46)*100</f>
        <v>88.1</v>
      </c>
      <c r="D48" s="352">
        <f>('Attainment 25+ by race &amp; gender'!FT47/'Pop 25+ by race &amp; gender'!AZ46)*100</f>
        <v>73.890145734291863</v>
      </c>
      <c r="E48" s="351">
        <f>IF('Pop 25+ by race &amp; gender'!CW46&gt;0,('Attainment 25+ by race &amp; gender'!GS47/'Pop 25+ by race &amp; gender'!CW46)*100,"—")</f>
        <v>81.899999999999991</v>
      </c>
      <c r="F48" s="352">
        <f>('Attainment 25+ by race &amp; gender'!FU47/'Pop 25+ by race &amp; gender'!BC46)*100</f>
        <v>65.700559049615663</v>
      </c>
      <c r="G48" s="351">
        <f>('Attainment 25+ by race &amp; gender'!GT47/'Pop 25+ by race &amp; gender'!CY46)*100</f>
        <v>66.500000000000014</v>
      </c>
      <c r="H48" s="352">
        <f>('Attainment 25+ by race &amp; gender'!XM47/'Pop 25+ by race &amp; gender'!AT46)*100</f>
        <v>22.311528565444043</v>
      </c>
      <c r="I48" s="351">
        <f>('Attainment 25+ by race &amp; gender'!YW47/'Pop 25+ by race &amp; gender'!CV46)*100</f>
        <v>26.5</v>
      </c>
      <c r="J48" s="352">
        <f>('Attainment 25+ by race &amp; gender'!XS47/'Pop 25+ by race &amp; gender'!AZ46)*100</f>
        <v>13.18573972823825</v>
      </c>
      <c r="K48" s="351">
        <f>IF('Pop 25+ by race &amp; gender'!CW46&gt;0,('Attainment 25+ by race &amp; gender'!YX47/'Pop 25+ by race &amp; gender'!CW46)*100,"—")</f>
        <v>16.099999999999998</v>
      </c>
      <c r="L48" s="352">
        <f>('Attainment 25+ by race &amp; gender'!XV47/'Pop 25+ by race &amp; gender'!BC46)*100</f>
        <v>16.060447239692525</v>
      </c>
      <c r="M48" s="437">
        <f>('Attainment 25+ by race &amp; gender'!YY47/'Pop 25+ by race &amp; gender'!CY46)*100</f>
        <v>17</v>
      </c>
      <c r="N48" s="351">
        <f>('Attainment 25+ by race &amp; gender'!FS47/'Pop 25+ by race &amp; gender'!AT46)*100</f>
        <v>82.379612039998335</v>
      </c>
      <c r="O48" s="445">
        <f>('Attainment 25+ by race &amp; gender'!GW47/'Pop 25+ by race &amp; gender'!DA46)*100</f>
        <v>88.875928474818409</v>
      </c>
      <c r="P48" s="352">
        <f>('Attainment 25+ by race &amp; gender'!FT47/'Pop 25+ by race &amp; gender'!AZ46)*100</f>
        <v>73.890145734291863</v>
      </c>
      <c r="Q48" s="351">
        <f>('Attainment 25+ by race &amp; gender'!GX47/'Pop 25+ by race &amp; gender'!DB46)*100</f>
        <v>82.095506078932004</v>
      </c>
      <c r="R48" s="352">
        <f>('Attainment 25+ by race &amp; gender'!FU47/'Pop 25+ by race &amp; gender'!BC46)*100</f>
        <v>65.700559049615663</v>
      </c>
      <c r="S48" s="351">
        <f>('Attainment 25+ by race &amp; gender'!GY47/'Pop 25+ by race &amp; gender'!DD46)*100</f>
        <v>67.406127577795843</v>
      </c>
      <c r="T48" s="352">
        <f>('Attainment 25+ by race &amp; gender'!XM47/'Pop 25+ by race &amp; gender'!AT46)*100</f>
        <v>22.311528565444043</v>
      </c>
      <c r="U48" s="351">
        <f>('Attainment 25+ by race &amp; gender'!ZB47/'Pop 25+ by race &amp; gender'!DA46)*100</f>
        <v>27.091616474472442</v>
      </c>
      <c r="V48" s="352">
        <f>('Attainment 25+ by race &amp; gender'!XS47/'Pop 25+ by race &amp; gender'!AZ46)*100</f>
        <v>13.18573972823825</v>
      </c>
      <c r="W48" s="351">
        <f>('Attainment 25+ by race &amp; gender'!ZC47/'Pop 25+ by race &amp; gender'!DB46)*100</f>
        <v>16.397430390316181</v>
      </c>
      <c r="X48" s="352">
        <f>('Attainment 25+ by race &amp; gender'!XV47/'Pop 25+ by race &amp; gender'!BC46)*100</f>
        <v>16.060447239692525</v>
      </c>
      <c r="Y48" s="437">
        <f>('Attainment 25+ by race &amp; gender'!ZD47/'Pop 25+ by race &amp; gender'!DD46)*100</f>
        <v>17.833912336462415</v>
      </c>
      <c r="Z48" s="351">
        <f>('Attainment 25+ by race &amp; gender'!FS47/'Pop 25+ by race &amp; gender'!AT46)*100</f>
        <v>82.379612039998335</v>
      </c>
      <c r="AA48" s="445">
        <f>('Attainment 25+ by race &amp; gender'!HB47/'Pop 25+ by race &amp; gender'!DF46)*100</f>
        <v>89.43765799564494</v>
      </c>
      <c r="AB48" s="352">
        <f>('Attainment 25+ by race &amp; gender'!FT47/'Pop 25+ by race &amp; gender'!AZ46)*100</f>
        <v>73.890145734291863</v>
      </c>
      <c r="AC48" s="351">
        <f>('Attainment 25+ by race &amp; gender'!HC47/'Pop 25+ by race &amp; gender'!DG46)*100</f>
        <v>82.971160020876582</v>
      </c>
      <c r="AD48" s="352">
        <f>('Attainment 25+ by race &amp; gender'!FU47/'Pop 25+ by race &amp; gender'!BC46)*100</f>
        <v>65.700559049615663</v>
      </c>
      <c r="AE48" s="351">
        <f>('Attainment 25+ by race &amp; gender'!HD47/'Pop 25+ by race &amp; gender'!DI46)*100</f>
        <v>68.351430502365389</v>
      </c>
      <c r="AF48" s="352">
        <f>('Attainment 25+ by race &amp; gender'!XM47/'Pop 25+ by race &amp; gender'!AT46)*100</f>
        <v>22.311528565444043</v>
      </c>
      <c r="AG48" s="351">
        <f>('Attainment 25+ by race &amp; gender'!ZG47/'Pop 25+ by race &amp; gender'!DF46)*100</f>
        <v>27.535257545707196</v>
      </c>
      <c r="AH48" s="352">
        <f>('Attainment 25+ by race &amp; gender'!XS47/'Pop 25+ by race &amp; gender'!AZ46)*100</f>
        <v>13.18573972823825</v>
      </c>
      <c r="AI48" s="351">
        <f>('Attainment 25+ by race &amp; gender'!ZH47/'Pop 25+ by race &amp; gender'!DG46)*100</f>
        <v>16.384504193353649</v>
      </c>
      <c r="AJ48" s="352">
        <f>('Attainment 25+ by race &amp; gender'!XV47/'Pop 25+ by race &amp; gender'!BC46)*100</f>
        <v>16.060447239692525</v>
      </c>
      <c r="AK48" s="453">
        <f>('Attainment 25+ by race &amp; gender'!ZI47/'Pop 25+ by race &amp; gender'!DI46)*100</f>
        <v>17.574228429826537</v>
      </c>
      <c r="AL48" s="352">
        <f>('Attainment 25+ by race &amp; gender'!FS47/'Pop 25+ by race &amp; gender'!AT46)*100</f>
        <v>82.379612039998335</v>
      </c>
      <c r="AM48" s="453">
        <f>('Attainment 25+ by race &amp; gender'!HL47/'Pop 25+ by race &amp; gender'!DP46)*100</f>
        <v>90.22451000151527</v>
      </c>
      <c r="AN48" s="352">
        <v>73.890145734291863</v>
      </c>
      <c r="AO48" s="453">
        <f>('Attainment 25+ by race &amp; gender'!HM47/'Pop 25+ by race &amp; gender'!DQ46)*100</f>
        <v>85.320407703932361</v>
      </c>
      <c r="AP48" s="453">
        <f>('Attainment 25+ by race &amp; gender'!FU47/'Pop 25+ by race &amp; gender'!BC46)*100</f>
        <v>65.700559049615663</v>
      </c>
      <c r="AQ48" s="453">
        <f>('Attainment 25+ by race &amp; gender'!HN47/'Pop 25+ by race &amp; gender'!DS46)*100</f>
        <v>68.959078367135987</v>
      </c>
      <c r="AR48" s="453">
        <f>('Attainment 25+ by race &amp; gender'!XM47/'Pop 25+ by race &amp; gender'!AT46)*100</f>
        <v>22.311528565444043</v>
      </c>
      <c r="AS48" s="453">
        <f>('Attainment 25+ by race &amp; gender'!ZQ47/'Pop 25+ by race &amp; gender'!DP46)*100</f>
        <v>28.90669616783892</v>
      </c>
      <c r="AT48" s="453">
        <f>('Attainment 25+ by race &amp; gender'!XS47/'Pop 25+ by race &amp; gender'!AZ46)*100</f>
        <v>13.18573972823825</v>
      </c>
      <c r="AU48" s="453">
        <f>('Attainment 25+ by race &amp; gender'!ZR47/'Pop 25+ by race &amp; gender'!DQ46)*100</f>
        <v>17.10349230846964</v>
      </c>
      <c r="AV48" s="453">
        <f>('Attainment 25+ by race &amp; gender'!XV47/'Pop 25+ by race &amp; gender'!BC46)*100</f>
        <v>16.060447239692525</v>
      </c>
      <c r="AW48" s="453">
        <f>('Attainment 25+ by race &amp; gender'!ZS47/'Pop 25+ by race &amp; gender'!DS46)*100</f>
        <v>18.61938463333917</v>
      </c>
      <c r="AX48" s="352">
        <f>('Attainment 25+ by race &amp; gender'!GR47/'Pop 25+ by race &amp; gender'!CV46)*100</f>
        <v>88.1</v>
      </c>
      <c r="AY48" s="453">
        <f>('Attainment 25+ by race &amp; gender'!HQ47/'Pop 25+ by race &amp; gender'!DU46)*100</f>
        <v>90.710072964450177</v>
      </c>
      <c r="AZ48" s="352">
        <f>('Attainment 25+ by race &amp; gender'!GS47/'Pop 25+ by race &amp; gender'!CW46)*100</f>
        <v>81.899999999999991</v>
      </c>
      <c r="BA48" s="453">
        <f>('Attainment 25+ by race &amp; gender'!HR47/'Pop 25+ by race &amp; gender'!DV46)*100</f>
        <v>86.53813217754292</v>
      </c>
      <c r="BB48" s="453">
        <f>('Attainment 25+ by race &amp; gender'!GT47/'Pop 25+ by race &amp; gender'!CY46)*100</f>
        <v>66.500000000000014</v>
      </c>
      <c r="BC48" s="453">
        <f>('Attainment 25+ by race &amp; gender'!HS47/'Pop 25+ by race &amp; gender'!DX46)*100</f>
        <v>72.702111330644499</v>
      </c>
      <c r="BD48" s="453">
        <f>('Attainment 25+ by race &amp; gender'!YW47/'Pop 25+ by race &amp; gender'!CV46)*100</f>
        <v>26.5</v>
      </c>
      <c r="BE48" s="453">
        <f>('Attainment 25+ by race &amp; gender'!ZV47/'Pop 25+ by race &amp; gender'!DU46)*100</f>
        <v>29.490509636966312</v>
      </c>
      <c r="BF48" s="453">
        <f>('Attainment 25+ by race &amp; gender'!YX47/'Pop 25+ by race &amp; gender'!CW46)*100</f>
        <v>16.099999999999998</v>
      </c>
      <c r="BG48" s="453">
        <f>('Attainment 25+ by race &amp; gender'!ZW47/'Pop 25+ by race &amp; gender'!DV46)*100</f>
        <v>18.257362797463411</v>
      </c>
      <c r="BH48" s="453">
        <f>('Attainment 25+ by race &amp; gender'!YY47/'Pop 25+ by race &amp; gender'!CY46)*100</f>
        <v>17</v>
      </c>
      <c r="BI48" s="453">
        <f>('Attainment 25+ by race &amp; gender'!ZX47/'Pop 25+ by race &amp; gender'!DX46)*100</f>
        <v>19.435508891102366</v>
      </c>
      <c r="BJ48" s="352">
        <f>('Attainment 25+ by race &amp; gender'!GW47/'Pop 25+ by race &amp; gender'!DA46)*100</f>
        <v>88.875928474818409</v>
      </c>
      <c r="BK48" s="453">
        <f>('Attainment 25+ by race &amp; gender'!IA47/'Pop 25+ by race &amp; gender'!EE46)*100</f>
        <v>90.853554392692033</v>
      </c>
      <c r="BL48" s="352">
        <f>('Attainment 25+ by race &amp; gender'!GX47/'Pop 25+ by race &amp; gender'!DB46)*100</f>
        <v>82.095506078932004</v>
      </c>
      <c r="BM48" s="453">
        <f>('Attainment 25+ by race &amp; gender'!IB47/'Pop 25+ by race &amp; gender'!EF46)*100</f>
        <v>84.943724045390923</v>
      </c>
      <c r="BN48" s="453">
        <f>('Attainment 25+ by race &amp; gender'!GY47/'Pop 25+ by race &amp; gender'!DD46)*100</f>
        <v>67.406127577795843</v>
      </c>
      <c r="BO48" s="453">
        <f>('Attainment 25+ by race &amp; gender'!IC47/'Pop 25+ by race &amp; gender'!EH46)*100</f>
        <v>73.262244207480691</v>
      </c>
      <c r="BP48" s="453">
        <f>('Attainment 25+ by race &amp; gender'!ZB47/'Pop 25+ by race &amp; gender'!DA46)*100</f>
        <v>27.091616474472442</v>
      </c>
      <c r="BQ48" s="453">
        <f>('Attainment 25+ by race &amp; gender'!AAF47/'Pop 25+ by race &amp; gender'!EE46)*100</f>
        <v>30.149804983628652</v>
      </c>
      <c r="BR48" s="453">
        <f>('Attainment 25+ by race &amp; gender'!ZC47/'Pop 25+ by race &amp; gender'!DB46)*100</f>
        <v>16.397430390316181</v>
      </c>
      <c r="BS48" s="453">
        <f>('Attainment 25+ by race &amp; gender'!AAG47/'Pop 25+ by race &amp; gender'!EF46)*100</f>
        <v>17.261969484898611</v>
      </c>
      <c r="BT48" s="453">
        <f>('Attainment 25+ by race &amp; gender'!ZD47/'Pop 25+ by race &amp; gender'!DD46)*100</f>
        <v>17.833912336462415</v>
      </c>
      <c r="BU48" s="453">
        <f>('Attainment 25+ by race &amp; gender'!AAH47/'Pop 25+ by race &amp; gender'!EH46)*100</f>
        <v>19.966399887999629</v>
      </c>
      <c r="BV48" s="352">
        <f>('Attainment 25+ by race &amp; gender'!HN47/'Pop 25+ by race &amp; gender'!DR46)*100</f>
        <v>44.359599967825829</v>
      </c>
      <c r="BW48" s="453" t="e">
        <f>('Attainment 25+ by race &amp; gender'!JB47/'Pop 25+ by race &amp; gender'!EQ46)*100</f>
        <v>#VALUE!</v>
      </c>
      <c r="BX48" s="352">
        <f>('Attainment 25+ by race &amp; gender'!HO47/'Pop 25+ by race &amp; gender'!DS46)*100</f>
        <v>125.4699443985962</v>
      </c>
      <c r="BY48" s="453" t="e">
        <f>('Attainment 25+ by race &amp; gender'!JC47/'Pop 25+ by race &amp; gender'!ER46)*100</f>
        <v>#VALUE!</v>
      </c>
      <c r="BZ48" s="453">
        <f>('Attainment 25+ by race &amp; gender'!HP47/'Pop 25+ by race &amp; gender'!DU46)*100</f>
        <v>108.22473695707309</v>
      </c>
      <c r="CA48" s="453">
        <f>('Attainment 25+ by race &amp; gender'!JD47/'Pop 25+ by race &amp; gender'!ET46)*100</f>
        <v>22.455831018023794</v>
      </c>
      <c r="CB48" s="453">
        <f>('Attainment 25+ by race &amp; gender'!ZS47/'Pop 25+ by race &amp; gender'!DR46)*100</f>
        <v>11.977370834115344</v>
      </c>
      <c r="CC48" s="453">
        <f>('Attainment 25+ by race &amp; gender'!ABB47/'Pop 25+ by race &amp; gender'!EQ46)*100</f>
        <v>29.555212571909639</v>
      </c>
      <c r="CD48" s="453">
        <f>('Attainment 25+ by race &amp; gender'!ZT47/'Pop 25+ by race &amp; gender'!DS46)*100</f>
        <v>57.091888196997353</v>
      </c>
      <c r="CE48" s="453">
        <f>('Attainment 25+ by race &amp; gender'!ABC47/'Pop 25+ by race &amp; gender'!ER46)*100</f>
        <v>10.540751783930871</v>
      </c>
      <c r="CF48" s="453">
        <f>('Attainment 25+ by race &amp; gender'!ZU47/'Pop 25+ by race &amp; gender'!DU46)*100</f>
        <v>34.382866181996235</v>
      </c>
      <c r="CG48" s="453">
        <f>('Attainment 25+ by race &amp; gender'!ABD47/'Pop 25+ by race &amp; gender'!ET46)*100</f>
        <v>8.2099688917384999</v>
      </c>
      <c r="CH48" s="352">
        <f>('Attainment 25+ by race &amp; gender'!HG47/'Pop 25+ by race &amp; gender'!DK46)*100</f>
        <v>90.018771192924959</v>
      </c>
      <c r="CI48" s="452">
        <f>('Attainment 25+ by race &amp; gender'!IK47/'Pop 25+ by race &amp; gender'!EO46)*100</f>
        <v>91.625310425483676</v>
      </c>
      <c r="CJ48" s="352">
        <f>('Attainment 25+ by race &amp; gender'!HH47/'Pop 25+ by race &amp; gender'!DL46)*100</f>
        <v>85.374414704438834</v>
      </c>
      <c r="CK48" s="453">
        <f>('Attainment 25+ by race &amp; gender'!IL47/'Pop 25+ by race &amp; gender'!EP46)*100</f>
        <v>87.772800660917696</v>
      </c>
      <c r="CL48" s="453">
        <f>('Attainment 25+ by race &amp; gender'!HI47/'Pop 25+ by race &amp; gender'!DN46)*100</f>
        <v>71.518379010261071</v>
      </c>
      <c r="CM48" s="453">
        <f>('Attainment 25+ by race &amp; gender'!IM47/'Pop 25+ by race &amp; gender'!ER46)*100</f>
        <v>77.775767488312169</v>
      </c>
      <c r="CN48" s="453">
        <f>('Attainment 25+ by race &amp; gender'!ZL47/'Pop 25+ by race &amp; gender'!DK46)*100</f>
        <v>28.428962822166433</v>
      </c>
      <c r="CO48" s="453">
        <f>('Attainment 25+ by race &amp; gender'!AAP47/'Pop 25+ by race &amp; gender'!EO46)*100</f>
        <v>31.150628330750195</v>
      </c>
      <c r="CP48" s="453">
        <f>('Attainment 25+ by race &amp; gender'!ZM47/'Pop 25+ by race &amp; gender'!DL46)*100</f>
        <v>17.251710237700362</v>
      </c>
      <c r="CQ48" s="453">
        <f>('Attainment 25+ by race &amp; gender'!AAQ47/'Pop 25+ by race &amp; gender'!EP46)*100</f>
        <v>19.501957657739688</v>
      </c>
      <c r="CR48" s="453">
        <f>('Attainment 25+ by race &amp; gender'!ZN47/'Pop 25+ by race &amp; gender'!DN46)*100</f>
        <v>20.826081309260942</v>
      </c>
      <c r="CS48" s="453">
        <f>('Attainment 25+ by race &amp; gender'!AAR47/'Pop 25+ by race &amp; gender'!ER46)*100</f>
        <v>22.86543443963583</v>
      </c>
      <c r="CT48" s="350">
        <f>IFERROR(('Attainment 25+ by race &amp; gender'!HQ47/'Pop 25+ by race &amp; gender'!DU46)*100,"-")</f>
        <v>90.710072964450177</v>
      </c>
      <c r="CU48" s="452">
        <f>IFERROR(('Attainment 25+ by race &amp; gender'!IP47/'Pop 25+ by race &amp; gender'!ET46)*100,"-")</f>
        <v>92.750083113675757</v>
      </c>
      <c r="CV48" s="350">
        <f>IFERROR(('Attainment 25+ by race &amp; gender'!HR47/'Pop 25+ by race &amp; gender'!DV46)*100,"-")</f>
        <v>86.53813217754292</v>
      </c>
      <c r="CW48" s="452">
        <f>IFERROR(('Attainment 25+ by race &amp; gender'!IQ47/'Pop 25+ by race &amp; gender'!EU46)*100, "-")</f>
        <v>88.020795231161699</v>
      </c>
      <c r="CX48" s="452">
        <f>IFERROR(('Attainment 25+ by race &amp; gender'!HS47/'Pop 25+ by race &amp; gender'!DX46)*100, "-")</f>
        <v>72.702111330644499</v>
      </c>
      <c r="CY48" s="452">
        <f>IFERROR(('Attainment 25+ by race &amp; gender'!IR47/'Pop 25+ by race &amp; gender'!EW46)*100, "-")</f>
        <v>78.481506315083678</v>
      </c>
      <c r="CZ48" s="452">
        <f>IFERROR(('Attainment 25+ by race &amp; gender'!HU47/'Pop 25+ by race &amp; gender'!DY46)*100, "-")</f>
        <v>87.165541063050995</v>
      </c>
      <c r="DA48" s="452">
        <f>IFERROR(('Attainment 25+ by race &amp; gender'!IT47/'Pop 25+ by race &amp; gender'!EX46)*100, "-")</f>
        <v>90.10873942811115</v>
      </c>
      <c r="DB48" s="452" t="str">
        <f>IFERROR(('Attainment 25+ by race &amp; gender'!HV47/'Pop 25+ by race &amp; gender'!DZ46)*100, "-")</f>
        <v>-</v>
      </c>
      <c r="DC48" s="452" t="str">
        <f>IFERROR(('Attainment 25+ by race &amp; gender'!IU47/'Pop 25+ by race &amp; gender'!EY46)*100, "-")</f>
        <v>-</v>
      </c>
      <c r="DD48" s="452">
        <f>IFERROR(('Attainment 25+ by race &amp; gender'!HW47/'Pop 25+ by race &amp; gender'!EA46)*100, "-")</f>
        <v>79.783608331079265</v>
      </c>
      <c r="DE48" s="452">
        <f>IFERROR(('Attainment 25+ by race &amp; gender'!IV47/'Pop 25+ by race &amp; gender'!EZ46)*100, "-")</f>
        <v>81.276088252832437</v>
      </c>
      <c r="DF48" s="452">
        <f>IFERROR(('Attainment 25+ by race &amp; gender'!HX47/'Pop 25+ by race &amp; gender'!EB46)*100, "-")</f>
        <v>87.265716079275407</v>
      </c>
      <c r="DG48" s="452">
        <f>IFERROR(('Attainment 25+ by race &amp; gender'!IW47/'Pop 25+ by race &amp; gender'!FA46)*100, "-")</f>
        <v>87.085483970470307</v>
      </c>
      <c r="DH48" s="452">
        <f>IFERROR(('Attainment 25+ by race &amp; gender'!HY47/'Pop 25+ by race &amp; gender'!EC46)*100, "-")</f>
        <v>67.375504710632569</v>
      </c>
      <c r="DI48" s="452">
        <f>IFERROR(('Attainment 25+ by race &amp; gender'!IX47/'Pop 25+ by race &amp; gender'!FB46)*100, "-")</f>
        <v>76.317469079367271</v>
      </c>
      <c r="DJ48" s="452">
        <f>IFERROR(('Attainment 25+ by race &amp; gender'!ZV47/'Pop 25+ by race &amp; gender'!DU46)*100, "-")</f>
        <v>29.490509636966312</v>
      </c>
      <c r="DK48" s="452">
        <f>IFERROR(('Attainment 25+ by race &amp; gender'!AAU47/'Pop 25+ by race &amp; gender'!ET46)*100, "-")</f>
        <v>32.92295955926005</v>
      </c>
      <c r="DL48" s="452">
        <f>IFERROR(('Attainment 25+ by race &amp; gender'!ZW47/'Pop 25+ by race &amp; gender'!DV46)*100, "-")</f>
        <v>18.257362797463411</v>
      </c>
      <c r="DM48" s="452">
        <f>IFERROR(('Attainment 25+ by race &amp; gender'!AAV47/'Pop 25+ by race &amp; gender'!EU46)*100, "-")</f>
        <v>21.132457504525064</v>
      </c>
      <c r="DN48" s="452">
        <f>IFERROR(('Attainment 25+ by race &amp; gender'!ZX47/'Pop 25+ by race &amp; gender'!DX46)*100, "-")</f>
        <v>19.435508891102366</v>
      </c>
      <c r="DO48" s="452">
        <f>IFERROR(('Attainment 25+ by race &amp; gender'!AAW47/'Pop 25+ by race &amp; gender'!EW46)*100, "-")</f>
        <v>22.977873260444177</v>
      </c>
      <c r="DP48" s="452">
        <f>IFERROR(('Attainment 25+ by race &amp; gender'!ZZ47/'Pop 25+ by race &amp; gender'!DY46)*100, "-")</f>
        <v>58.966592772078151</v>
      </c>
      <c r="DQ48" s="452">
        <f>IFERROR(('Attainment 25+ by race &amp; gender'!AAY47/'Pop 25+ by race &amp; gender'!EX46)*100, "-")</f>
        <v>60.006904090673729</v>
      </c>
      <c r="DR48" s="452" t="str">
        <f>IFERROR(('Attainment 25+ by race &amp; gender'!AAA47/'Pop 25+ by race &amp; gender'!DZ46)*100, "-")</f>
        <v>-</v>
      </c>
      <c r="DS48" s="452" t="str">
        <f>IFERROR(('Attainment 25+ by race &amp; gender'!AAZ47/'Pop 25+ by race &amp; gender'!EY46)*100, "-")</f>
        <v>-</v>
      </c>
      <c r="DT48" s="452">
        <f>IFERROR(('Attainment 25+ by race &amp; gender'!AAB47/'Pop 25+ by race &amp; gender'!EA46)*100, "-")</f>
        <v>18.490668109277795</v>
      </c>
      <c r="DU48" s="452">
        <f>IFERROR(('Attainment 25+ by race &amp; gender'!ABA47/'Pop 25+ by race &amp; gender'!EZ46)*100, "-")</f>
        <v>26.18515205724508</v>
      </c>
      <c r="DV48" s="452">
        <f>IFERROR(('Attainment 25+ by race &amp; gender'!AAC47/'Pop 25+ by race &amp; gender'!EB46)*100, "-")</f>
        <v>24.799569545332258</v>
      </c>
      <c r="DW48" s="452">
        <f>IFERROR(('Attainment 25+ by race &amp; gender'!ABB47/'Pop 25+ by race &amp; gender'!FA46)*100, "-")</f>
        <v>25.989430175409733</v>
      </c>
      <c r="DX48" s="452">
        <f>IFERROR(('Attainment 25+ by race &amp; gender'!AAD47/'Pop 25+ by race &amp; gender'!EC46)*100, "-")</f>
        <v>15.767907880963062</v>
      </c>
      <c r="DY48" s="452">
        <f>IFERROR(('Attainment 25+ by race &amp; gender'!ABC47/'Pop 25+ by race &amp; gender'!FB46)*100, "-")</f>
        <v>25.124631281157821</v>
      </c>
    </row>
    <row r="49" spans="1:129">
      <c r="A49" s="38" t="s">
        <v>46</v>
      </c>
      <c r="B49" s="351">
        <f>('Attainment 25+ by race &amp; gender'!FS48/'Pop 25+ by race &amp; gender'!AT47)*100</f>
        <v>88.186937996209451</v>
      </c>
      <c r="C49" s="444">
        <f>('Attainment 25+ by race &amp; gender'!GR48/'Pop 25+ by race &amp; gender'!CV47)*100</f>
        <v>91.899999999999977</v>
      </c>
      <c r="D49" s="352">
        <f>('Attainment 25+ by race &amp; gender'!FT48/'Pop 25+ by race &amp; gender'!AZ47)*100</f>
        <v>78.601142603583114</v>
      </c>
      <c r="E49" s="351">
        <f>IF('Pop 25+ by race &amp; gender'!CW47&gt;0,('Attainment 25+ by race &amp; gender'!GS48/'Pop 25+ by race &amp; gender'!CW47)*100,"—")</f>
        <v>83.600000000000009</v>
      </c>
      <c r="F49" s="352">
        <f>('Attainment 25+ by race &amp; gender'!FU48/'Pop 25+ by race &amp; gender'!BC47)*100</f>
        <v>46.619906787873191</v>
      </c>
      <c r="G49" s="351">
        <f>('Attainment 25+ by race &amp; gender'!GT48/'Pop 25+ by race &amp; gender'!CY47)*100</f>
        <v>50.7</v>
      </c>
      <c r="H49" s="352">
        <f>('Attainment 25+ by race &amp; gender'!XM48/'Pop 25+ by race &amp; gender'!AT47)*100</f>
        <v>24.387637267518308</v>
      </c>
      <c r="I49" s="351">
        <f>('Attainment 25+ by race &amp; gender'!YW48/'Pop 25+ by race &amp; gender'!CV47)*100</f>
        <v>28.9</v>
      </c>
      <c r="J49" s="352">
        <f>('Attainment 25+ by race &amp; gender'!XS48/'Pop 25+ by race &amp; gender'!AZ47)*100</f>
        <v>14.110599589550169</v>
      </c>
      <c r="K49" s="351">
        <f>IF('Pop 25+ by race &amp; gender'!CW47&gt;0,('Attainment 25+ by race &amp; gender'!YX48/'Pop 25+ by race &amp; gender'!CW47)*100,"—")</f>
        <v>17.599999999999998</v>
      </c>
      <c r="L49" s="352">
        <f>('Attainment 25+ by race &amp; gender'!XV48/'Pop 25+ by race &amp; gender'!BC47)*100</f>
        <v>8.5367541876240143</v>
      </c>
      <c r="M49" s="437">
        <f>('Attainment 25+ by race &amp; gender'!YY48/'Pop 25+ by race &amp; gender'!CY47)*100</f>
        <v>9.0000000000000018</v>
      </c>
      <c r="N49" s="351">
        <f>('Attainment 25+ by race &amp; gender'!FS48/'Pop 25+ by race &amp; gender'!AT47)*100</f>
        <v>88.186937996209451</v>
      </c>
      <c r="O49" s="445">
        <f>('Attainment 25+ by race &amp; gender'!GW48/'Pop 25+ by race &amp; gender'!DA47)*100</f>
        <v>94.269799795547442</v>
      </c>
      <c r="P49" s="352">
        <f>('Attainment 25+ by race &amp; gender'!FT48/'Pop 25+ by race &amp; gender'!AZ47)*100</f>
        <v>78.601142603583114</v>
      </c>
      <c r="Q49" s="351">
        <f>('Attainment 25+ by race &amp; gender'!GX48/'Pop 25+ by race &amp; gender'!DB47)*100</f>
        <v>82.553164039821951</v>
      </c>
      <c r="R49" s="352">
        <f>('Attainment 25+ by race &amp; gender'!FU48/'Pop 25+ by race &amp; gender'!BC47)*100</f>
        <v>46.619906787873191</v>
      </c>
      <c r="S49" s="351">
        <f>('Attainment 25+ by race &amp; gender'!GY48/'Pop 25+ by race &amp; gender'!DD47)*100</f>
        <v>52.769975127764098</v>
      </c>
      <c r="T49" s="352">
        <f>('Attainment 25+ by race &amp; gender'!XM48/'Pop 25+ by race &amp; gender'!AT47)*100</f>
        <v>24.387637267518308</v>
      </c>
      <c r="U49" s="351">
        <f>('Attainment 25+ by race &amp; gender'!ZB48/'Pop 25+ by race &amp; gender'!DA47)*100</f>
        <v>30.196906830539085</v>
      </c>
      <c r="V49" s="352">
        <f>('Attainment 25+ by race &amp; gender'!XS48/'Pop 25+ by race &amp; gender'!AZ47)*100</f>
        <v>14.110599589550169</v>
      </c>
      <c r="W49" s="351">
        <f>('Attainment 25+ by race &amp; gender'!ZC48/'Pop 25+ by race &amp; gender'!DB47)*100</f>
        <v>17.625303717719913</v>
      </c>
      <c r="X49" s="352">
        <f>('Attainment 25+ by race &amp; gender'!XV48/'Pop 25+ by race &amp; gender'!BC47)*100</f>
        <v>8.5367541876240143</v>
      </c>
      <c r="Y49" s="437">
        <f>('Attainment 25+ by race &amp; gender'!ZD48/'Pop 25+ by race &amp; gender'!DD47)*100</f>
        <v>10.09614789699677</v>
      </c>
      <c r="Z49" s="351">
        <f>('Attainment 25+ by race &amp; gender'!FS48/'Pop 25+ by race &amp; gender'!AT47)*100</f>
        <v>88.186937996209451</v>
      </c>
      <c r="AA49" s="445">
        <f>('Attainment 25+ by race &amp; gender'!HB48/'Pop 25+ by race &amp; gender'!DF47)*100</f>
        <v>94.40931452174317</v>
      </c>
      <c r="AB49" s="352">
        <f>('Attainment 25+ by race &amp; gender'!FT48/'Pop 25+ by race &amp; gender'!AZ47)*100</f>
        <v>78.601142603583114</v>
      </c>
      <c r="AC49" s="351">
        <f>('Attainment 25+ by race &amp; gender'!HC48/'Pop 25+ by race &amp; gender'!DG47)*100</f>
        <v>84.977993238502265</v>
      </c>
      <c r="AD49" s="352">
        <f>('Attainment 25+ by race &amp; gender'!FU48/'Pop 25+ by race &amp; gender'!BC47)*100</f>
        <v>46.619906787873191</v>
      </c>
      <c r="AE49" s="351">
        <f>('Attainment 25+ by race &amp; gender'!HD48/'Pop 25+ by race &amp; gender'!DI47)*100</f>
        <v>50.969331286372231</v>
      </c>
      <c r="AF49" s="352">
        <f>('Attainment 25+ by race &amp; gender'!XM48/'Pop 25+ by race &amp; gender'!AT47)*100</f>
        <v>24.387637267518308</v>
      </c>
      <c r="AG49" s="351">
        <f>('Attainment 25+ by race &amp; gender'!ZG48/'Pop 25+ by race &amp; gender'!DF47)*100</f>
        <v>30.463734317229001</v>
      </c>
      <c r="AH49" s="352">
        <f>('Attainment 25+ by race &amp; gender'!XS48/'Pop 25+ by race &amp; gender'!AZ47)*100</f>
        <v>14.110599589550169</v>
      </c>
      <c r="AI49" s="351">
        <f>('Attainment 25+ by race &amp; gender'!ZH48/'Pop 25+ by race &amp; gender'!DG47)*100</f>
        <v>19.227743403287192</v>
      </c>
      <c r="AJ49" s="352">
        <f>('Attainment 25+ by race &amp; gender'!XV48/'Pop 25+ by race &amp; gender'!BC47)*100</f>
        <v>8.5367541876240143</v>
      </c>
      <c r="AK49" s="453">
        <f>('Attainment 25+ by race &amp; gender'!ZI48/'Pop 25+ by race &amp; gender'!DI47)*100</f>
        <v>9.5445511561759915</v>
      </c>
      <c r="AL49" s="352">
        <f>('Attainment 25+ by race &amp; gender'!FS48/'Pop 25+ by race &amp; gender'!AT47)*100</f>
        <v>88.186937996209451</v>
      </c>
      <c r="AM49" s="453">
        <f>('Attainment 25+ by race &amp; gender'!HL48/'Pop 25+ by race &amp; gender'!DP47)*100</f>
        <v>94.632546082508171</v>
      </c>
      <c r="AN49" s="352">
        <v>78.601142603583114</v>
      </c>
      <c r="AO49" s="453">
        <f>('Attainment 25+ by race &amp; gender'!HM48/'Pop 25+ by race &amp; gender'!DQ47)*100</f>
        <v>87.627722772277224</v>
      </c>
      <c r="AP49" s="453">
        <f>('Attainment 25+ by race &amp; gender'!FU48/'Pop 25+ by race &amp; gender'!BC47)*100</f>
        <v>46.619906787873191</v>
      </c>
      <c r="AQ49" s="453">
        <f>('Attainment 25+ by race &amp; gender'!HN48/'Pop 25+ by race &amp; gender'!DS47)*100</f>
        <v>56.294420656828017</v>
      </c>
      <c r="AR49" s="453">
        <f>('Attainment 25+ by race &amp; gender'!XM48/'Pop 25+ by race &amp; gender'!AT47)*100</f>
        <v>24.387637267518308</v>
      </c>
      <c r="AS49" s="453">
        <f>('Attainment 25+ by race &amp; gender'!ZQ48/'Pop 25+ by race &amp; gender'!DP47)*100</f>
        <v>32.103158192998983</v>
      </c>
      <c r="AT49" s="453">
        <f>('Attainment 25+ by race &amp; gender'!XS48/'Pop 25+ by race &amp; gender'!AZ47)*100</f>
        <v>14.110599589550169</v>
      </c>
      <c r="AU49" s="453">
        <f>('Attainment 25+ by race &amp; gender'!ZR48/'Pop 25+ by race &amp; gender'!DQ47)*100</f>
        <v>22.174257425742574</v>
      </c>
      <c r="AV49" s="453">
        <f>('Attainment 25+ by race &amp; gender'!XV48/'Pop 25+ by race &amp; gender'!BC47)*100</f>
        <v>8.5367541876240143</v>
      </c>
      <c r="AW49" s="453">
        <f>('Attainment 25+ by race &amp; gender'!ZS48/'Pop 25+ by race &amp; gender'!DS47)*100</f>
        <v>10.173009628550936</v>
      </c>
      <c r="AX49" s="352">
        <f>('Attainment 25+ by race &amp; gender'!GR48/'Pop 25+ by race &amp; gender'!CV47)*100</f>
        <v>91.899999999999977</v>
      </c>
      <c r="AY49" s="453">
        <f>('Attainment 25+ by race &amp; gender'!HQ48/'Pop 25+ by race &amp; gender'!DU47)*100</f>
        <v>94.927913694871535</v>
      </c>
      <c r="AZ49" s="352">
        <f>('Attainment 25+ by race &amp; gender'!GS48/'Pop 25+ by race &amp; gender'!CW47)*100</f>
        <v>83.600000000000009</v>
      </c>
      <c r="BA49" s="453">
        <f>('Attainment 25+ by race &amp; gender'!HR48/'Pop 25+ by race &amp; gender'!DV47)*100</f>
        <v>86.40786240786241</v>
      </c>
      <c r="BB49" s="453">
        <f>('Attainment 25+ by race &amp; gender'!GT48/'Pop 25+ by race &amp; gender'!CY47)*100</f>
        <v>50.7</v>
      </c>
      <c r="BC49" s="453">
        <f>('Attainment 25+ by race &amp; gender'!HS48/'Pop 25+ by race &amp; gender'!DX47)*100</f>
        <v>55.551606482797844</v>
      </c>
      <c r="BD49" s="453">
        <f>('Attainment 25+ by race &amp; gender'!YW48/'Pop 25+ by race &amp; gender'!CV47)*100</f>
        <v>28.9</v>
      </c>
      <c r="BE49" s="453">
        <f>('Attainment 25+ by race &amp; gender'!ZV48/'Pop 25+ by race &amp; gender'!DU47)*100</f>
        <v>33.622880628284243</v>
      </c>
      <c r="BF49" s="453">
        <f>('Attainment 25+ by race &amp; gender'!YX48/'Pop 25+ by race &amp; gender'!CW47)*100</f>
        <v>17.599999999999998</v>
      </c>
      <c r="BG49" s="453">
        <f>('Attainment 25+ by race &amp; gender'!ZW48/'Pop 25+ by race &amp; gender'!DV47)*100</f>
        <v>23.272727272727273</v>
      </c>
      <c r="BH49" s="453">
        <f>('Attainment 25+ by race &amp; gender'!YY48/'Pop 25+ by race &amp; gender'!CY47)*100</f>
        <v>9.0000000000000018</v>
      </c>
      <c r="BI49" s="453">
        <f>('Attainment 25+ by race &amp; gender'!ZX48/'Pop 25+ by race &amp; gender'!DX47)*100</f>
        <v>10.825988058003981</v>
      </c>
      <c r="BJ49" s="352">
        <f>('Attainment 25+ by race &amp; gender'!GW48/'Pop 25+ by race &amp; gender'!DA47)*100</f>
        <v>94.269799795547442</v>
      </c>
      <c r="BK49" s="453">
        <f>('Attainment 25+ by race &amp; gender'!IA48/'Pop 25+ by race &amp; gender'!EE47)*100</f>
        <v>95.284639129963423</v>
      </c>
      <c r="BL49" s="352">
        <f>('Attainment 25+ by race &amp; gender'!GX48/'Pop 25+ by race &amp; gender'!DB47)*100</f>
        <v>82.553164039821951</v>
      </c>
      <c r="BM49" s="453">
        <f>('Attainment 25+ by race &amp; gender'!IB48/'Pop 25+ by race &amp; gender'!EF47)*100</f>
        <v>85.810798200921937</v>
      </c>
      <c r="BN49" s="453">
        <f>('Attainment 25+ by race &amp; gender'!GY48/'Pop 25+ by race &amp; gender'!DD47)*100</f>
        <v>52.769975127764098</v>
      </c>
      <c r="BO49" s="453">
        <f>('Attainment 25+ by race &amp; gender'!IC48/'Pop 25+ by race &amp; gender'!EH47)*100</f>
        <v>58.050104343225527</v>
      </c>
      <c r="BP49" s="453">
        <f>('Attainment 25+ by race &amp; gender'!ZB48/'Pop 25+ by race &amp; gender'!DA47)*100</f>
        <v>30.196906830539085</v>
      </c>
      <c r="BQ49" s="453">
        <f>('Attainment 25+ by race &amp; gender'!AAF48/'Pop 25+ by race &amp; gender'!EE47)*100</f>
        <v>34.112665019561753</v>
      </c>
      <c r="BR49" s="453">
        <f>('Attainment 25+ by race &amp; gender'!ZC48/'Pop 25+ by race &amp; gender'!DB47)*100</f>
        <v>17.625303717719913</v>
      </c>
      <c r="BS49" s="453">
        <f>('Attainment 25+ by race &amp; gender'!AAG48/'Pop 25+ by race &amp; gender'!EF47)*100</f>
        <v>17.970251758953399</v>
      </c>
      <c r="BT49" s="453">
        <f>('Attainment 25+ by race &amp; gender'!ZD48/'Pop 25+ by race &amp; gender'!DD47)*100</f>
        <v>10.09614789699677</v>
      </c>
      <c r="BU49" s="453">
        <f>('Attainment 25+ by race &amp; gender'!AAH48/'Pop 25+ by race &amp; gender'!EH47)*100</f>
        <v>10.933014588456603</v>
      </c>
      <c r="BV49" s="352">
        <f>('Attainment 25+ by race &amp; gender'!HN48/'Pop 25+ by race &amp; gender'!DR47)*100</f>
        <v>79.34108349032762</v>
      </c>
      <c r="BW49" s="453" t="e">
        <f>('Attainment 25+ by race &amp; gender'!JB48/'Pop 25+ by race &amp; gender'!EQ47)*100</f>
        <v>#VALUE!</v>
      </c>
      <c r="BX49" s="352">
        <f>('Attainment 25+ by race &amp; gender'!HO48/'Pop 25+ by race &amp; gender'!DS47)*100</f>
        <v>54.318720250385802</v>
      </c>
      <c r="BY49" s="453" t="e">
        <f>('Attainment 25+ by race &amp; gender'!JC48/'Pop 25+ by race &amp; gender'!ER47)*100</f>
        <v>#VALUE!</v>
      </c>
      <c r="BZ49" s="453">
        <f>('Attainment 25+ by race &amp; gender'!HP48/'Pop 25+ by race &amp; gender'!DU47)*100</f>
        <v>107.8504046983938</v>
      </c>
      <c r="CA49" s="453">
        <f>('Attainment 25+ by race &amp; gender'!JD48/'Pop 25+ by race &amp; gender'!ET47)*100</f>
        <v>26.770279271181042</v>
      </c>
      <c r="CB49" s="453">
        <f>('Attainment 25+ by race &amp; gender'!ZS48/'Pop 25+ by race &amp; gender'!DR47)*100</f>
        <v>14.337790439430838</v>
      </c>
      <c r="CC49" s="453">
        <f>('Attainment 25+ by race &amp; gender'!ABB48/'Pop 25+ by race &amp; gender'!EQ47)*100</f>
        <v>24.67334622370657</v>
      </c>
      <c r="CD49" s="453">
        <f>('Attainment 25+ by race &amp; gender'!ZT48/'Pop 25+ by race &amp; gender'!DS47)*100</f>
        <v>19.459236236388534</v>
      </c>
      <c r="CE49" s="453">
        <f>('Attainment 25+ by race &amp; gender'!ABC48/'Pop 25+ by race &amp; gender'!ER47)*100</f>
        <v>7.4049447462071551</v>
      </c>
      <c r="CF49" s="453">
        <f>('Attainment 25+ by race &amp; gender'!ZU48/'Pop 25+ by race &amp; gender'!DU47)*100</f>
        <v>37.299797364594902</v>
      </c>
      <c r="CG49" s="453">
        <f>('Attainment 25+ by race &amp; gender'!ABD48/'Pop 25+ by race &amp; gender'!ET47)*100</f>
        <v>7.5346727204368174</v>
      </c>
      <c r="CH49" s="352">
        <f>('Attainment 25+ by race &amp; gender'!HG48/'Pop 25+ by race &amp; gender'!DK47)*100</f>
        <v>94.197798144693905</v>
      </c>
      <c r="CI49" s="452">
        <f>('Attainment 25+ by race &amp; gender'!IK48/'Pop 25+ by race &amp; gender'!EO47)*100</f>
        <v>95.692630278968977</v>
      </c>
      <c r="CJ49" s="352">
        <f>('Attainment 25+ by race &amp; gender'!HH48/'Pop 25+ by race &amp; gender'!DL47)*100</f>
        <v>84.858916825474878</v>
      </c>
      <c r="CK49" s="453">
        <f>('Attainment 25+ by race &amp; gender'!IL48/'Pop 25+ by race &amp; gender'!EP47)*100</f>
        <v>85.334310313244188</v>
      </c>
      <c r="CL49" s="453">
        <f>('Attainment 25+ by race &amp; gender'!HI48/'Pop 25+ by race &amp; gender'!DN47)*100</f>
        <v>53.223945225351954</v>
      </c>
      <c r="CM49" s="453">
        <f>('Attainment 25+ by race &amp; gender'!IM48/'Pop 25+ by race &amp; gender'!ER47)*100</f>
        <v>63.239370668664542</v>
      </c>
      <c r="CN49" s="453">
        <f>('Attainment 25+ by race &amp; gender'!ZL48/'Pop 25+ by race &amp; gender'!DK47)*100</f>
        <v>31.31256471383757</v>
      </c>
      <c r="CO49" s="453">
        <f>('Attainment 25+ by race &amp; gender'!AAP48/'Pop 25+ by race &amp; gender'!EO47)*100</f>
        <v>35.724432894397893</v>
      </c>
      <c r="CP49" s="453">
        <f>('Attainment 25+ by race &amp; gender'!ZM48/'Pop 25+ by race &amp; gender'!DL47)*100</f>
        <v>24.181881518821335</v>
      </c>
      <c r="CQ49" s="453">
        <f>('Attainment 25+ by race &amp; gender'!AAQ48/'Pop 25+ by race &amp; gender'!EP47)*100</f>
        <v>21.659644623557426</v>
      </c>
      <c r="CR49" s="453">
        <f>('Attainment 25+ by race &amp; gender'!ZN48/'Pop 25+ by race &amp; gender'!DN47)*100</f>
        <v>10.275741556857271</v>
      </c>
      <c r="CS49" s="453">
        <f>('Attainment 25+ by race &amp; gender'!AAR48/'Pop 25+ by race &amp; gender'!ER47)*100</f>
        <v>13.43322719610414</v>
      </c>
      <c r="CT49" s="350">
        <f>IFERROR(('Attainment 25+ by race &amp; gender'!HQ48/'Pop 25+ by race &amp; gender'!DU47)*100,"-")</f>
        <v>94.927913694871535</v>
      </c>
      <c r="CU49" s="452">
        <f>IFERROR(('Attainment 25+ by race &amp; gender'!IP48/'Pop 25+ by race &amp; gender'!ET47)*100,"-")</f>
        <v>95.80988260800693</v>
      </c>
      <c r="CV49" s="350">
        <f>IFERROR(('Attainment 25+ by race &amp; gender'!HR48/'Pop 25+ by race &amp; gender'!DV47)*100,"-")</f>
        <v>86.40786240786241</v>
      </c>
      <c r="CW49" s="452">
        <f>IFERROR(('Attainment 25+ by race &amp; gender'!IQ48/'Pop 25+ by race &amp; gender'!EU47)*100, "-")</f>
        <v>89.01391387349021</v>
      </c>
      <c r="CX49" s="452">
        <f>IFERROR(('Attainment 25+ by race &amp; gender'!HS48/'Pop 25+ by race &amp; gender'!DX47)*100, "-")</f>
        <v>55.551606482797844</v>
      </c>
      <c r="CY49" s="452">
        <f>IFERROR(('Attainment 25+ by race &amp; gender'!IR48/'Pop 25+ by race &amp; gender'!EW47)*100, "-")</f>
        <v>65.327176347489214</v>
      </c>
      <c r="CZ49" s="452">
        <f>IFERROR(('Attainment 25+ by race &amp; gender'!HU48/'Pop 25+ by race &amp; gender'!DY47)*100, "-")</f>
        <v>73.855467272039348</v>
      </c>
      <c r="DA49" s="452">
        <f>IFERROR(('Attainment 25+ by race &amp; gender'!IT48/'Pop 25+ by race &amp; gender'!EX47)*100, "-")</f>
        <v>74.553233503373377</v>
      </c>
      <c r="DB49" s="452" t="str">
        <f>IFERROR(('Attainment 25+ by race &amp; gender'!HV48/'Pop 25+ by race &amp; gender'!DZ47)*100, "-")</f>
        <v>-</v>
      </c>
      <c r="DC49" s="452" t="str">
        <f>IFERROR(('Attainment 25+ by race &amp; gender'!IU48/'Pop 25+ by race &amp; gender'!EY47)*100, "-")</f>
        <v>-</v>
      </c>
      <c r="DD49" s="452">
        <f>IFERROR(('Attainment 25+ by race &amp; gender'!HW48/'Pop 25+ by race &amp; gender'!EA47)*100, "-")</f>
        <v>82.018218384005678</v>
      </c>
      <c r="DE49" s="452">
        <f>IFERROR(('Attainment 25+ by race &amp; gender'!IV48/'Pop 25+ by race &amp; gender'!EZ47)*100, "-")</f>
        <v>75.785009379332848</v>
      </c>
      <c r="DF49" s="452">
        <f>IFERROR(('Attainment 25+ by race &amp; gender'!HX48/'Pop 25+ by race &amp; gender'!EB47)*100, "-")</f>
        <v>86.624044126864746</v>
      </c>
      <c r="DG49" s="452">
        <f>IFERROR(('Attainment 25+ by race &amp; gender'!IW48/'Pop 25+ by race &amp; gender'!FA47)*100, "-")</f>
        <v>78.239596779150531</v>
      </c>
      <c r="DH49" s="452">
        <f>IFERROR(('Attainment 25+ by race &amp; gender'!HY48/'Pop 25+ by race &amp; gender'!EC47)*100, "-")</f>
        <v>49.640176827387684</v>
      </c>
      <c r="DI49" s="452">
        <f>IFERROR(('Attainment 25+ by race &amp; gender'!IX48/'Pop 25+ by race &amp; gender'!FB47)*100, "-")</f>
        <v>61.515066065098289</v>
      </c>
      <c r="DJ49" s="452">
        <f>IFERROR(('Attainment 25+ by race &amp; gender'!ZV48/'Pop 25+ by race &amp; gender'!DU47)*100, "-")</f>
        <v>33.622880628284243</v>
      </c>
      <c r="DK49" s="452">
        <f>IFERROR(('Attainment 25+ by race &amp; gender'!AAU48/'Pop 25+ by race &amp; gender'!ET47)*100, "-")</f>
        <v>36.845741462790883</v>
      </c>
      <c r="DL49" s="452">
        <f>IFERROR(('Attainment 25+ by race &amp; gender'!ZW48/'Pop 25+ by race &amp; gender'!DV47)*100, "-")</f>
        <v>23.272727272727273</v>
      </c>
      <c r="DM49" s="452">
        <f>IFERROR(('Attainment 25+ by race &amp; gender'!AAV48/'Pop 25+ by race &amp; gender'!EU47)*100, "-")</f>
        <v>23.284628657439701</v>
      </c>
      <c r="DN49" s="452">
        <f>IFERROR(('Attainment 25+ by race &amp; gender'!ZX48/'Pop 25+ by race &amp; gender'!DX47)*100, "-")</f>
        <v>10.825988058003981</v>
      </c>
      <c r="DO49" s="452">
        <f>IFERROR(('Attainment 25+ by race &amp; gender'!AAW48/'Pop 25+ by race &amp; gender'!EW47)*100, "-")</f>
        <v>15.408894769156268</v>
      </c>
      <c r="DP49" s="452">
        <f>IFERROR(('Attainment 25+ by race &amp; gender'!ZZ48/'Pop 25+ by race &amp; gender'!DY47)*100, "-")</f>
        <v>42.422331525623242</v>
      </c>
      <c r="DQ49" s="452">
        <f>IFERROR(('Attainment 25+ by race &amp; gender'!AAY48/'Pop 25+ by race &amp; gender'!EX47)*100, "-")</f>
        <v>40.839229883166034</v>
      </c>
      <c r="DR49" s="452" t="str">
        <f>IFERROR(('Attainment 25+ by race &amp; gender'!AAA48/'Pop 25+ by race &amp; gender'!DZ47)*100, "-")</f>
        <v>-</v>
      </c>
      <c r="DS49" s="452" t="str">
        <f>IFERROR(('Attainment 25+ by race &amp; gender'!AAZ48/'Pop 25+ by race &amp; gender'!EY47)*100, "-")</f>
        <v>-</v>
      </c>
      <c r="DT49" s="452">
        <f>IFERROR(('Attainment 25+ by race &amp; gender'!AAB48/'Pop 25+ by race &amp; gender'!EA47)*100, "-")</f>
        <v>14.96510114752159</v>
      </c>
      <c r="DU49" s="452">
        <f>IFERROR(('Attainment 25+ by race &amp; gender'!ABA48/'Pop 25+ by race &amp; gender'!EZ47)*100, "-")</f>
        <v>12.576461952532419</v>
      </c>
      <c r="DV49" s="452">
        <f>IFERROR(('Attainment 25+ by race &amp; gender'!AAC48/'Pop 25+ by race &amp; gender'!EB47)*100, "-")</f>
        <v>31.139526137645728</v>
      </c>
      <c r="DW49" s="452">
        <f>IFERROR(('Attainment 25+ by race &amp; gender'!ABB48/'Pop 25+ by race &amp; gender'!FA47)*100, "-")</f>
        <v>25.883582273034605</v>
      </c>
      <c r="DX49" s="452">
        <f>IFERROR(('Attainment 25+ by race &amp; gender'!AAD48/'Pop 25+ by race &amp; gender'!EC47)*100, "-")</f>
        <v>7.3249717281792943</v>
      </c>
      <c r="DY49" s="452">
        <f>IFERROR(('Attainment 25+ by race &amp; gender'!ABC48/'Pop 25+ by race &amp; gender'!FB47)*100, "-")</f>
        <v>15.926119883983242</v>
      </c>
    </row>
    <row r="50" spans="1:129">
      <c r="A50" s="38" t="s">
        <v>47</v>
      </c>
      <c r="B50" s="351">
        <f>('Attainment 25+ by race &amp; gender'!FS49/'Pop 25+ by race &amp; gender'!AT48)*100</f>
        <v>84.20287267542804</v>
      </c>
      <c r="C50" s="444">
        <f>('Attainment 25+ by race &amp; gender'!GR49/'Pop 25+ by race &amp; gender'!CV48)*100</f>
        <v>91.1</v>
      </c>
      <c r="D50" s="352">
        <f>('Attainment 25+ by race &amp; gender'!FT49/'Pop 25+ by race &amp; gender'!AZ48)*100</f>
        <v>92.569870483980907</v>
      </c>
      <c r="E50" s="351" t="str">
        <f>IF('Pop 25+ by race &amp; gender'!CW48&gt;0,('Attainment 25+ by race &amp; gender'!GS49/'Pop 25+ by race &amp; gender'!CW48)*100,"—")</f>
        <v>—</v>
      </c>
      <c r="F50" s="352">
        <f>('Attainment 25+ by race &amp; gender'!FU49/'Pop 25+ by race &amp; gender'!BC48)*100</f>
        <v>72.988505747126439</v>
      </c>
      <c r="G50" s="351" t="str">
        <f>IF('Pop 25+ by race &amp; gender'!CY48&gt;0,('Attainment 25+ by race &amp; gender'!GT49/'Pop 25+ by race &amp; gender'!CY48)*100,"—")</f>
        <v>—</v>
      </c>
      <c r="H50" s="352">
        <f>('Attainment 25+ by race &amp; gender'!XM49/'Pop 25+ by race &amp; gender'!AT48)*100</f>
        <v>22.364795106463909</v>
      </c>
      <c r="I50" s="351">
        <f>('Attainment 25+ by race &amp; gender'!YW49/'Pop 25+ by race &amp; gender'!CV48)*100</f>
        <v>27.200000000000003</v>
      </c>
      <c r="J50" s="352">
        <f>('Attainment 25+ by race &amp; gender'!XS49/'Pop 25+ by race &amp; gender'!AZ48)*100</f>
        <v>20.518064076346285</v>
      </c>
      <c r="K50" s="351" t="str">
        <f>IF('Pop 25+ by race &amp; gender'!CW48&gt;0,('Attainment 25+ by race &amp; gender'!YX49/'Pop 25+ by race &amp; gender'!CW48)*100,"—")</f>
        <v>—</v>
      </c>
      <c r="L50" s="352">
        <f>('Attainment 25+ by race &amp; gender'!XV49/'Pop 25+ by race &amp; gender'!BC48)*100</f>
        <v>16.303690260133092</v>
      </c>
      <c r="M50" s="437" t="str">
        <f>IF('Pop 25+ by race &amp; gender'!CY48&gt;0,('Attainment 25+ by race &amp; gender'!YY49/'Pop 25+ by race &amp; gender'!CY48)*100,"—")</f>
        <v>—</v>
      </c>
      <c r="N50" s="351">
        <f>('Attainment 25+ by race &amp; gender'!FS49/'Pop 25+ by race &amp; gender'!AT48)*100</f>
        <v>84.20287267542804</v>
      </c>
      <c r="O50" s="445">
        <f>('Attainment 25+ by race &amp; gender'!GW49/'Pop 25+ by race &amp; gender'!DA48)*100</f>
        <v>91.724224751307915</v>
      </c>
      <c r="P50" s="352">
        <f>('Attainment 25+ by race &amp; gender'!FT49/'Pop 25+ by race &amp; gender'!AZ48)*100</f>
        <v>92.569870483980907</v>
      </c>
      <c r="Q50" s="351">
        <f>('Attainment 25+ by race &amp; gender'!GX49/'Pop 25+ by race &amp; gender'!DB48)*100</f>
        <v>84.593639575971736</v>
      </c>
      <c r="R50" s="352">
        <f>('Attainment 25+ by race &amp; gender'!FU49/'Pop 25+ by race &amp; gender'!BC48)*100</f>
        <v>72.988505747126439</v>
      </c>
      <c r="S50" s="351">
        <f>('Attainment 25+ by race &amp; gender'!GY49/'Pop 25+ by race &amp; gender'!DD48)*100</f>
        <v>76.089644513137557</v>
      </c>
      <c r="T50" s="352">
        <f>('Attainment 25+ by race &amp; gender'!XM49/'Pop 25+ by race &amp; gender'!AT48)*100</f>
        <v>22.364795106463909</v>
      </c>
      <c r="U50" s="351">
        <f>('Attainment 25+ by race &amp; gender'!ZB49/'Pop 25+ by race &amp; gender'!DA48)*100</f>
        <v>27.845039836731139</v>
      </c>
      <c r="V50" s="352">
        <f>('Attainment 25+ by race &amp; gender'!XS49/'Pop 25+ by race &amp; gender'!AZ48)*100</f>
        <v>20.518064076346285</v>
      </c>
      <c r="W50" s="351">
        <f>('Attainment 25+ by race &amp; gender'!ZC49/'Pop 25+ by race &amp; gender'!DB48)*100</f>
        <v>31.54299175500589</v>
      </c>
      <c r="X50" s="352">
        <f>('Attainment 25+ by race &amp; gender'!XV49/'Pop 25+ by race &amp; gender'!BC48)*100</f>
        <v>16.303690260133092</v>
      </c>
      <c r="Y50" s="437">
        <f>('Attainment 25+ by race &amp; gender'!ZD49/'Pop 25+ by race &amp; gender'!DD48)*100</f>
        <v>17.666151468315302</v>
      </c>
      <c r="Z50" s="351">
        <f>('Attainment 25+ by race &amp; gender'!FS49/'Pop 25+ by race &amp; gender'!AT48)*100</f>
        <v>84.20287267542804</v>
      </c>
      <c r="AA50" s="445">
        <f>('Attainment 25+ by race &amp; gender'!HB49/'Pop 25+ by race &amp; gender'!DF48)*100</f>
        <v>92.096971148090518</v>
      </c>
      <c r="AB50" s="352">
        <f>('Attainment 25+ by race &amp; gender'!FT49/'Pop 25+ by race &amp; gender'!AZ48)*100</f>
        <v>92.569870483980907</v>
      </c>
      <c r="AC50" s="351">
        <f>('Attainment 25+ by race &amp; gender'!HC49/'Pop 25+ by race &amp; gender'!DG48)*100</f>
        <v>83.523107836570659</v>
      </c>
      <c r="AD50" s="352">
        <f>('Attainment 25+ by race &amp; gender'!FU49/'Pop 25+ by race &amp; gender'!BC48)*100</f>
        <v>72.988505747126439</v>
      </c>
      <c r="AE50" s="351">
        <f>('Attainment 25+ by race &amp; gender'!HD49/'Pop 25+ by race &amp; gender'!DI48)*100</f>
        <v>75.628240925408846</v>
      </c>
      <c r="AF50" s="352">
        <f>('Attainment 25+ by race &amp; gender'!XM49/'Pop 25+ by race &amp; gender'!AT48)*100</f>
        <v>22.364795106463909</v>
      </c>
      <c r="AG50" s="351">
        <f>('Attainment 25+ by race &amp; gender'!ZG49/'Pop 25+ by race &amp; gender'!DF48)*100</f>
        <v>27.854423560397461</v>
      </c>
      <c r="AH50" s="352">
        <f>('Attainment 25+ by race &amp; gender'!XS49/'Pop 25+ by race &amp; gender'!AZ48)*100</f>
        <v>20.518064076346285</v>
      </c>
      <c r="AI50" s="351">
        <f>('Attainment 25+ by race &amp; gender'!ZH49/'Pop 25+ by race &amp; gender'!DG48)*100</f>
        <v>27.796383121232417</v>
      </c>
      <c r="AJ50" s="352">
        <f>('Attainment 25+ by race &amp; gender'!XV49/'Pop 25+ by race &amp; gender'!BC48)*100</f>
        <v>16.303690260133092</v>
      </c>
      <c r="AK50" s="453">
        <f>('Attainment 25+ by race &amp; gender'!ZI49/'Pop 25+ by race &amp; gender'!DI48)*100</f>
        <v>15.370296503124584</v>
      </c>
      <c r="AL50" s="352">
        <f>('Attainment 25+ by race &amp; gender'!FS49/'Pop 25+ by race &amp; gender'!AT48)*100</f>
        <v>84.20287267542804</v>
      </c>
      <c r="AM50" s="453">
        <f>('Attainment 25+ by race &amp; gender'!HL49/'Pop 25+ by race &amp; gender'!DP48)*100</f>
        <v>93.368772622346924</v>
      </c>
      <c r="AN50" s="352">
        <v>92.569870483980907</v>
      </c>
      <c r="AO50" s="453">
        <f>('Attainment 25+ by race &amp; gender'!HM49/'Pop 25+ by race &amp; gender'!DQ48)*100</f>
        <v>88.085553077024016</v>
      </c>
      <c r="AP50" s="453">
        <f>('Attainment 25+ by race &amp; gender'!FU49/'Pop 25+ by race &amp; gender'!BC48)*100</f>
        <v>72.988505747126439</v>
      </c>
      <c r="AQ50" s="453">
        <f>('Attainment 25+ by race &amp; gender'!HN49/'Pop 25+ by race &amp; gender'!DS48)*100</f>
        <v>82.345319080012956</v>
      </c>
      <c r="AR50" s="453">
        <f>('Attainment 25+ by race &amp; gender'!XM49/'Pop 25+ by race &amp; gender'!AT48)*100</f>
        <v>22.364795106463909</v>
      </c>
      <c r="AS50" s="453">
        <f>('Attainment 25+ by race &amp; gender'!ZQ49/'Pop 25+ by race &amp; gender'!DP48)*100</f>
        <v>29.910439002473417</v>
      </c>
      <c r="AT50" s="453">
        <f>('Attainment 25+ by race &amp; gender'!XS49/'Pop 25+ by race &amp; gender'!AZ48)*100</f>
        <v>20.518064076346285</v>
      </c>
      <c r="AU50" s="453">
        <f>('Attainment 25+ by race &amp; gender'!ZR49/'Pop 25+ by race &amp; gender'!DQ48)*100</f>
        <v>34.588636661855396</v>
      </c>
      <c r="AV50" s="453">
        <f>('Attainment 25+ by race &amp; gender'!XV49/'Pop 25+ by race &amp; gender'!BC48)*100</f>
        <v>16.303690260133092</v>
      </c>
      <c r="AW50" s="453">
        <f>('Attainment 25+ by race &amp; gender'!ZS49/'Pop 25+ by race &amp; gender'!DS48)*100</f>
        <v>23.866213151927436</v>
      </c>
      <c r="AX50" s="352">
        <f>('Attainment 25+ by race &amp; gender'!GR49/'Pop 25+ by race &amp; gender'!CV48)*100</f>
        <v>91.1</v>
      </c>
      <c r="AY50" s="453">
        <f>('Attainment 25+ by race &amp; gender'!HQ49/'Pop 25+ by race &amp; gender'!DU48)*100</f>
        <v>93.646689719925803</v>
      </c>
      <c r="AZ50" s="352" t="str">
        <f>IF('Pop 25+ by race &amp; gender'!CW48&gt;0, ('Attainment 25+ by race &amp; gender'!GS49/'Pop 25+ by race &amp; gender'!CW48)*100,"—")</f>
        <v>—</v>
      </c>
      <c r="BA50" s="453" t="str">
        <f>IF('Pop 25+ by race &amp; gender'!DV48&gt;0,('Attainment 25+ by race &amp; gender'!HR49/'Pop 25+ by race &amp; gender'!DV48)*100,"—")</f>
        <v>—</v>
      </c>
      <c r="BB50" s="453" t="str">
        <f>IF('Pop 25+ by race &amp; gender'!CY48&gt;0,('Attainment 25+ by race &amp; gender'!GT49/'Pop 25+ by race &amp; gender'!CY48)*100,"—")</f>
        <v>—</v>
      </c>
      <c r="BC50" s="453">
        <f>('Attainment 25+ by race &amp; gender'!HS49/'Pop 25+ by race &amp; gender'!DX48)*100</f>
        <v>75.757824693994905</v>
      </c>
      <c r="BD50" s="453">
        <f>('Attainment 25+ by race &amp; gender'!YW49/'Pop 25+ by race &amp; gender'!CV48)*100</f>
        <v>27.200000000000003</v>
      </c>
      <c r="BE50" s="453">
        <f>('Attainment 25+ by race &amp; gender'!ZV49/'Pop 25+ by race &amp; gender'!DU48)*100</f>
        <v>31.013122037236357</v>
      </c>
      <c r="BF50" s="453" t="str">
        <f>IF('Pop 25+ by race &amp; gender'!CW48&gt; 0, ('Attainment 25+ by race &amp; gender'!YX49/'Pop 25+ by race &amp; gender'!CW48)*100*100,"—")</f>
        <v>—</v>
      </c>
      <c r="BG50" s="453" t="str">
        <f>IF('Pop 25+ by race &amp; gender'!DV48&gt;0, ('Attainment 25+ by race &amp; gender'!ZW49/'Pop 25+ by race &amp; gender'!DV48)*100,"—")</f>
        <v>—</v>
      </c>
      <c r="BH50" s="453" t="str">
        <f>IF('Pop 25+ by race &amp; gender'!CY48&gt;0,('Attainment 25+ by race &amp; gender'!YY49/'Pop 25+ by race &amp; gender'!CY48)*100,"—")</f>
        <v>—</v>
      </c>
      <c r="BI50" s="453">
        <f>('Attainment 25+ by race &amp; gender'!ZX49/'Pop 25+ by race &amp; gender'!DX48)*100</f>
        <v>15.345436622032366</v>
      </c>
      <c r="BJ50" s="352">
        <f>('Attainment 25+ by race &amp; gender'!GW49/'Pop 25+ by race &amp; gender'!DA48)*100</f>
        <v>91.724224751307915</v>
      </c>
      <c r="BK50" s="453">
        <f>('Attainment 25+ by race &amp; gender'!IA49/'Pop 25+ by race &amp; gender'!EE48)*100</f>
        <v>93.811341644849904</v>
      </c>
      <c r="BL50" s="352">
        <f>IF('Pop 25+ by race &amp; gender'!DB48&gt;0, ('Attainment 25+ by race &amp; gender'!GX49/'Pop 25+ by race &amp; gender'!DB48)*100,"—")</f>
        <v>84.593639575971736</v>
      </c>
      <c r="BM50" s="453">
        <f>IF('Pop 25+ by race &amp; gender'!EF48&gt;0,('Attainment 25+ by race &amp; gender'!IB49/'Pop 25+ by race &amp; gender'!EF48)*100,"—")</f>
        <v>89.359012492563949</v>
      </c>
      <c r="BN50" s="453">
        <f>IF('Pop 25+ by race &amp; gender'!DD48&gt;0,('Attainment 25+ by race &amp; gender'!GY49/'Pop 25+ by race &amp; gender'!DD48)*100,"—")</f>
        <v>76.089644513137557</v>
      </c>
      <c r="BO50" s="453">
        <f>('Attainment 25+ by race &amp; gender'!IC49/'Pop 25+ by race &amp; gender'!EH48)*100</f>
        <v>79.628651218959916</v>
      </c>
      <c r="BP50" s="453">
        <f>('Attainment 25+ by race &amp; gender'!ZB49/'Pop 25+ by race &amp; gender'!DA48)*100</f>
        <v>27.845039836731139</v>
      </c>
      <c r="BQ50" s="453">
        <f>('Attainment 25+ by race &amp; gender'!AAF49/'Pop 25+ by race &amp; gender'!EE48)*100</f>
        <v>31.498956254973649</v>
      </c>
      <c r="BR50" s="453">
        <f>IF('Pop 25+ by race &amp; gender'!DB48&gt; 0, ('Attainment 25+ by race &amp; gender'!ZC49/'Pop 25+ by race &amp; gender'!DB48)*100,"—")</f>
        <v>31.54299175500589</v>
      </c>
      <c r="BS50" s="453">
        <f>IF('Pop 25+ by race &amp; gender'!EF48&gt;0, ('Attainment 25+ by race &amp; gender'!AAG49/'Pop 25+ by race &amp; gender'!EF48)*100,"—")</f>
        <v>25.3866745984533</v>
      </c>
      <c r="BT50" s="453">
        <f>IF('Pop 25+ by race &amp; gender'!DD48&gt;0,('Attainment 25+ by race &amp; gender'!ZD49/'Pop 25+ by race &amp; gender'!DD48)*100,"—")</f>
        <v>17.666151468315302</v>
      </c>
      <c r="BU50" s="453">
        <f>('Attainment 25+ by race &amp; gender'!AAH49/'Pop 25+ by race &amp; gender'!EH48)*100</f>
        <v>12.446222356404258</v>
      </c>
      <c r="BV50" s="352">
        <f>('Attainment 25+ by race &amp; gender'!HN49/'Pop 25+ by race &amp; gender'!DR48)*100</f>
        <v>27.68836968657245</v>
      </c>
      <c r="BW50" s="453" t="e">
        <f>('Attainment 25+ by race &amp; gender'!JB49/'Pop 25+ by race &amp; gender'!EQ48)*100</f>
        <v>#VALUE!</v>
      </c>
      <c r="BX50" s="352">
        <f>IF('Pop 25+ by race &amp; gender'!DS48&gt;0, ('Attainment 25+ by race &amp; gender'!HO49/'Pop 25+ by race &amp; gender'!DS48)*100,"—")</f>
        <v>256.51117589893101</v>
      </c>
      <c r="BY50" s="453" t="e">
        <f>IF('Pop 25+ by race &amp; gender'!ER48&gt;0,('Attainment 25+ by race &amp; gender'!JC49/'Pop 25+ by race &amp; gender'!ER48)*100,"—")</f>
        <v>#VALUE!</v>
      </c>
      <c r="BZ50" s="453">
        <f>IF('Pop 25+ by race &amp; gender'!DU48&gt;0,('Attainment 25+ by race &amp; gender'!HP49/'Pop 25+ by race &amp; gender'!DU48)*100,"—")</f>
        <v>104.71775024618132</v>
      </c>
      <c r="CA50" s="453">
        <f>('Attainment 25+ by race &amp; gender'!JD49/'Pop 25+ by race &amp; gender'!ET48)*100</f>
        <v>27.977169592370178</v>
      </c>
      <c r="CB50" s="453">
        <f>('Attainment 25+ by race &amp; gender'!ZS49/'Pop 25+ by race &amp; gender'!DR48)*100</f>
        <v>8.024943495901752</v>
      </c>
      <c r="CC50" s="453">
        <f>('Attainment 25+ by race &amp; gender'!ABB49/'Pop 25+ by race &amp; gender'!EQ48)*100</f>
        <v>14.835292597855574</v>
      </c>
      <c r="CD50" s="453">
        <f>IF('Pop 25+ by race &amp; gender'!DS48&gt; 0, ('Attainment 25+ by race &amp; gender'!ZT49/'Pop 25+ by race &amp; gender'!DS48)*100,"—")</f>
        <v>63.33819241982507</v>
      </c>
      <c r="CE50" s="453">
        <f>IF('Pop 25+ by race &amp; gender'!ER48&gt;0, ('Attainment 25+ by race &amp; gender'!ABC49/'Pop 25+ by race &amp; gender'!ER48)*100,"—")</f>
        <v>0</v>
      </c>
      <c r="CF50" s="453">
        <f>IF('Pop 25+ by race &amp; gender'!DU48&gt;0,('Attainment 25+ by race &amp; gender'!ZU49/'Pop 25+ by race &amp; gender'!DU48)*100,"—")</f>
        <v>33.508828176884151</v>
      </c>
      <c r="CG50" s="453">
        <f>('Attainment 25+ by race &amp; gender'!ABD49/'Pop 25+ by race &amp; gender'!ET48)*100</f>
        <v>5.1428400048909122</v>
      </c>
      <c r="CH50" s="352">
        <f>('Attainment 25+ by race &amp; gender'!HG49/'Pop 25+ by race &amp; gender'!DK48)*100</f>
        <v>93.346416048957877</v>
      </c>
      <c r="CI50" s="452">
        <f>('Attainment 25+ by race &amp; gender'!IK49/'Pop 25+ by race &amp; gender'!EO48)*100</f>
        <v>94.480956022508082</v>
      </c>
      <c r="CJ50" s="352" t="str">
        <f>IF('Pop 25+ by race &amp; gender'!DL48&gt;0, ('Attainment 25+ by race &amp; gender'!HH49/'Pop 25+ by race &amp; gender'!DL48)*100,"—")</f>
        <v>—</v>
      </c>
      <c r="CK50" s="453">
        <f>IF('Pop 25+ by race &amp; gender'!EP48&gt;0,('Attainment 25+ by race &amp; gender'!IL49/'Pop 25+ by race &amp; gender'!EP48)*100,"—")</f>
        <v>93.20763120777967</v>
      </c>
      <c r="CL50" s="453">
        <f>IF('Pop 25+ by race &amp; gender'!DN48&gt;0,('Attainment 25+ by race &amp; gender'!HI49/'Pop 25+ by race &amp; gender'!DN48)*100,"—")</f>
        <v>79.993252361673413</v>
      </c>
      <c r="CM50" s="453">
        <f>('Attainment 25+ by race &amp; gender'!IM49/'Pop 25+ by race &amp; gender'!ER48)*100</f>
        <v>84.085433352868392</v>
      </c>
      <c r="CN50" s="453">
        <f>('Attainment 25+ by race &amp; gender'!ZL49/'Pop 25+ by race &amp; gender'!DK48)*100</f>
        <v>28.222626277657387</v>
      </c>
      <c r="CO50" s="453">
        <f>('Attainment 25+ by race &amp; gender'!AAP49/'Pop 25+ by race &amp; gender'!EO48)*100</f>
        <v>31.748713090523097</v>
      </c>
      <c r="CP50" s="453" t="str">
        <f>IF('Pop 25+ by race &amp; gender'!DL48&gt; 0, ('Attainment 25+ by race &amp; gender'!ZM49/'Pop 25+ by race &amp; gender'!DL48)*100,"—")</f>
        <v>—</v>
      </c>
      <c r="CQ50" s="453">
        <f>IF('Pop 25+ by race &amp; gender'!EP48&gt;0, ('Attainment 25+ by race &amp; gender'!AAQ49/'Pop 25+ by race &amp; gender'!EP48)*100,"—")</f>
        <v>21.750426842847599</v>
      </c>
      <c r="CR50" s="453">
        <f>IF('Pop 25+ by race &amp; gender'!DN48&gt;0,('Attainment 25+ by race &amp; gender'!ZN49/'Pop 25+ by race &amp; gender'!DN48)*100,"—")</f>
        <v>14.349977507872245</v>
      </c>
      <c r="CS50" s="453">
        <f>('Attainment 25+ by race &amp; gender'!AAR49/'Pop 25+ by race &amp; gender'!ER48)*100</f>
        <v>17.327603047470209</v>
      </c>
      <c r="CT50" s="350">
        <f>IFERROR(('Attainment 25+ by race &amp; gender'!HQ49/'Pop 25+ by race &amp; gender'!DU48)*100,"-")</f>
        <v>93.646689719925803</v>
      </c>
      <c r="CU50" s="452">
        <f>IFERROR(('Attainment 25+ by race &amp; gender'!IP49/'Pop 25+ by race &amp; gender'!ET48)*100,"-")</f>
        <v>94.977587165508922</v>
      </c>
      <c r="CV50" s="350" t="str">
        <f>IFERROR(('Attainment 25+ by race &amp; gender'!HR49/'Pop 25+ by race &amp; gender'!DV48)*100,"-")</f>
        <v>-</v>
      </c>
      <c r="CW50" s="452">
        <f>IFERROR(('Attainment 25+ by race &amp; gender'!IQ49/'Pop 25+ by race &amp; gender'!EU48)*100, "-")</f>
        <v>76.944374528064429</v>
      </c>
      <c r="CX50" s="452">
        <f>IFERROR(('Attainment 25+ by race &amp; gender'!HS49/'Pop 25+ by race &amp; gender'!DX48)*100, "-")</f>
        <v>75.757824693994905</v>
      </c>
      <c r="CY50" s="452">
        <f>IFERROR(('Attainment 25+ by race &amp; gender'!IR49/'Pop 25+ by race &amp; gender'!EW48)*100, "-")</f>
        <v>82.216891185335555</v>
      </c>
      <c r="CZ50" s="452">
        <f>IFERROR(('Attainment 25+ by race &amp; gender'!HU49/'Pop 25+ by race &amp; gender'!DY48)*100, "-")</f>
        <v>79.694189602446485</v>
      </c>
      <c r="DA50" s="452" t="str">
        <f>IFERROR(('Attainment 25+ by race &amp; gender'!IT49/'Pop 25+ by race &amp; gender'!EX48)*100, "-")</f>
        <v>-</v>
      </c>
      <c r="DB50" s="452" t="str">
        <f>IFERROR(('Attainment 25+ by race &amp; gender'!HV49/'Pop 25+ by race &amp; gender'!DZ48)*100, "-")</f>
        <v>-</v>
      </c>
      <c r="DC50" s="452" t="str">
        <f>IFERROR(('Attainment 25+ by race &amp; gender'!IU49/'Pop 25+ by race &amp; gender'!EY48)*100, "-")</f>
        <v>-</v>
      </c>
      <c r="DD50" s="452">
        <f>IFERROR(('Attainment 25+ by race &amp; gender'!HW49/'Pop 25+ by race &amp; gender'!EA48)*100, "-")</f>
        <v>79.241455347298782</v>
      </c>
      <c r="DE50" s="452">
        <f>IFERROR(('Attainment 25+ by race &amp; gender'!IV49/'Pop 25+ by race &amp; gender'!EZ48)*100, "-")</f>
        <v>83.581278110018289</v>
      </c>
      <c r="DF50" s="452">
        <f>IFERROR(('Attainment 25+ by race &amp; gender'!HX49/'Pop 25+ by race &amp; gender'!EB48)*100, "-")</f>
        <v>96.321070234113719</v>
      </c>
      <c r="DG50" s="452">
        <f>IFERROR(('Attainment 25+ by race &amp; gender'!IW49/'Pop 25+ by race &amp; gender'!FA48)*100, "-")</f>
        <v>91.334708032617868</v>
      </c>
      <c r="DH50" s="452" t="str">
        <f>IFERROR(('Attainment 25+ by race &amp; gender'!HY49/'Pop 25+ by race &amp; gender'!EC48)*100, "-")</f>
        <v>-</v>
      </c>
      <c r="DI50" s="452">
        <f>IFERROR(('Attainment 25+ by race &amp; gender'!IX49/'Pop 25+ by race &amp; gender'!FB48)*100, "-")</f>
        <v>0</v>
      </c>
      <c r="DJ50" s="452">
        <f>IFERROR(('Attainment 25+ by race &amp; gender'!ZV49/'Pop 25+ by race &amp; gender'!DU48)*100, "-")</f>
        <v>31.013122037236357</v>
      </c>
      <c r="DK50" s="452">
        <f>IFERROR(('Attainment 25+ by race &amp; gender'!AAU49/'Pop 25+ by race &amp; gender'!ET48)*100, "-")</f>
        <v>32.752960501272327</v>
      </c>
      <c r="DL50" s="452" t="str">
        <f>IFERROR(('Attainment 25+ by race &amp; gender'!ZW49/'Pop 25+ by race &amp; gender'!DV48)*100, "-")</f>
        <v>-</v>
      </c>
      <c r="DM50" s="452">
        <f>IFERROR(('Attainment 25+ by race &amp; gender'!AAV49/'Pop 25+ by race &amp; gender'!EU48)*100, "-")</f>
        <v>23.265374611964091</v>
      </c>
      <c r="DN50" s="452">
        <f>IFERROR(('Attainment 25+ by race &amp; gender'!ZX49/'Pop 25+ by race &amp; gender'!DX48)*100, "-")</f>
        <v>15.345436622032366</v>
      </c>
      <c r="DO50" s="452">
        <f>IFERROR(('Attainment 25+ by race &amp; gender'!AAW49/'Pop 25+ by race &amp; gender'!EW48)*100, "-")</f>
        <v>20.126714645998646</v>
      </c>
      <c r="DP50" s="452">
        <f>IFERROR(('Attainment 25+ by race &amp; gender'!ZZ49/'Pop 25+ by race &amp; gender'!DY48)*100, "-")</f>
        <v>46.70744138634047</v>
      </c>
      <c r="DQ50" s="452" t="str">
        <f>IFERROR(('Attainment 25+ by race &amp; gender'!AAY49/'Pop 25+ by race &amp; gender'!EX48)*100, "-")</f>
        <v>-</v>
      </c>
      <c r="DR50" s="452" t="str">
        <f>IFERROR(('Attainment 25+ by race &amp; gender'!AAA49/'Pop 25+ by race &amp; gender'!DZ48)*100, "-")</f>
        <v>-</v>
      </c>
      <c r="DS50" s="452" t="str">
        <f>IFERROR(('Attainment 25+ by race &amp; gender'!AAZ49/'Pop 25+ by race &amp; gender'!EY48)*100, "-")</f>
        <v>-</v>
      </c>
      <c r="DT50" s="452">
        <f>IFERROR(('Attainment 25+ by race &amp; gender'!AAB49/'Pop 25+ by race &amp; gender'!EA48)*100, "-")</f>
        <v>16.776185226019848</v>
      </c>
      <c r="DU50" s="452">
        <f>IFERROR(('Attainment 25+ by race &amp; gender'!ABA49/'Pop 25+ by race &amp; gender'!EZ48)*100, "-")</f>
        <v>13.413730044976029</v>
      </c>
      <c r="DV50" s="452">
        <f>IFERROR(('Attainment 25+ by race &amp; gender'!AAC49/'Pop 25+ by race &amp; gender'!EB48)*100, "-")</f>
        <v>22.925881972165282</v>
      </c>
      <c r="DW50" s="452">
        <f>IFERROR(('Attainment 25+ by race &amp; gender'!ABB49/'Pop 25+ by race &amp; gender'!FA48)*100, "-")</f>
        <v>26.909738494704282</v>
      </c>
      <c r="DX50" s="452" t="str">
        <f>IFERROR(('Attainment 25+ by race &amp; gender'!AAD49/'Pop 25+ by race &amp; gender'!EC48)*100, "-")</f>
        <v>-</v>
      </c>
      <c r="DY50" s="452">
        <f>IFERROR(('Attainment 25+ by race &amp; gender'!ABC49/'Pop 25+ by race &amp; gender'!FB48)*100, "-")</f>
        <v>0</v>
      </c>
    </row>
    <row r="51" spans="1:129">
      <c r="A51" s="38" t="s">
        <v>48</v>
      </c>
      <c r="B51" s="351">
        <f>('Attainment 25+ by race &amp; gender'!FS50/'Pop 25+ by race &amp; gender'!AT49)*100</f>
        <v>84.195414293390812</v>
      </c>
      <c r="C51" s="444">
        <f>('Attainment 25+ by race &amp; gender'!GR50/'Pop 25+ by race &amp; gender'!CV49)*100</f>
        <v>88.9</v>
      </c>
      <c r="D51" s="352">
        <f>('Attainment 25+ by race &amp; gender'!FT50/'Pop 25+ by race &amp; gender'!AZ49)*100</f>
        <v>73.891583364268797</v>
      </c>
      <c r="E51" s="351">
        <f>IF('Pop 25+ by race &amp; gender'!CW49&gt;0,('Attainment 25+ by race &amp; gender'!GS50/'Pop 25+ by race &amp; gender'!CW49)*100,"—")</f>
        <v>82.09999999999998</v>
      </c>
      <c r="F51" s="352">
        <f>('Attainment 25+ by race &amp; gender'!FU50/'Pop 25+ by race &amp; gender'!BC49)*100</f>
        <v>67.095602078469767</v>
      </c>
      <c r="G51" s="351">
        <f>('Attainment 25+ by race &amp; gender'!GT50/'Pop 25+ by race &amp; gender'!CY49)*100</f>
        <v>71.000000000000014</v>
      </c>
      <c r="H51" s="352">
        <f>('Attainment 25+ by race &amp; gender'!XM50/'Pop 25+ by race &amp; gender'!AT49)*100</f>
        <v>21.784860678938315</v>
      </c>
      <c r="I51" s="351">
        <f>('Attainment 25+ by race &amp; gender'!YW50/'Pop 25+ by race &amp; gender'!CV49)*100</f>
        <v>25.2</v>
      </c>
      <c r="J51" s="352">
        <f>('Attainment 25+ by race &amp; gender'!XS50/'Pop 25+ by race &amp; gender'!AZ49)*100</f>
        <v>11.921970256386889</v>
      </c>
      <c r="K51" s="351">
        <f>IF('Pop 25+ by race &amp; gender'!CW49&gt;0,('Attainment 25+ by race &amp; gender'!YX50/'Pop 25+ by race &amp; gender'!CW49)*100,"—")</f>
        <v>14.299999999999999</v>
      </c>
      <c r="L51" s="352">
        <f>('Attainment 25+ by race &amp; gender'!XV50/'Pop 25+ by race &amp; gender'!BC49)*100</f>
        <v>15.165863393327811</v>
      </c>
      <c r="M51" s="437">
        <f>('Attainment 25+ by race &amp; gender'!YY50/'Pop 25+ by race &amp; gender'!CY49)*100</f>
        <v>16.7</v>
      </c>
      <c r="N51" s="351">
        <f>('Attainment 25+ by race &amp; gender'!FS50/'Pop 25+ by race &amp; gender'!AT49)*100</f>
        <v>84.195414293390812</v>
      </c>
      <c r="O51" s="445">
        <f>('Attainment 25+ by race &amp; gender'!GW50/'Pop 25+ by race &amp; gender'!DA49)*100</f>
        <v>89.687890829559805</v>
      </c>
      <c r="P51" s="352">
        <f>('Attainment 25+ by race &amp; gender'!FT50/'Pop 25+ by race &amp; gender'!AZ49)*100</f>
        <v>73.891583364268797</v>
      </c>
      <c r="Q51" s="351">
        <f>('Attainment 25+ by race &amp; gender'!GX50/'Pop 25+ by race &amp; gender'!DB49)*100</f>
        <v>82.708658827399063</v>
      </c>
      <c r="R51" s="352">
        <f>('Attainment 25+ by race &amp; gender'!FU50/'Pop 25+ by race &amp; gender'!BC49)*100</f>
        <v>67.095602078469767</v>
      </c>
      <c r="S51" s="351">
        <f>('Attainment 25+ by race &amp; gender'!GY50/'Pop 25+ by race &amp; gender'!DD49)*100</f>
        <v>71.824283765347886</v>
      </c>
      <c r="T51" s="352">
        <f>('Attainment 25+ by race &amp; gender'!XM50/'Pop 25+ by race &amp; gender'!AT49)*100</f>
        <v>21.784860678938315</v>
      </c>
      <c r="U51" s="351">
        <f>('Attainment 25+ by race &amp; gender'!ZB50/'Pop 25+ by race &amp; gender'!DA49)*100</f>
        <v>25.704925607614822</v>
      </c>
      <c r="V51" s="352">
        <f>('Attainment 25+ by race &amp; gender'!XS50/'Pop 25+ by race &amp; gender'!AZ49)*100</f>
        <v>11.921970256386889</v>
      </c>
      <c r="W51" s="351">
        <f>('Attainment 25+ by race &amp; gender'!ZC50/'Pop 25+ by race &amp; gender'!DB49)*100</f>
        <v>14.681710855545244</v>
      </c>
      <c r="X51" s="352">
        <f>('Attainment 25+ by race &amp; gender'!XV50/'Pop 25+ by race &amp; gender'!BC49)*100</f>
        <v>15.165863393327811</v>
      </c>
      <c r="Y51" s="437">
        <f>('Attainment 25+ by race &amp; gender'!ZD50/'Pop 25+ by race &amp; gender'!DD49)*100</f>
        <v>17.227830832196453</v>
      </c>
      <c r="Z51" s="351">
        <f>('Attainment 25+ by race &amp; gender'!FS50/'Pop 25+ by race &amp; gender'!AT49)*100</f>
        <v>84.195414293390812</v>
      </c>
      <c r="AA51" s="445">
        <f>('Attainment 25+ by race &amp; gender'!HB50/'Pop 25+ by race &amp; gender'!DF49)*100</f>
        <v>90.05508097050236</v>
      </c>
      <c r="AB51" s="352">
        <f>('Attainment 25+ by race &amp; gender'!FT50/'Pop 25+ by race &amp; gender'!AZ49)*100</f>
        <v>73.891583364268797</v>
      </c>
      <c r="AC51" s="351">
        <f>('Attainment 25+ by race &amp; gender'!HC50/'Pop 25+ by race &amp; gender'!DG49)*100</f>
        <v>82.779604432961492</v>
      </c>
      <c r="AD51" s="352">
        <f>('Attainment 25+ by race &amp; gender'!FU50/'Pop 25+ by race &amp; gender'!BC49)*100</f>
        <v>67.095602078469767</v>
      </c>
      <c r="AE51" s="351">
        <f>('Attainment 25+ by race &amp; gender'!HD50/'Pop 25+ by race &amp; gender'!DI49)*100</f>
        <v>71.712466434898218</v>
      </c>
      <c r="AF51" s="352">
        <f>('Attainment 25+ by race &amp; gender'!XM50/'Pop 25+ by race &amp; gender'!AT49)*100</f>
        <v>21.784860678938315</v>
      </c>
      <c r="AG51" s="351">
        <f>('Attainment 25+ by race &amp; gender'!ZG50/'Pop 25+ by race &amp; gender'!DF49)*100</f>
        <v>26.232573525840035</v>
      </c>
      <c r="AH51" s="352">
        <f>('Attainment 25+ by race &amp; gender'!XS50/'Pop 25+ by race &amp; gender'!AZ49)*100</f>
        <v>11.921970256386889</v>
      </c>
      <c r="AI51" s="351">
        <f>('Attainment 25+ by race &amp; gender'!ZH50/'Pop 25+ by race &amp; gender'!DG49)*100</f>
        <v>15.355603005548831</v>
      </c>
      <c r="AJ51" s="352">
        <f>('Attainment 25+ by race &amp; gender'!XV50/'Pop 25+ by race &amp; gender'!BC49)*100</f>
        <v>15.165863393327811</v>
      </c>
      <c r="AK51" s="453">
        <f>('Attainment 25+ by race &amp; gender'!ZI50/'Pop 25+ by race &amp; gender'!DI49)*100</f>
        <v>16.533813048317921</v>
      </c>
      <c r="AL51" s="352">
        <f>('Attainment 25+ by race &amp; gender'!FS50/'Pop 25+ by race &amp; gender'!AT49)*100</f>
        <v>84.195414293390812</v>
      </c>
      <c r="AM51" s="453">
        <f>('Attainment 25+ by race &amp; gender'!HL50/'Pop 25+ by race &amp; gender'!DP49)*100</f>
        <v>90.923375006076796</v>
      </c>
      <c r="AN51" s="352">
        <v>73.891583364268797</v>
      </c>
      <c r="AO51" s="453">
        <f>('Attainment 25+ by race &amp; gender'!HM50/'Pop 25+ by race &amp; gender'!DQ49)*100</f>
        <v>84.886442514672396</v>
      </c>
      <c r="AP51" s="453">
        <f>('Attainment 25+ by race &amp; gender'!FU50/'Pop 25+ by race &amp; gender'!BC49)*100</f>
        <v>67.095602078469767</v>
      </c>
      <c r="AQ51" s="453">
        <f>('Attainment 25+ by race &amp; gender'!HN50/'Pop 25+ by race &amp; gender'!DS49)*100</f>
        <v>76.240534898952532</v>
      </c>
      <c r="AR51" s="453">
        <f>('Attainment 25+ by race &amp; gender'!XM50/'Pop 25+ by race &amp; gender'!AT49)*100</f>
        <v>21.784860678938315</v>
      </c>
      <c r="AS51" s="453">
        <f>('Attainment 25+ by race &amp; gender'!ZQ50/'Pop 25+ by race &amp; gender'!DP49)*100</f>
        <v>27.721934188476087</v>
      </c>
      <c r="AT51" s="453">
        <f>('Attainment 25+ by race &amp; gender'!XS50/'Pop 25+ by race &amp; gender'!AZ49)*100</f>
        <v>11.921970256386889</v>
      </c>
      <c r="AU51" s="453">
        <f>('Attainment 25+ by race &amp; gender'!ZR50/'Pop 25+ by race &amp; gender'!DQ49)*100</f>
        <v>16.428779295249463</v>
      </c>
      <c r="AV51" s="453">
        <f>('Attainment 25+ by race &amp; gender'!XV50/'Pop 25+ by race &amp; gender'!BC49)*100</f>
        <v>15.165863393327811</v>
      </c>
      <c r="AW51" s="453">
        <f>('Attainment 25+ by race &amp; gender'!ZS50/'Pop 25+ by race &amp; gender'!DS49)*100</f>
        <v>17.129300230413662</v>
      </c>
      <c r="AX51" s="352">
        <f>('Attainment 25+ by race &amp; gender'!GR50/'Pop 25+ by race &amp; gender'!CV49)*100</f>
        <v>88.9</v>
      </c>
      <c r="AY51" s="453">
        <f>('Attainment 25+ by race &amp; gender'!HQ50/'Pop 25+ by race &amp; gender'!DU49)*100</f>
        <v>91.216914222085592</v>
      </c>
      <c r="AZ51" s="352">
        <f>('Attainment 25+ by race &amp; gender'!GS50/'Pop 25+ by race &amp; gender'!CW49)*100</f>
        <v>82.09999999999998</v>
      </c>
      <c r="BA51" s="453">
        <f>('Attainment 25+ by race &amp; gender'!HR50/'Pop 25+ by race &amp; gender'!DV49)*100</f>
        <v>85.499799509269778</v>
      </c>
      <c r="BB51" s="453">
        <f>('Attainment 25+ by race &amp; gender'!GT50/'Pop 25+ by race &amp; gender'!CY49)*100</f>
        <v>71.000000000000014</v>
      </c>
      <c r="BC51" s="453">
        <f>('Attainment 25+ by race &amp; gender'!HS50/'Pop 25+ by race &amp; gender'!DX49)*100</f>
        <v>74.703248210179396</v>
      </c>
      <c r="BD51" s="453">
        <f>('Attainment 25+ by race &amp; gender'!YW50/'Pop 25+ by race &amp; gender'!CV49)*100</f>
        <v>25.2</v>
      </c>
      <c r="BE51" s="453">
        <f>('Attainment 25+ by race &amp; gender'!ZV50/'Pop 25+ by race &amp; gender'!DU49)*100</f>
        <v>28.590899566070604</v>
      </c>
      <c r="BF51" s="453">
        <f>('Attainment 25+ by race &amp; gender'!YX50/'Pop 25+ by race &amp; gender'!CW49)*100</f>
        <v>14.299999999999999</v>
      </c>
      <c r="BG51" s="453">
        <f>('Attainment 25+ by race &amp; gender'!ZW50/'Pop 25+ by race &amp; gender'!DV49)*100</f>
        <v>16.215867980464093</v>
      </c>
      <c r="BH51" s="453">
        <f>('Attainment 25+ by race &amp; gender'!YY50/'Pop 25+ by race &amp; gender'!CY49)*100</f>
        <v>16.7</v>
      </c>
      <c r="BI51" s="453">
        <f>('Attainment 25+ by race &amp; gender'!ZX50/'Pop 25+ by race &amp; gender'!DX49)*100</f>
        <v>19.69547447701861</v>
      </c>
      <c r="BJ51" s="352">
        <f>('Attainment 25+ by race &amp; gender'!GW50/'Pop 25+ by race &amp; gender'!DA49)*100</f>
        <v>89.687890829559805</v>
      </c>
      <c r="BK51" s="453">
        <f>('Attainment 25+ by race &amp; gender'!IA50/'Pop 25+ by race &amp; gender'!EE49)*100</f>
        <v>91.478240607556458</v>
      </c>
      <c r="BL51" s="352">
        <f>('Attainment 25+ by race &amp; gender'!GX50/'Pop 25+ by race &amp; gender'!DB49)*100</f>
        <v>82.708658827399063</v>
      </c>
      <c r="BM51" s="453">
        <f>('Attainment 25+ by race &amp; gender'!IB50/'Pop 25+ by race &amp; gender'!EF49)*100</f>
        <v>85.310678089319055</v>
      </c>
      <c r="BN51" s="453">
        <f>('Attainment 25+ by race &amp; gender'!GY50/'Pop 25+ by race &amp; gender'!DD49)*100</f>
        <v>71.824283765347886</v>
      </c>
      <c r="BO51" s="453">
        <f>('Attainment 25+ by race &amp; gender'!IC50/'Pop 25+ by race &amp; gender'!EH49)*100</f>
        <v>76.765741120083177</v>
      </c>
      <c r="BP51" s="453">
        <f>('Attainment 25+ by race &amp; gender'!ZB50/'Pop 25+ by race &amp; gender'!DA49)*100</f>
        <v>25.704925607614822</v>
      </c>
      <c r="BQ51" s="453">
        <f>('Attainment 25+ by race &amp; gender'!AAF50/'Pop 25+ by race &amp; gender'!EE49)*100</f>
        <v>29.005061545386862</v>
      </c>
      <c r="BR51" s="453">
        <f>('Attainment 25+ by race &amp; gender'!ZC50/'Pop 25+ by race &amp; gender'!DB49)*100</f>
        <v>14.681710855545244</v>
      </c>
      <c r="BS51" s="453">
        <f>('Attainment 25+ by race &amp; gender'!AAG50/'Pop 25+ by race &amp; gender'!EF49)*100</f>
        <v>16.779040098071356</v>
      </c>
      <c r="BT51" s="453">
        <f>('Attainment 25+ by race &amp; gender'!ZD50/'Pop 25+ by race &amp; gender'!DD49)*100</f>
        <v>17.227830832196453</v>
      </c>
      <c r="BU51" s="453">
        <f>('Attainment 25+ by race &amp; gender'!AAH50/'Pop 25+ by race &amp; gender'!EH49)*100</f>
        <v>18.456306359883879</v>
      </c>
      <c r="BV51" s="352">
        <f>('Attainment 25+ by race &amp; gender'!HN50/'Pop 25+ by race &amp; gender'!DR49)*100</f>
        <v>48.899332104324699</v>
      </c>
      <c r="BW51" s="453" t="e">
        <f>('Attainment 25+ by race &amp; gender'!JB50/'Pop 25+ by race &amp; gender'!EQ49)*100</f>
        <v>#VALUE!</v>
      </c>
      <c r="BX51" s="352">
        <f>('Attainment 25+ by race &amp; gender'!HO50/'Pop 25+ by race &amp; gender'!DS49)*100</f>
        <v>129.99995288064196</v>
      </c>
      <c r="BY51" s="453" t="e">
        <f>('Attainment 25+ by race &amp; gender'!JC50/'Pop 25+ by race &amp; gender'!ER49)*100</f>
        <v>#VALUE!</v>
      </c>
      <c r="BZ51" s="453">
        <f>('Attainment 25+ by race &amp; gender'!HP50/'Pop 25+ by race &amp; gender'!DU49)*100</f>
        <v>109.08261483374709</v>
      </c>
      <c r="CA51" s="453">
        <f>('Attainment 25+ by race &amp; gender'!JD50/'Pop 25+ by race &amp; gender'!ET49)*100</f>
        <v>23.884367526268822</v>
      </c>
      <c r="CB51" s="453">
        <f>('Attainment 25+ by race &amp; gender'!ZS50/'Pop 25+ by race &amp; gender'!DR49)*100</f>
        <v>10.986430535827617</v>
      </c>
      <c r="CC51" s="453">
        <f>('Attainment 25+ by race &amp; gender'!ABB50/'Pop 25+ by race &amp; gender'!EQ49)*100</f>
        <v>26.606336655492584</v>
      </c>
      <c r="CD51" s="453">
        <f>('Attainment 25+ by race &amp; gender'!ZT50/'Pop 25+ by race &amp; gender'!DS49)*100</f>
        <v>59.951372822496666</v>
      </c>
      <c r="CE51" s="453">
        <f>('Attainment 25+ by race &amp; gender'!ABC50/'Pop 25+ by race &amp; gender'!ER49)*100</f>
        <v>9.222433383203267</v>
      </c>
      <c r="CF51" s="453">
        <f>('Attainment 25+ by race &amp; gender'!ZU50/'Pop 25+ by race &amp; gender'!DU49)*100</f>
        <v>33.339007912290278</v>
      </c>
      <c r="CG51" s="453">
        <f>('Attainment 25+ by race &amp; gender'!ABD50/'Pop 25+ by race &amp; gender'!ET49)*100</f>
        <v>8.441003389813778</v>
      </c>
      <c r="CH51" s="352">
        <f>('Attainment 25+ by race &amp; gender'!HG50/'Pop 25+ by race &amp; gender'!DK49)*100</f>
        <v>90.63431300136331</v>
      </c>
      <c r="CI51" s="452">
        <f>('Attainment 25+ by race &amp; gender'!IK50/'Pop 25+ by race &amp; gender'!EO49)*100</f>
        <v>92.091053498142088</v>
      </c>
      <c r="CJ51" s="352">
        <f>('Attainment 25+ by race &amp; gender'!HH50/'Pop 25+ by race &amp; gender'!DL49)*100</f>
        <v>83.988600193824254</v>
      </c>
      <c r="CK51" s="453">
        <f>('Attainment 25+ by race &amp; gender'!IL50/'Pop 25+ by race &amp; gender'!EP49)*100</f>
        <v>86.825269317728427</v>
      </c>
      <c r="CL51" s="453">
        <f>('Attainment 25+ by race &amp; gender'!HI50/'Pop 25+ by race &amp; gender'!DN49)*100</f>
        <v>72.659977946012233</v>
      </c>
      <c r="CM51" s="453">
        <f>('Attainment 25+ by race &amp; gender'!IM50/'Pop 25+ by race &amp; gender'!ER49)*100</f>
        <v>76.085479762241732</v>
      </c>
      <c r="CN51" s="453">
        <f>('Attainment 25+ by race &amp; gender'!ZL50/'Pop 25+ by race &amp; gender'!DK49)*100</f>
        <v>27.531299033928263</v>
      </c>
      <c r="CO51" s="453">
        <f>('Attainment 25+ by race &amp; gender'!AAP50/'Pop 25+ by race &amp; gender'!EO49)*100</f>
        <v>30.431294558194676</v>
      </c>
      <c r="CP51" s="453">
        <f>('Attainment 25+ by race &amp; gender'!ZM50/'Pop 25+ by race &amp; gender'!DL49)*100</f>
        <v>15.764870959889402</v>
      </c>
      <c r="CQ51" s="453">
        <f>('Attainment 25+ by race &amp; gender'!AAQ50/'Pop 25+ by race &amp; gender'!EP49)*100</f>
        <v>17.457959835084452</v>
      </c>
      <c r="CR51" s="453">
        <f>('Attainment 25+ by race &amp; gender'!ZN50/'Pop 25+ by race &amp; gender'!DN49)*100</f>
        <v>17.978944869975425</v>
      </c>
      <c r="CS51" s="453">
        <f>('Attainment 25+ by race &amp; gender'!AAR50/'Pop 25+ by race &amp; gender'!ER49)*100</f>
        <v>20.237758279082932</v>
      </c>
      <c r="CT51" s="350">
        <f>IFERROR(('Attainment 25+ by race &amp; gender'!HQ50/'Pop 25+ by race &amp; gender'!DU49)*100,"-")</f>
        <v>91.216914222085592</v>
      </c>
      <c r="CU51" s="452">
        <f>IFERROR(('Attainment 25+ by race &amp; gender'!IP50/'Pop 25+ by race &amp; gender'!ET49)*100,"-")</f>
        <v>93.040146882676169</v>
      </c>
      <c r="CV51" s="350">
        <f>IFERROR(('Attainment 25+ by race &amp; gender'!HR50/'Pop 25+ by race &amp; gender'!DV49)*100,"-")</f>
        <v>85.499799509269778</v>
      </c>
      <c r="CW51" s="452">
        <f>IFERROR(('Attainment 25+ by race &amp; gender'!IQ50/'Pop 25+ by race &amp; gender'!EU49)*100, "-")</f>
        <v>87.275379379746084</v>
      </c>
      <c r="CX51" s="452">
        <f>IFERROR(('Attainment 25+ by race &amp; gender'!HS50/'Pop 25+ by race &amp; gender'!DX49)*100, "-")</f>
        <v>74.703248210179396</v>
      </c>
      <c r="CY51" s="452">
        <f>IFERROR(('Attainment 25+ by race &amp; gender'!IR50/'Pop 25+ by race &amp; gender'!EW49)*100, "-")</f>
        <v>80.543566530317605</v>
      </c>
      <c r="CZ51" s="452">
        <f>IFERROR(('Attainment 25+ by race &amp; gender'!HU50/'Pop 25+ by race &amp; gender'!DY49)*100, "-")</f>
        <v>87.903803173773113</v>
      </c>
      <c r="DA51" s="452">
        <f>IFERROR(('Attainment 25+ by race &amp; gender'!IT50/'Pop 25+ by race &amp; gender'!EX49)*100, "-")</f>
        <v>86.493729617398643</v>
      </c>
      <c r="DB51" s="452" t="str">
        <f>IFERROR(('Attainment 25+ by race &amp; gender'!HV50/'Pop 25+ by race &amp; gender'!DZ49)*100, "-")</f>
        <v>-</v>
      </c>
      <c r="DC51" s="452" t="str">
        <f>IFERROR(('Attainment 25+ by race &amp; gender'!IU50/'Pop 25+ by race &amp; gender'!EY49)*100, "-")</f>
        <v>-</v>
      </c>
      <c r="DD51" s="452">
        <f>IFERROR(('Attainment 25+ by race &amp; gender'!HW50/'Pop 25+ by race &amp; gender'!EA49)*100, "-")</f>
        <v>82.044155019059716</v>
      </c>
      <c r="DE51" s="452">
        <f>IFERROR(('Attainment 25+ by race &amp; gender'!IV50/'Pop 25+ by race &amp; gender'!EZ49)*100, "-")</f>
        <v>74.961203697456313</v>
      </c>
      <c r="DF51" s="452">
        <f>IFERROR(('Attainment 25+ by race &amp; gender'!HX50/'Pop 25+ by race &amp; gender'!EB49)*100, "-")</f>
        <v>88.225706232496151</v>
      </c>
      <c r="DG51" s="452">
        <f>IFERROR(('Attainment 25+ by race &amp; gender'!IW50/'Pop 25+ by race &amp; gender'!FA49)*100, "-")</f>
        <v>88.608721287178255</v>
      </c>
      <c r="DH51" s="452">
        <f>IFERROR(('Attainment 25+ by race &amp; gender'!HY50/'Pop 25+ by race &amp; gender'!EC49)*100, "-")</f>
        <v>69.682013911891346</v>
      </c>
      <c r="DI51" s="452">
        <f>IFERROR(('Attainment 25+ by race &amp; gender'!IX50/'Pop 25+ by race &amp; gender'!FB49)*100, "-")</f>
        <v>75.237074738815963</v>
      </c>
      <c r="DJ51" s="452">
        <f>IFERROR(('Attainment 25+ by race &amp; gender'!ZV50/'Pop 25+ by race &amp; gender'!DU49)*100, "-")</f>
        <v>28.590899566070604</v>
      </c>
      <c r="DK51" s="452">
        <f>IFERROR(('Attainment 25+ by race &amp; gender'!AAU50/'Pop 25+ by race &amp; gender'!ET49)*100, "-")</f>
        <v>31.820045277720112</v>
      </c>
      <c r="DL51" s="452">
        <f>IFERROR(('Attainment 25+ by race &amp; gender'!ZW50/'Pop 25+ by race &amp; gender'!DV49)*100, "-")</f>
        <v>16.215867980464093</v>
      </c>
      <c r="DM51" s="452">
        <f>IFERROR(('Attainment 25+ by race &amp; gender'!AAV50/'Pop 25+ by race &amp; gender'!EU49)*100, "-")</f>
        <v>19.155452156324447</v>
      </c>
      <c r="DN51" s="452">
        <f>IFERROR(('Attainment 25+ by race &amp; gender'!ZX50/'Pop 25+ by race &amp; gender'!DX49)*100, "-")</f>
        <v>19.69547447701861</v>
      </c>
      <c r="DO51" s="452">
        <f>IFERROR(('Attainment 25+ by race &amp; gender'!AAW50/'Pop 25+ by race &amp; gender'!EW49)*100, "-")</f>
        <v>23.25215050529355</v>
      </c>
      <c r="DP51" s="452">
        <f>IFERROR(('Attainment 25+ by race &amp; gender'!ZZ50/'Pop 25+ by race &amp; gender'!DY49)*100, "-")</f>
        <v>59.22031513612113</v>
      </c>
      <c r="DQ51" s="452">
        <f>IFERROR(('Attainment 25+ by race &amp; gender'!AAY50/'Pop 25+ by race &amp; gender'!EX49)*100, "-")</f>
        <v>58.640165426992994</v>
      </c>
      <c r="DR51" s="452" t="str">
        <f>IFERROR(('Attainment 25+ by race &amp; gender'!AAA50/'Pop 25+ by race &amp; gender'!DZ49)*100, "-")</f>
        <v>-</v>
      </c>
      <c r="DS51" s="452" t="str">
        <f>IFERROR(('Attainment 25+ by race &amp; gender'!AAZ50/'Pop 25+ by race &amp; gender'!EY49)*100, "-")</f>
        <v>-</v>
      </c>
      <c r="DT51" s="452">
        <f>IFERROR(('Attainment 25+ by race &amp; gender'!AAB50/'Pop 25+ by race &amp; gender'!EA49)*100, "-")</f>
        <v>22.403113087674715</v>
      </c>
      <c r="DU51" s="452">
        <f>IFERROR(('Attainment 25+ by race &amp; gender'!ABA50/'Pop 25+ by race &amp; gender'!EZ49)*100, "-")</f>
        <v>14.884285810674044</v>
      </c>
      <c r="DV51" s="452">
        <f>IFERROR(('Attainment 25+ by race &amp; gender'!AAC50/'Pop 25+ by race &amp; gender'!EB49)*100, "-")</f>
        <v>23.900690698533055</v>
      </c>
      <c r="DW51" s="452">
        <f>IFERROR(('Attainment 25+ by race &amp; gender'!ABB50/'Pop 25+ by race &amp; gender'!FA49)*100, "-")</f>
        <v>28.721882192573677</v>
      </c>
      <c r="DX51" s="452">
        <f>IFERROR(('Attainment 25+ by race &amp; gender'!AAD50/'Pop 25+ by race &amp; gender'!EC49)*100, "-")</f>
        <v>12.846969195097715</v>
      </c>
      <c r="DY51" s="452">
        <f>IFERROR(('Attainment 25+ by race &amp; gender'!ABC50/'Pop 25+ by race &amp; gender'!FB49)*100, "-")</f>
        <v>20.366104116438969</v>
      </c>
    </row>
    <row r="52" spans="1:129">
      <c r="A52" s="38" t="s">
        <v>49</v>
      </c>
      <c r="B52" s="351">
        <f>('Attainment 25+ by race &amp; gender'!FS51/'Pop 25+ by race &amp; gender'!AT50)*100</f>
        <v>85.663487033415919</v>
      </c>
      <c r="C52" s="444">
        <f>('Attainment 25+ by race &amp; gender'!GR51/'Pop 25+ by race &amp; gender'!CV50)*100</f>
        <v>91.5</v>
      </c>
      <c r="D52" s="352">
        <f>('Attainment 25+ by race &amp; gender'!FT51/'Pop 25+ by race &amp; gender'!AZ50)*100</f>
        <v>84.078947368421055</v>
      </c>
      <c r="E52" s="351" t="str">
        <f>IF('Pop 25+ by race &amp; gender'!CW50&gt;0,('Attainment 25+ by race &amp; gender'!GS51/'Pop 25+ by race &amp; gender'!CW50)*100,"—")</f>
        <v>—</v>
      </c>
      <c r="F52" s="352">
        <f>('Attainment 25+ by race &amp; gender'!FU51/'Pop 25+ by race &amp; gender'!BC50)*100</f>
        <v>64.92022423458387</v>
      </c>
      <c r="G52" s="351">
        <f>('Attainment 25+ by race &amp; gender'!GT51/'Pop 25+ by race &amp; gender'!CY50)*100</f>
        <v>64.3</v>
      </c>
      <c r="H52" s="352">
        <f>('Attainment 25+ by race &amp; gender'!XM51/'Pop 25+ by race &amp; gender'!AT50)*100</f>
        <v>22.30925635048931</v>
      </c>
      <c r="I52" s="351">
        <f>('Attainment 25+ by race &amp; gender'!YW51/'Pop 25+ by race &amp; gender'!CV50)*100</f>
        <v>27.1</v>
      </c>
      <c r="J52" s="352">
        <f>('Attainment 25+ by race &amp; gender'!XS51/'Pop 25+ by race &amp; gender'!AZ50)*100</f>
        <v>19.342105263157894</v>
      </c>
      <c r="K52" s="351" t="str">
        <f>IF('Pop 25+ by race &amp; gender'!CW50&gt;0,('Attainment 25+ by race &amp; gender'!YX51/'Pop 25+ by race &amp; gender'!CW50)*100,"—")</f>
        <v>—</v>
      </c>
      <c r="L52" s="352">
        <f>('Attainment 25+ by race &amp; gender'!XV51/'Pop 25+ by race &amp; gender'!BC50)*100</f>
        <v>11.707632600258734</v>
      </c>
      <c r="M52" s="437">
        <f>('Attainment 25+ by race &amp; gender'!YY51/'Pop 25+ by race &amp; gender'!CY50)*100</f>
        <v>15.299999999999999</v>
      </c>
      <c r="N52" s="351">
        <f>('Attainment 25+ by race &amp; gender'!FS51/'Pop 25+ by race &amp; gender'!AT50)*100</f>
        <v>85.663487033415919</v>
      </c>
      <c r="O52" s="445">
        <f>('Attainment 25+ by race &amp; gender'!GW51/'Pop 25+ by race &amp; gender'!DA50)*100</f>
        <v>92.209765176647338</v>
      </c>
      <c r="P52" s="352">
        <f>('Attainment 25+ by race &amp; gender'!FT51/'Pop 25+ by race &amp; gender'!AZ50)*100</f>
        <v>84.078947368421055</v>
      </c>
      <c r="Q52" s="351">
        <f>('Attainment 25+ by race &amp; gender'!GX51/'Pop 25+ by race &amp; gender'!DB50)*100</f>
        <v>79.26315789473685</v>
      </c>
      <c r="R52" s="352">
        <f>('Attainment 25+ by race &amp; gender'!FU51/'Pop 25+ by race &amp; gender'!BC50)*100</f>
        <v>64.92022423458387</v>
      </c>
      <c r="S52" s="351">
        <f>('Attainment 25+ by race &amp; gender'!GY51/'Pop 25+ by race &amp; gender'!DD50)*100</f>
        <v>65.120663650075414</v>
      </c>
      <c r="T52" s="352">
        <f>('Attainment 25+ by race &amp; gender'!XM51/'Pop 25+ by race &amp; gender'!AT50)*100</f>
        <v>22.30925635048931</v>
      </c>
      <c r="U52" s="351">
        <f>('Attainment 25+ by race &amp; gender'!ZB51/'Pop 25+ by race &amp; gender'!DA50)*100</f>
        <v>27.761865493284315</v>
      </c>
      <c r="V52" s="352">
        <f>('Attainment 25+ by race &amp; gender'!XS51/'Pop 25+ by race &amp; gender'!AZ50)*100</f>
        <v>19.342105263157894</v>
      </c>
      <c r="W52" s="351">
        <f>('Attainment 25+ by race &amp; gender'!ZC51/'Pop 25+ by race &amp; gender'!DB50)*100</f>
        <v>18.701754385964911</v>
      </c>
      <c r="X52" s="352">
        <f>('Attainment 25+ by race &amp; gender'!XV51/'Pop 25+ by race &amp; gender'!BC50)*100</f>
        <v>11.707632600258734</v>
      </c>
      <c r="Y52" s="437">
        <f>('Attainment 25+ by race &amp; gender'!ZD51/'Pop 25+ by race &amp; gender'!DD50)*100</f>
        <v>14.903846153846153</v>
      </c>
      <c r="Z52" s="351">
        <f>('Attainment 25+ by race &amp; gender'!FS51/'Pop 25+ by race &amp; gender'!AT50)*100</f>
        <v>85.663487033415919</v>
      </c>
      <c r="AA52" s="445">
        <f>('Attainment 25+ by race &amp; gender'!HB51/'Pop 25+ by race &amp; gender'!DF50)*100</f>
        <v>92.767374271858827</v>
      </c>
      <c r="AB52" s="352">
        <f>('Attainment 25+ by race &amp; gender'!FT51/'Pop 25+ by race &amp; gender'!AZ50)*100</f>
        <v>84.078947368421055</v>
      </c>
      <c r="AC52" s="351">
        <f>('Attainment 25+ by race &amp; gender'!HC51/'Pop 25+ by race &amp; gender'!DG50)*100</f>
        <v>78.056924789314678</v>
      </c>
      <c r="AD52" s="352">
        <f>('Attainment 25+ by race &amp; gender'!FU51/'Pop 25+ by race &amp; gender'!BC50)*100</f>
        <v>64.92022423458387</v>
      </c>
      <c r="AE52" s="351">
        <f>('Attainment 25+ by race &amp; gender'!HD51/'Pop 25+ by race &amp; gender'!DI50)*100</f>
        <v>68.018667798048369</v>
      </c>
      <c r="AF52" s="352">
        <f>('Attainment 25+ by race &amp; gender'!XM51/'Pop 25+ by race &amp; gender'!AT50)*100</f>
        <v>22.30925635048931</v>
      </c>
      <c r="AG52" s="351">
        <f>('Attainment 25+ by race &amp; gender'!ZG51/'Pop 25+ by race &amp; gender'!DF50)*100</f>
        <v>27.874932762912646</v>
      </c>
      <c r="AH52" s="352">
        <f>('Attainment 25+ by race &amp; gender'!XS51/'Pop 25+ by race &amp; gender'!AZ50)*100</f>
        <v>19.342105263157894</v>
      </c>
      <c r="AI52" s="351">
        <f>('Attainment 25+ by race &amp; gender'!ZH51/'Pop 25+ by race &amp; gender'!DG50)*100</f>
        <v>18.397201462871681</v>
      </c>
      <c r="AJ52" s="352">
        <f>('Attainment 25+ by race &amp; gender'!XV51/'Pop 25+ by race &amp; gender'!BC50)*100</f>
        <v>11.707632600258734</v>
      </c>
      <c r="AK52" s="453">
        <f>('Attainment 25+ by race &amp; gender'!ZI51/'Pop 25+ by race &amp; gender'!DI50)*100</f>
        <v>13.075943996605854</v>
      </c>
      <c r="AL52" s="352">
        <f>('Attainment 25+ by race &amp; gender'!FS51/'Pop 25+ by race &amp; gender'!AT50)*100</f>
        <v>85.663487033415919</v>
      </c>
      <c r="AM52" s="453">
        <f>('Attainment 25+ by race &amp; gender'!HL51/'Pop 25+ by race &amp; gender'!DP50)*100</f>
        <v>93.410956304945245</v>
      </c>
      <c r="AN52" s="352">
        <v>84.078947368421055</v>
      </c>
      <c r="AO52" s="453">
        <f>('Attainment 25+ by race &amp; gender'!HM51/'Pop 25+ by race &amp; gender'!DQ50)*100</f>
        <v>67.053426875337294</v>
      </c>
      <c r="AP52" s="453">
        <f>('Attainment 25+ by race &amp; gender'!FU51/'Pop 25+ by race &amp; gender'!BC50)*100</f>
        <v>64.92022423458387</v>
      </c>
      <c r="AQ52" s="453">
        <f>('Attainment 25+ by race &amp; gender'!HN51/'Pop 25+ by race &amp; gender'!DS50)*100</f>
        <v>70.945945945945937</v>
      </c>
      <c r="AR52" s="453">
        <f>('Attainment 25+ by race &amp; gender'!XM51/'Pop 25+ by race &amp; gender'!AT50)*100</f>
        <v>22.30925635048931</v>
      </c>
      <c r="AS52" s="453">
        <f>('Attainment 25+ by race &amp; gender'!ZQ51/'Pop 25+ by race &amp; gender'!DP50)*100</f>
        <v>29.29570108559269</v>
      </c>
      <c r="AT52" s="453">
        <f>('Attainment 25+ by race &amp; gender'!XS51/'Pop 25+ by race &amp; gender'!AZ50)*100</f>
        <v>19.342105263157894</v>
      </c>
      <c r="AU52" s="453">
        <f>('Attainment 25+ by race &amp; gender'!ZR51/'Pop 25+ by race &amp; gender'!DQ50)*100</f>
        <v>16.419320021586618</v>
      </c>
      <c r="AV52" s="453">
        <f>('Attainment 25+ by race &amp; gender'!XV51/'Pop 25+ by race &amp; gender'!BC50)*100</f>
        <v>11.707632600258734</v>
      </c>
      <c r="AW52" s="453">
        <f>('Attainment 25+ by race &amp; gender'!ZS51/'Pop 25+ by race &amp; gender'!DS50)*100</f>
        <v>18.712660028449502</v>
      </c>
      <c r="AX52" s="352">
        <f>('Attainment 25+ by race &amp; gender'!GR51/'Pop 25+ by race &amp; gender'!CV50)*100</f>
        <v>91.5</v>
      </c>
      <c r="AY52" s="453">
        <f>('Attainment 25+ by race &amp; gender'!HQ51/'Pop 25+ by race &amp; gender'!DU50)*100</f>
        <v>93.656935209964516</v>
      </c>
      <c r="AZ52" s="352" t="str">
        <f>IF('Pop 25+ by race &amp; gender'!CW50&gt;0,('Attainment 25+ by race &amp; gender'!GS51/'Pop 25+ by race &amp; gender'!CW50)*100,"—")</f>
        <v>—</v>
      </c>
      <c r="BA52" s="453">
        <f>('Attainment 25+ by race &amp; gender'!HR51/'Pop 25+ by race &amp; gender'!DV50)*100</f>
        <v>71.389719880337239</v>
      </c>
      <c r="BB52" s="453">
        <f>('Attainment 25+ by race &amp; gender'!GT51/'Pop 25+ by race &amp; gender'!CY50)*100</f>
        <v>64.3</v>
      </c>
      <c r="BC52" s="453">
        <f>('Attainment 25+ by race &amp; gender'!HS51/'Pop 25+ by race &amp; gender'!DX50)*100</f>
        <v>66.090558491644046</v>
      </c>
      <c r="BD52" s="453">
        <f>('Attainment 25+ by race &amp; gender'!YW51/'Pop 25+ by race &amp; gender'!CV50)*100</f>
        <v>27.1</v>
      </c>
      <c r="BE52" s="453">
        <f>('Attainment 25+ by race &amp; gender'!ZV51/'Pop 25+ by race &amp; gender'!DU50)*100</f>
        <v>30.853431642079336</v>
      </c>
      <c r="BF52" s="453" t="str">
        <f>IF('Pop 25+ by race &amp; gender'!CW50, ('Attainment 25+ by race &amp; gender'!YX51/'Pop 25+ by race &amp; gender'!CW50)*100,"—")</f>
        <v>—</v>
      </c>
      <c r="BG52" s="453">
        <f>('Attainment 25+ by race &amp; gender'!ZW51/'Pop 25+ by race &amp; gender'!DV50)*100</f>
        <v>16.834375849877617</v>
      </c>
      <c r="BH52" s="453">
        <f>('Attainment 25+ by race &amp; gender'!YY51/'Pop 25+ by race &amp; gender'!CY50)*100</f>
        <v>15.299999999999999</v>
      </c>
      <c r="BI52" s="453">
        <f>('Attainment 25+ by race &amp; gender'!ZX51/'Pop 25+ by race &amp; gender'!DX50)*100</f>
        <v>16.883302385373518</v>
      </c>
      <c r="BJ52" s="352">
        <f>('Attainment 25+ by race &amp; gender'!GW51/'Pop 25+ by race &amp; gender'!DA50)*100</f>
        <v>92.209765176647338</v>
      </c>
      <c r="BK52" s="453">
        <f>('Attainment 25+ by race &amp; gender'!IA51/'Pop 25+ by race &amp; gender'!EE50)*100</f>
        <v>93.853057774736882</v>
      </c>
      <c r="BL52" s="352">
        <f>IF('Pop 25+ by race &amp; gender'!DB50&gt;0,('Attainment 25+ by race &amp; gender'!GX51/'Pop 25+ by race &amp; gender'!DB50)*100,"—")</f>
        <v>79.26315789473685</v>
      </c>
      <c r="BM52" s="453">
        <f>('Attainment 25+ by race &amp; gender'!IB51/'Pop 25+ by race &amp; gender'!EF50)*100</f>
        <v>92.940930037704234</v>
      </c>
      <c r="BN52" s="453">
        <f>('Attainment 25+ by race &amp; gender'!GY51/'Pop 25+ by race &amp; gender'!DD50)*100</f>
        <v>65.120663650075414</v>
      </c>
      <c r="BO52" s="453">
        <f>('Attainment 25+ by race &amp; gender'!IC51/'Pop 25+ by race &amp; gender'!EH50)*100</f>
        <v>74.890427491583552</v>
      </c>
      <c r="BP52" s="453">
        <f>('Attainment 25+ by race &amp; gender'!ZB51/'Pop 25+ by race &amp; gender'!DA50)*100</f>
        <v>27.761865493284315</v>
      </c>
      <c r="BQ52" s="453">
        <f>('Attainment 25+ by race &amp; gender'!AAF51/'Pop 25+ by race &amp; gender'!EE50)*100</f>
        <v>30.120741351900669</v>
      </c>
      <c r="BR52" s="453">
        <f>IF('Pop 25+ by race &amp; gender'!DB50, ('Attainment 25+ by race &amp; gender'!ZC51/'Pop 25+ by race &amp; gender'!DB50)*100,"—")</f>
        <v>18.701754385964911</v>
      </c>
      <c r="BS52" s="453">
        <f>('Attainment 25+ by race &amp; gender'!AAG51/'Pop 25+ by race &amp; gender'!EF50)*100</f>
        <v>13.741097612065353</v>
      </c>
      <c r="BT52" s="453">
        <f>('Attainment 25+ by race &amp; gender'!ZD51/'Pop 25+ by race &amp; gender'!DD50)*100</f>
        <v>14.903846153846153</v>
      </c>
      <c r="BU52" s="453">
        <f>('Attainment 25+ by race &amp; gender'!AAH51/'Pop 25+ by race &amp; gender'!EH50)*100</f>
        <v>17.785682525566919</v>
      </c>
      <c r="BV52" s="352">
        <f>('Attainment 25+ by race &amp; gender'!HN51/'Pop 25+ by race &amp; gender'!DR50)*100</f>
        <v>18.858828200328968</v>
      </c>
      <c r="BW52" s="453" t="e">
        <f>('Attainment 25+ by race &amp; gender'!JB51/'Pop 25+ by race &amp; gender'!EQ50)*100</f>
        <v>#VALUE!</v>
      </c>
      <c r="BX52" s="352">
        <f>IF('Pop 25+ by race &amp; gender'!DS50&gt;0,('Attainment 25+ by race &amp; gender'!HO51/'Pop 25+ by race &amp; gender'!DS50)*100,"—")</f>
        <v>294.75817923186344</v>
      </c>
      <c r="BY52" s="453" t="e">
        <f>('Attainment 25+ by race &amp; gender'!JC51/'Pop 25+ by race &amp; gender'!ER50)*100</f>
        <v>#VALUE!</v>
      </c>
      <c r="BZ52" s="453">
        <f>('Attainment 25+ by race &amp; gender'!HP51/'Pop 25+ by race &amp; gender'!DU50)*100</f>
        <v>104.66939491020941</v>
      </c>
      <c r="CA52" s="453">
        <f>('Attainment 25+ by race &amp; gender'!JD51/'Pop 25+ by race &amp; gender'!ET50)*100</f>
        <v>22.544585357671316</v>
      </c>
      <c r="CB52" s="453">
        <f>('Attainment 25+ by race &amp; gender'!ZS51/'Pop 25+ by race &amp; gender'!DR50)*100</f>
        <v>4.9741931824627077</v>
      </c>
      <c r="CC52" s="453">
        <f>('Attainment 25+ by race &amp; gender'!ABB51/'Pop 25+ by race &amp; gender'!EQ50)*100</f>
        <v>12.0544042329478</v>
      </c>
      <c r="CD52" s="453">
        <f>IF('Pop 25+ by race &amp; gender'!DS50, ('Attainment 25+ by race &amp; gender'!ZT51/'Pop 25+ by race &amp; gender'!DS50)*100,"—")</f>
        <v>57.496443812233288</v>
      </c>
      <c r="CE52" s="453">
        <f>('Attainment 25+ by race &amp; gender'!ABC51/'Pop 25+ by race &amp; gender'!ER50)*100</f>
        <v>7.7452153110047846</v>
      </c>
      <c r="CF52" s="453">
        <f>('Attainment 25+ by race &amp; gender'!ZU51/'Pop 25+ by race &amp; gender'!DU50)*100</f>
        <v>33.124623378625962</v>
      </c>
      <c r="CG52" s="453">
        <f>('Attainment 25+ by race &amp; gender'!ABD51/'Pop 25+ by race &amp; gender'!ET50)*100</f>
        <v>5.6809263929741745</v>
      </c>
      <c r="CH52" s="352">
        <f>('Attainment 25+ by race &amp; gender'!HG51/'Pop 25+ by race &amp; gender'!DK50)*100</f>
        <v>93.205464839583158</v>
      </c>
      <c r="CI52" s="452">
        <f>('Attainment 25+ by race &amp; gender'!IK51/'Pop 25+ by race &amp; gender'!EO50)*100</f>
        <v>94.212267017126479</v>
      </c>
      <c r="CJ52" s="352">
        <f>IF('Pop 25+ by race &amp; gender'!DL50&gt;0,('Attainment 25+ by race &amp; gender'!HH51/'Pop 25+ by race &amp; gender'!DL50)*100,"—")</f>
        <v>77.356305197625602</v>
      </c>
      <c r="CK52" s="453">
        <f>('Attainment 25+ by race &amp; gender'!IL51/'Pop 25+ by race &amp; gender'!EP50)*100</f>
        <v>77.138453634729004</v>
      </c>
      <c r="CL52" s="453">
        <f>('Attainment 25+ by race &amp; gender'!HI51/'Pop 25+ by race &amp; gender'!DN50)*100</f>
        <v>77.544816835541695</v>
      </c>
      <c r="CM52" s="453">
        <f>('Attainment 25+ by race &amp; gender'!IM51/'Pop 25+ by race &amp; gender'!ER50)*100</f>
        <v>80.795454545454547</v>
      </c>
      <c r="CN52" s="453">
        <f>('Attainment 25+ by race &amp; gender'!ZL51/'Pop 25+ by race &amp; gender'!DK50)*100</f>
        <v>29.257405432017723</v>
      </c>
      <c r="CO52" s="453">
        <f>('Attainment 25+ by race &amp; gender'!AAP51/'Pop 25+ by race &amp; gender'!EO50)*100</f>
        <v>31.627084896118884</v>
      </c>
      <c r="CP52" s="453">
        <f>IF('Pop 25+ by race &amp; gender'!DL50, ('Attainment 25+ by race &amp; gender'!ZM51/'Pop 25+ by race &amp; gender'!DL50)*100,"—")</f>
        <v>22.875343854061096</v>
      </c>
      <c r="CQ52" s="453">
        <f>('Attainment 25+ by race &amp; gender'!AAQ51/'Pop 25+ by race &amp; gender'!EP50)*100</f>
        <v>18.888603476325027</v>
      </c>
      <c r="CR52" s="453">
        <f>('Attainment 25+ by race &amp; gender'!ZN51/'Pop 25+ by race &amp; gender'!DN50)*100</f>
        <v>23.554169914263447</v>
      </c>
      <c r="CS52" s="453">
        <f>('Attainment 25+ by race &amp; gender'!AAR51/'Pop 25+ by race &amp; gender'!ER50)*100</f>
        <v>25.544258373205743</v>
      </c>
      <c r="CT52" s="350">
        <f>IFERROR(('Attainment 25+ by race &amp; gender'!HQ51/'Pop 25+ by race &amp; gender'!DU50)*100,"-")</f>
        <v>93.656935209964516</v>
      </c>
      <c r="CU52" s="452">
        <f>IFERROR(('Attainment 25+ by race &amp; gender'!IP51/'Pop 25+ by race &amp; gender'!ET50)*100,"-")</f>
        <v>94.614611976093343</v>
      </c>
      <c r="CV52" s="350">
        <f>IFERROR(('Attainment 25+ by race &amp; gender'!HR51/'Pop 25+ by race &amp; gender'!DV50)*100,"-")</f>
        <v>71.389719880337239</v>
      </c>
      <c r="CW52" s="452">
        <f>IFERROR(('Attainment 25+ by race &amp; gender'!IQ51/'Pop 25+ by race &amp; gender'!EU50)*100, "-")</f>
        <v>86.36363636363636</v>
      </c>
      <c r="CX52" s="452">
        <f>IFERROR(('Attainment 25+ by race &amp; gender'!HS51/'Pop 25+ by race &amp; gender'!DX50)*100, "-")</f>
        <v>66.090558491644046</v>
      </c>
      <c r="CY52" s="452">
        <f>IFERROR(('Attainment 25+ by race &amp; gender'!IR51/'Pop 25+ by race &amp; gender'!EW50)*100, "-")</f>
        <v>76.686000227453661</v>
      </c>
      <c r="CZ52" s="452">
        <f>IFERROR(('Attainment 25+ by race &amp; gender'!HU51/'Pop 25+ by race &amp; gender'!DY50)*100, "-")</f>
        <v>72.610216934919521</v>
      </c>
      <c r="DA52" s="452" t="str">
        <f>IFERROR(('Attainment 25+ by race &amp; gender'!IT51/'Pop 25+ by race &amp; gender'!EX50)*100, "-")</f>
        <v>-</v>
      </c>
      <c r="DB52" s="452" t="str">
        <f>IFERROR(('Attainment 25+ by race &amp; gender'!HV51/'Pop 25+ by race &amp; gender'!DZ50)*100, "-")</f>
        <v>-</v>
      </c>
      <c r="DC52" s="452" t="str">
        <f>IFERROR(('Attainment 25+ by race &amp; gender'!IU51/'Pop 25+ by race &amp; gender'!EY50)*100, "-")</f>
        <v>-</v>
      </c>
      <c r="DD52" s="452">
        <f>IFERROR(('Attainment 25+ by race &amp; gender'!HW51/'Pop 25+ by race &amp; gender'!EA50)*100, "-")</f>
        <v>76.103566442441945</v>
      </c>
      <c r="DE52" s="452">
        <f>IFERROR(('Attainment 25+ by race &amp; gender'!IV51/'Pop 25+ by race &amp; gender'!EZ50)*100, "-")</f>
        <v>83.362383572089982</v>
      </c>
      <c r="DF52" s="452">
        <f>IFERROR(('Attainment 25+ by race &amp; gender'!HX51/'Pop 25+ by race &amp; gender'!EB50)*100, "-")</f>
        <v>84.633396751061028</v>
      </c>
      <c r="DG52" s="452">
        <f>IFERROR(('Attainment 25+ by race &amp; gender'!IW51/'Pop 25+ by race &amp; gender'!FA50)*100, "-")</f>
        <v>91.376162018592296</v>
      </c>
      <c r="DH52" s="452">
        <f>IFERROR(('Attainment 25+ by race &amp; gender'!HY51/'Pop 25+ by race &amp; gender'!EC50)*100, "-")</f>
        <v>42.955326460481096</v>
      </c>
      <c r="DI52" s="452">
        <f>IFERROR(('Attainment 25+ by race &amp; gender'!IX51/'Pop 25+ by race &amp; gender'!FB50)*100, "-")</f>
        <v>69.060467690604682</v>
      </c>
      <c r="DJ52" s="452">
        <f>IFERROR(('Attainment 25+ by race &amp; gender'!ZV51/'Pop 25+ by race &amp; gender'!DU50)*100, "-")</f>
        <v>30.853431642079336</v>
      </c>
      <c r="DK52" s="452">
        <f>IFERROR(('Attainment 25+ by race &amp; gender'!AAU51/'Pop 25+ by race &amp; gender'!ET50)*100, "-")</f>
        <v>33.396834145065405</v>
      </c>
      <c r="DL52" s="452">
        <f>IFERROR(('Attainment 25+ by race &amp; gender'!ZW51/'Pop 25+ by race &amp; gender'!DV50)*100, "-")</f>
        <v>16.834375849877617</v>
      </c>
      <c r="DM52" s="452">
        <f>IFERROR(('Attainment 25+ by race &amp; gender'!AAV51/'Pop 25+ by race &amp; gender'!EU50)*100, "-")</f>
        <v>18.912337662337659</v>
      </c>
      <c r="DN52" s="452">
        <f>IFERROR(('Attainment 25+ by race &amp; gender'!ZX51/'Pop 25+ by race &amp; gender'!DX50)*100, "-")</f>
        <v>16.883302385373518</v>
      </c>
      <c r="DO52" s="452">
        <f>IFERROR(('Attainment 25+ by race &amp; gender'!AAW51/'Pop 25+ by race &amp; gender'!EW50)*100, "-")</f>
        <v>21.335152962583873</v>
      </c>
      <c r="DP52" s="452">
        <f>IFERROR(('Attainment 25+ by race &amp; gender'!ZZ51/'Pop 25+ by race &amp; gender'!DY50)*100, "-")</f>
        <v>41.903428971308607</v>
      </c>
      <c r="DQ52" s="452" t="str">
        <f>IFERROR(('Attainment 25+ by race &amp; gender'!AAY51/'Pop 25+ by race &amp; gender'!EX50)*100, "-")</f>
        <v>-</v>
      </c>
      <c r="DR52" s="452" t="str">
        <f>IFERROR(('Attainment 25+ by race &amp; gender'!AAA51/'Pop 25+ by race &amp; gender'!DZ50)*100, "-")</f>
        <v>-</v>
      </c>
      <c r="DS52" s="452" t="str">
        <f>IFERROR(('Attainment 25+ by race &amp; gender'!AAZ51/'Pop 25+ by race &amp; gender'!EY50)*100, "-")</f>
        <v>-</v>
      </c>
      <c r="DT52" s="452">
        <f>IFERROR(('Attainment 25+ by race &amp; gender'!AAB51/'Pop 25+ by race &amp; gender'!EA50)*100, "-")</f>
        <v>10.554638913567711</v>
      </c>
      <c r="DU52" s="452">
        <f>IFERROR(('Attainment 25+ by race &amp; gender'!ABA51/'Pop 25+ by race &amp; gender'!EZ50)*100, "-")</f>
        <v>10.270167220436843</v>
      </c>
      <c r="DV52" s="452">
        <f>IFERROR(('Attainment 25+ by race &amp; gender'!AAC51/'Pop 25+ by race &amp; gender'!EB50)*100, "-")</f>
        <v>13.668959461437144</v>
      </c>
      <c r="DW52" s="452">
        <f>IFERROR(('Attainment 25+ by race &amp; gender'!ABB51/'Pop 25+ by race &amp; gender'!FA50)*100, "-")</f>
        <v>29.498671978751663</v>
      </c>
      <c r="DX52" s="452">
        <f>IFERROR(('Attainment 25+ by race &amp; gender'!AAD51/'Pop 25+ by race &amp; gender'!EC50)*100, "-")</f>
        <v>6.5864833906071025</v>
      </c>
      <c r="DY52" s="452">
        <f>IFERROR(('Attainment 25+ by race &amp; gender'!ABC51/'Pop 25+ by race &amp; gender'!FB50)*100, "-")</f>
        <v>17.918915179189153</v>
      </c>
    </row>
    <row r="53" spans="1:129">
      <c r="A53" s="140" t="s">
        <v>50</v>
      </c>
      <c r="B53" s="353">
        <f>('Attainment 25+ by race &amp; gender'!FS52/'Pop 25+ by race &amp; gender'!AT51)*100</f>
        <v>86.610070692241464</v>
      </c>
      <c r="C53" s="449">
        <f>('Attainment 25+ by race &amp; gender'!GR52/'Pop 25+ by race &amp; gender'!CV51)*100</f>
        <v>91.300000000000011</v>
      </c>
      <c r="D53" s="354">
        <f>('Attainment 25+ by race &amp; gender'!FT52/'Pop 25+ by race &amp; gender'!AZ51)*100</f>
        <v>68.469339436508562</v>
      </c>
      <c r="E53" s="353">
        <f>IF('Pop 25+ by race &amp; gender'!CW51&gt;0,('Attainment 25+ by race &amp; gender'!GS52/'Pop 25+ by race &amp; gender'!CW51)*100,"—")</f>
        <v>79.400000000000006</v>
      </c>
      <c r="F53" s="354">
        <f>('Attainment 25+ by race &amp; gender'!FU52/'Pop 25+ by race &amp; gender'!BC51)*100</f>
        <v>54.608125215790082</v>
      </c>
      <c r="G53" s="353">
        <f>('Attainment 25+ by race &amp; gender'!GT52/'Pop 25+ by race &amp; gender'!CY51)*100</f>
        <v>61.6</v>
      </c>
      <c r="H53" s="354">
        <f>('Attainment 25+ by race &amp; gender'!XM52/'Pop 25+ by race &amp; gender'!AT51)*100</f>
        <v>23.026801909808739</v>
      </c>
      <c r="I53" s="353">
        <f>('Attainment 25+ by race &amp; gender'!YW52/'Pop 25+ by race &amp; gender'!CV51)*100</f>
        <v>26.900000000000002</v>
      </c>
      <c r="J53" s="354">
        <f>('Attainment 25+ by race &amp; gender'!XS52/'Pop 25+ by race &amp; gender'!AZ51)*100</f>
        <v>10.527319601189067</v>
      </c>
      <c r="K53" s="353">
        <f>IF('Pop 25+ by race &amp; gender'!CW51&gt;0,('Attainment 25+ by race &amp; gender'!YX52/'Pop 25+ by race &amp; gender'!CW51)*100,"—")</f>
        <v>12.700000000000003</v>
      </c>
      <c r="L53" s="354">
        <f>('Attainment 25+ by race &amp; gender'!XV52/'Pop 25+ by race &amp; gender'!BC51)*100</f>
        <v>11.445505811946138</v>
      </c>
      <c r="M53" s="438">
        <f>('Attainment 25+ by race &amp; gender'!YY52/'Pop 25+ by race &amp; gender'!CY51)*100</f>
        <v>11.6</v>
      </c>
      <c r="N53" s="353">
        <f>('Attainment 25+ by race &amp; gender'!FS52/'Pop 25+ by race &amp; gender'!AT51)*100</f>
        <v>86.610070692241464</v>
      </c>
      <c r="O53" s="450">
        <f>('Attainment 25+ by race &amp; gender'!GW52/'Pop 25+ by race &amp; gender'!DA51)*100</f>
        <v>92.606691205838615</v>
      </c>
      <c r="P53" s="354">
        <f>('Attainment 25+ by race &amp; gender'!FT52/'Pop 25+ by race &amp; gender'!AZ51)*100</f>
        <v>68.469339436508562</v>
      </c>
      <c r="Q53" s="431">
        <f>('Attainment 25+ by race &amp; gender'!GX52/'Pop 25+ by race &amp; gender'!DB51)*100</f>
        <v>79.783232092750765</v>
      </c>
      <c r="R53" s="354">
        <f>('Attainment 25+ by race &amp; gender'!FU52/'Pop 25+ by race &amp; gender'!BC51)*100</f>
        <v>54.608125215790082</v>
      </c>
      <c r="S53" s="431">
        <f>('Attainment 25+ by race &amp; gender'!GY52/'Pop 25+ by race &amp; gender'!DD51)*100</f>
        <v>62.516430332362148</v>
      </c>
      <c r="T53" s="354">
        <f>('Attainment 25+ by race &amp; gender'!XM52/'Pop 25+ by race &amp; gender'!AT51)*100</f>
        <v>23.026801909808739</v>
      </c>
      <c r="U53" s="431">
        <f>('Attainment 25+ by race &amp; gender'!ZB52/'Pop 25+ by race &amp; gender'!DA51)*100</f>
        <v>27.95477558753592</v>
      </c>
      <c r="V53" s="354">
        <f>('Attainment 25+ by race &amp; gender'!XS52/'Pop 25+ by race &amp; gender'!AZ51)*100</f>
        <v>10.527319601189067</v>
      </c>
      <c r="W53" s="431">
        <f>('Attainment 25+ by race &amp; gender'!ZC52/'Pop 25+ by race &amp; gender'!DB51)*100</f>
        <v>12.694130101857276</v>
      </c>
      <c r="X53" s="354">
        <f>('Attainment 25+ by race &amp; gender'!XV52/'Pop 25+ by race &amp; gender'!BC51)*100</f>
        <v>11.445505811946138</v>
      </c>
      <c r="Y53" s="438">
        <f>('Attainment 25+ by race &amp; gender'!ZD52/'Pop 25+ by race &amp; gender'!DD51)*100</f>
        <v>11.410070809432375</v>
      </c>
      <c r="Z53" s="515">
        <f>('Attainment 25+ by race &amp; gender'!FS52/'Pop 25+ by race &amp; gender'!AT51)*100</f>
        <v>86.610070692241464</v>
      </c>
      <c r="AA53" s="492">
        <f>('Attainment 25+ by race &amp; gender'!HB52/'Pop 25+ by race &amp; gender'!DF51)*100</f>
        <v>92.91562679704839</v>
      </c>
      <c r="AB53" s="354">
        <f>('Attainment 25+ by race &amp; gender'!FT52/'Pop 25+ by race &amp; gender'!AZ51)*100</f>
        <v>68.469339436508562</v>
      </c>
      <c r="AC53" s="353">
        <f>('Attainment 25+ by race &amp; gender'!HC52/'Pop 25+ by race &amp; gender'!DG51)*100</f>
        <v>79.561851624956333</v>
      </c>
      <c r="AD53" s="354">
        <f>('Attainment 25+ by race &amp; gender'!FU52/'Pop 25+ by race &amp; gender'!BC51)*100</f>
        <v>54.608125215790082</v>
      </c>
      <c r="AE53" s="353">
        <f>('Attainment 25+ by race &amp; gender'!HD52/'Pop 25+ by race &amp; gender'!DI51)*100</f>
        <v>64.673467955167652</v>
      </c>
      <c r="AF53" s="354">
        <f>('Attainment 25+ by race &amp; gender'!XM52/'Pop 25+ by race &amp; gender'!AT51)*100</f>
        <v>23.026801909808739</v>
      </c>
      <c r="AG53" s="431">
        <f>('Attainment 25+ by race &amp; gender'!ZG52/'Pop 25+ by race &amp; gender'!DF51)*100</f>
        <v>28.532719224609153</v>
      </c>
      <c r="AH53" s="354">
        <f>('Attainment 25+ by race &amp; gender'!XS52/'Pop 25+ by race &amp; gender'!AZ51)*100</f>
        <v>10.527319601189067</v>
      </c>
      <c r="AI53" s="431">
        <f>('Attainment 25+ by race &amp; gender'!ZH52/'Pop 25+ by race &amp; gender'!DG51)*100</f>
        <v>12.603727349592178</v>
      </c>
      <c r="AJ53" s="354">
        <f>('Attainment 25+ by race &amp; gender'!XV52/'Pop 25+ by race &amp; gender'!BC51)*100</f>
        <v>11.445505811946138</v>
      </c>
      <c r="AK53" s="431">
        <f>('Attainment 25+ by race &amp; gender'!ZI52/'Pop 25+ by race &amp; gender'!DI51)*100</f>
        <v>11.900109974963147</v>
      </c>
      <c r="AL53" s="354">
        <f>('Attainment 25+ by race &amp; gender'!FS52/'Pop 25+ by race &amp; gender'!AT51)*100</f>
        <v>86.610070692241464</v>
      </c>
      <c r="AM53" s="431">
        <f>('Attainment 25+ by race &amp; gender'!HL52/'Pop 25+ by race &amp; gender'!DP51)*100</f>
        <v>93.739174926071939</v>
      </c>
      <c r="AN53" s="354">
        <v>68.469339436508562</v>
      </c>
      <c r="AO53" s="431">
        <f>('Attainment 25+ by race &amp; gender'!HM52/'Pop 25+ by race &amp; gender'!DQ51)*100</f>
        <v>81.552683125592168</v>
      </c>
      <c r="AP53" s="431">
        <f>('Attainment 25+ by race &amp; gender'!FU52/'Pop 25+ by race &amp; gender'!BC51)*100</f>
        <v>54.608125215790082</v>
      </c>
      <c r="AQ53" s="431">
        <f>('Attainment 25+ by race &amp; gender'!HN52/'Pop 25+ by race &amp; gender'!DS51)*100</f>
        <v>64.999071888838799</v>
      </c>
      <c r="AR53" s="431">
        <f>('Attainment 25+ by race &amp; gender'!XM52/'Pop 25+ by race &amp; gender'!AT51)*100</f>
        <v>23.026801909808739</v>
      </c>
      <c r="AS53" s="431">
        <f>('Attainment 25+ by race &amp; gender'!ZQ52/'Pop 25+ by race &amp; gender'!DP51)*100</f>
        <v>29.900352931539832</v>
      </c>
      <c r="AT53" s="431">
        <f>('Attainment 25+ by race &amp; gender'!XS52/'Pop 25+ by race &amp; gender'!AZ51)*100</f>
        <v>10.527319601189067</v>
      </c>
      <c r="AU53" s="431">
        <f>('Attainment 25+ by race &amp; gender'!ZR52/'Pop 25+ by race &amp; gender'!DQ51)*100</f>
        <v>13.499820814044252</v>
      </c>
      <c r="AV53" s="431">
        <f>('Attainment 25+ by race &amp; gender'!XV52/'Pop 25+ by race &amp; gender'!BC51)*100</f>
        <v>11.445505811946138</v>
      </c>
      <c r="AW53" s="431">
        <f>('Attainment 25+ by race &amp; gender'!ZS52/'Pop 25+ by race &amp; gender'!DS51)*100</f>
        <v>11.837925273792793</v>
      </c>
      <c r="AX53" s="354">
        <f>('Attainment 25+ by race &amp; gender'!GR52/'Pop 25+ by race &amp; gender'!CV51)*100</f>
        <v>91.300000000000011</v>
      </c>
      <c r="AY53" s="431">
        <f>('Attainment 25+ by race &amp; gender'!HQ52/'Pop 25+ by race &amp; gender'!DU51)*100</f>
        <v>94.117044118762323</v>
      </c>
      <c r="AZ53" s="354">
        <f>('Attainment 25+ by race &amp; gender'!GS52/'Pop 25+ by race &amp; gender'!CW51)*100</f>
        <v>79.400000000000006</v>
      </c>
      <c r="BA53" s="431">
        <f>('Attainment 25+ by race &amp; gender'!HR52/'Pop 25+ by race &amp; gender'!DV51)*100</f>
        <v>82.007006886741223</v>
      </c>
      <c r="BB53" s="431">
        <f>('Attainment 25+ by race &amp; gender'!GT52/'Pop 25+ by race &amp; gender'!CY51)*100</f>
        <v>61.6</v>
      </c>
      <c r="BC53" s="431">
        <f>('Attainment 25+ by race &amp; gender'!HS52/'Pop 25+ by race &amp; gender'!DX51)*100</f>
        <v>69.103451866507001</v>
      </c>
      <c r="BD53" s="431">
        <f>('Attainment 25+ by race &amp; gender'!YW52/'Pop 25+ by race &amp; gender'!CV51)*100</f>
        <v>26.900000000000002</v>
      </c>
      <c r="BE53" s="431">
        <f>('Attainment 25+ by race &amp; gender'!ZV52/'Pop 25+ by race &amp; gender'!DU51)*100</f>
        <v>30.828950923327771</v>
      </c>
      <c r="BF53" s="431">
        <f>('Attainment 25+ by race &amp; gender'!YX52/'Pop 25+ by race &amp; gender'!CW51)*100</f>
        <v>12.700000000000003</v>
      </c>
      <c r="BG53" s="431">
        <f>('Attainment 25+ by race &amp; gender'!ZW52/'Pop 25+ by race &amp; gender'!DV51)*100</f>
        <v>15.07297638900236</v>
      </c>
      <c r="BH53" s="431">
        <f>('Attainment 25+ by race &amp; gender'!YY52/'Pop 25+ by race &amp; gender'!CY51)*100</f>
        <v>11.6</v>
      </c>
      <c r="BI53" s="431">
        <f>('Attainment 25+ by race &amp; gender'!ZX52/'Pop 25+ by race &amp; gender'!DX51)*100</f>
        <v>14.692039360649764</v>
      </c>
      <c r="BJ53" s="354">
        <f>('Attainment 25+ by race &amp; gender'!GW52/'Pop 25+ by race &amp; gender'!DA51)*100</f>
        <v>92.606691205838615</v>
      </c>
      <c r="BK53" s="431">
        <f>('Attainment 25+ by race &amp; gender'!IA52/'Pop 25+ by race &amp; gender'!EE51)*100</f>
        <v>94.436135384906706</v>
      </c>
      <c r="BL53" s="354">
        <f>('Attainment 25+ by race &amp; gender'!GX52/'Pop 25+ by race &amp; gender'!DB51)*100</f>
        <v>79.783232092750765</v>
      </c>
      <c r="BM53" s="431">
        <f>('Attainment 25+ by race &amp; gender'!IB52/'Pop 25+ by race &amp; gender'!EF51)*100</f>
        <v>83.787841704947667</v>
      </c>
      <c r="BN53" s="431">
        <f>('Attainment 25+ by race &amp; gender'!GY52/'Pop 25+ by race &amp; gender'!DD51)*100</f>
        <v>62.516430332362148</v>
      </c>
      <c r="BO53" s="431">
        <f>('Attainment 25+ by race &amp; gender'!IC52/'Pop 25+ by race &amp; gender'!EH51)*100</f>
        <v>69.938036369517533</v>
      </c>
      <c r="BP53" s="431">
        <f>('Attainment 25+ by race &amp; gender'!ZB52/'Pop 25+ by race &amp; gender'!DA51)*100</f>
        <v>27.95477558753592</v>
      </c>
      <c r="BQ53" s="431">
        <f>('Attainment 25+ by race &amp; gender'!AAF52/'Pop 25+ by race &amp; gender'!EE51)*100</f>
        <v>31.841312249526236</v>
      </c>
      <c r="BR53" s="431">
        <f>('Attainment 25+ by race &amp; gender'!ZC52/'Pop 25+ by race &amp; gender'!DB51)*100</f>
        <v>12.694130101857276</v>
      </c>
      <c r="BS53" s="431">
        <f>('Attainment 25+ by race &amp; gender'!AAG52/'Pop 25+ by race &amp; gender'!EF51)*100</f>
        <v>14.358197153400104</v>
      </c>
      <c r="BT53" s="431">
        <f>('Attainment 25+ by race &amp; gender'!ZD52/'Pop 25+ by race &amp; gender'!DD51)*100</f>
        <v>11.410070809432375</v>
      </c>
      <c r="BU53" s="431">
        <f>('Attainment 25+ by race &amp; gender'!AAH52/'Pop 25+ by race &amp; gender'!EH51)*100</f>
        <v>14.900585268222667</v>
      </c>
      <c r="BV53" s="354">
        <f>('Attainment 25+ by race &amp; gender'!HN52/'Pop 25+ by race &amp; gender'!DR51)*100</f>
        <v>55.014947884403028</v>
      </c>
      <c r="BW53" s="431" t="e">
        <f>('Attainment 25+ by race &amp; gender'!JB52/'Pop 25+ by race &amp; gender'!EQ51)*100</f>
        <v>#VALUE!</v>
      </c>
      <c r="BX53" s="354">
        <f>('Attainment 25+ by race &amp; gender'!HO52/'Pop 25+ by race &amp; gender'!DS51)*100</f>
        <v>93.769457187558004</v>
      </c>
      <c r="BY53" s="431" t="e">
        <f>('Attainment 25+ by race &amp; gender'!JC52/'Pop 25+ by race &amp; gender'!ER51)*100</f>
        <v>#VALUE!</v>
      </c>
      <c r="BZ53" s="431">
        <f>('Attainment 25+ by race &amp; gender'!HP52/'Pop 25+ by race &amp; gender'!DU51)*100</f>
        <v>107.1088950875929</v>
      </c>
      <c r="CA53" s="431">
        <f>('Attainment 25+ by race &amp; gender'!JD52/'Pop 25+ by race &amp; gender'!ET51)*100</f>
        <v>21.660192544992444</v>
      </c>
      <c r="CB53" s="431">
        <f>('Attainment 25+ by race &amp; gender'!ZS52/'Pop 25+ by race &amp; gender'!DR51)*100</f>
        <v>10.019571404203363</v>
      </c>
      <c r="CC53" s="431">
        <f>('Attainment 25+ by race &amp; gender'!ABB52/'Pop 25+ by race &amp; gender'!EQ51)*100</f>
        <v>20.707876919689546</v>
      </c>
      <c r="CD53" s="431">
        <f>('Attainment 25+ by race &amp; gender'!ZT52/'Pop 25+ by race &amp; gender'!DS51)*100</f>
        <v>32.664739731112938</v>
      </c>
      <c r="CE53" s="431">
        <f>('Attainment 25+ by race &amp; gender'!ABC52/'Pop 25+ by race &amp; gender'!ER51)*100</f>
        <v>7.6715952122699855</v>
      </c>
      <c r="CF53" s="431">
        <f>('Attainment 25+ by race &amp; gender'!ZU52/'Pop 25+ by race &amp; gender'!DU51)*100</f>
        <v>34.369282525026549</v>
      </c>
      <c r="CG53" s="431">
        <f>('Attainment 25+ by race &amp; gender'!ABD52/'Pop 25+ by race &amp; gender'!ET51)*100</f>
        <v>7.3332312395267953</v>
      </c>
      <c r="CH53" s="354">
        <f>('Attainment 25+ by race &amp; gender'!HG52/'Pop 25+ by race &amp; gender'!DK51)*100</f>
        <v>93.635202172472049</v>
      </c>
      <c r="CI53" s="452">
        <f>('Attainment 25+ by race &amp; gender'!IK52/'Pop 25+ by race &amp; gender'!EO51)*100</f>
        <v>94.803723542846683</v>
      </c>
      <c r="CJ53" s="354">
        <f>('Attainment 25+ by race &amp; gender'!HH52/'Pop 25+ by race &amp; gender'!DL51)*100</f>
        <v>81.804937668051821</v>
      </c>
      <c r="CK53" s="431">
        <f>('Attainment 25+ by race &amp; gender'!IL52/'Pop 25+ by race &amp; gender'!EP51)*100</f>
        <v>84.741474799319889</v>
      </c>
      <c r="CL53" s="431">
        <f>('Attainment 25+ by race &amp; gender'!HI52/'Pop 25+ by race &amp; gender'!DN51)*100</f>
        <v>64.506953919281713</v>
      </c>
      <c r="CM53" s="431">
        <f>('Attainment 25+ by race &amp; gender'!IM52/'Pop 25+ by race &amp; gender'!ER51)*100</f>
        <v>70.893037240014465</v>
      </c>
      <c r="CN53" s="431">
        <f>('Attainment 25+ by race &amp; gender'!ZL52/'Pop 25+ by race &amp; gender'!DK51)*100</f>
        <v>29.948497634846984</v>
      </c>
      <c r="CO53" s="431">
        <f>('Attainment 25+ by race &amp; gender'!AAP52/'Pop 25+ by race &amp; gender'!EO51)*100</f>
        <v>32.975935345606651</v>
      </c>
      <c r="CP53" s="431">
        <f>('Attainment 25+ by race &amp; gender'!ZM52/'Pop 25+ by race &amp; gender'!DL51)*100</f>
        <v>12.835492544610119</v>
      </c>
      <c r="CQ53" s="431">
        <f>('Attainment 25+ by race &amp; gender'!AAQ52/'Pop 25+ by race &amp; gender'!EP51)*100</f>
        <v>15.228440279151606</v>
      </c>
      <c r="CR53" s="431">
        <f>('Attainment 25+ by race &amp; gender'!ZN52/'Pop 25+ by race &amp; gender'!DN51)*100</f>
        <v>12.237577571409709</v>
      </c>
      <c r="CS53" s="431">
        <f>('Attainment 25+ by race &amp; gender'!AAR52/'Pop 25+ by race &amp; gender'!ER51)*100</f>
        <v>15.56963711442218</v>
      </c>
      <c r="CT53" s="350">
        <f>IFERROR(('Attainment 25+ by race &amp; gender'!HQ52/'Pop 25+ by race &amp; gender'!DU51)*100,"-")</f>
        <v>94.117044118762323</v>
      </c>
      <c r="CU53" s="452">
        <f>IFERROR(('Attainment 25+ by race &amp; gender'!IP52/'Pop 25+ by race &amp; gender'!ET51)*100,"-")</f>
        <v>95.342608162988839</v>
      </c>
      <c r="CV53" s="350">
        <f>IFERROR(('Attainment 25+ by race &amp; gender'!HR52/'Pop 25+ by race &amp; gender'!DV51)*100,"-")</f>
        <v>82.007006886741223</v>
      </c>
      <c r="CW53" s="452">
        <f>IFERROR(('Attainment 25+ by race &amp; gender'!IQ52/'Pop 25+ by race &amp; gender'!EU51)*100, "-")</f>
        <v>86.679855391709822</v>
      </c>
      <c r="CX53" s="452">
        <f>IFERROR(('Attainment 25+ by race &amp; gender'!HS52/'Pop 25+ by race &amp; gender'!DX51)*100, "-")</f>
        <v>69.103451866507001</v>
      </c>
      <c r="CY53" s="452">
        <f>IFERROR(('Attainment 25+ by race &amp; gender'!IR52/'Pop 25+ by race &amp; gender'!EW51)*100, "-")</f>
        <v>72.323257346858426</v>
      </c>
      <c r="CZ53" s="452">
        <f>IFERROR(('Attainment 25+ by race &amp; gender'!HU52/'Pop 25+ by race &amp; gender'!DY51)*100, "-")</f>
        <v>83.071036433205791</v>
      </c>
      <c r="DA53" s="452">
        <f>IFERROR(('Attainment 25+ by race &amp; gender'!IT52/'Pop 25+ by race &amp; gender'!EX51)*100, "-")</f>
        <v>86.992498718725258</v>
      </c>
      <c r="DB53" s="452" t="str">
        <f>IFERROR(('Attainment 25+ by race &amp; gender'!HV52/'Pop 25+ by race &amp; gender'!DZ51)*100, "-")</f>
        <v>-</v>
      </c>
      <c r="DC53" s="452" t="str">
        <f>IFERROR(('Attainment 25+ by race &amp; gender'!IU52/'Pop 25+ by race &amp; gender'!EY51)*100, "-")</f>
        <v>-</v>
      </c>
      <c r="DD53" s="452">
        <f>IFERROR(('Attainment 25+ by race &amp; gender'!HW52/'Pop 25+ by race &amp; gender'!EA51)*100, "-")</f>
        <v>84.402255986685986</v>
      </c>
      <c r="DE53" s="452">
        <f>IFERROR(('Attainment 25+ by race &amp; gender'!IV52/'Pop 25+ by race &amp; gender'!EZ51)*100, "-")</f>
        <v>85.761601324837102</v>
      </c>
      <c r="DF53" s="452">
        <f>IFERROR(('Attainment 25+ by race &amp; gender'!HX52/'Pop 25+ by race &amp; gender'!EB51)*100, "-")</f>
        <v>88.734322062420063</v>
      </c>
      <c r="DG53" s="452">
        <f>IFERROR(('Attainment 25+ by race &amp; gender'!IW52/'Pop 25+ by race &amp; gender'!FA51)*100, "-")</f>
        <v>82.382689820801772</v>
      </c>
      <c r="DH53" s="452">
        <f>IFERROR(('Attainment 25+ by race &amp; gender'!HY52/'Pop 25+ by race &amp; gender'!EC51)*100, "-")</f>
        <v>62.346588119783995</v>
      </c>
      <c r="DI53" s="452">
        <f>IFERROR(('Attainment 25+ by race &amp; gender'!IX52/'Pop 25+ by race &amp; gender'!FB51)*100, "-")</f>
        <v>71.228109148802261</v>
      </c>
      <c r="DJ53" s="452">
        <f>IFERROR(('Attainment 25+ by race &amp; gender'!ZV52/'Pop 25+ by race &amp; gender'!DU51)*100, "-")</f>
        <v>30.828950923327771</v>
      </c>
      <c r="DK53" s="452">
        <f>IFERROR(('Attainment 25+ by race &amp; gender'!AAU52/'Pop 25+ by race &amp; gender'!ET51)*100, "-")</f>
        <v>34.076635145203902</v>
      </c>
      <c r="DL53" s="452">
        <f>IFERROR(('Attainment 25+ by race &amp; gender'!ZW52/'Pop 25+ by race &amp; gender'!DV51)*100, "-")</f>
        <v>15.07297638900236</v>
      </c>
      <c r="DM53" s="452">
        <f>IFERROR(('Attainment 25+ by race &amp; gender'!AAV52/'Pop 25+ by race &amp; gender'!EU51)*100, "-")</f>
        <v>16.573831137550918</v>
      </c>
      <c r="DN53" s="452">
        <f>IFERROR(('Attainment 25+ by race &amp; gender'!ZX52/'Pop 25+ by race &amp; gender'!DX51)*100, "-")</f>
        <v>14.692039360649764</v>
      </c>
      <c r="DO53" s="452">
        <f>IFERROR(('Attainment 25+ by race &amp; gender'!AAW52/'Pop 25+ by race &amp; gender'!EW51)*100, "-")</f>
        <v>17.167074395374453</v>
      </c>
      <c r="DP53" s="452">
        <f>IFERROR(('Attainment 25+ by race &amp; gender'!ZZ52/'Pop 25+ by race &amp; gender'!DY51)*100, "-")</f>
        <v>48.241557145233735</v>
      </c>
      <c r="DQ53" s="452">
        <f>IFERROR(('Attainment 25+ by race &amp; gender'!AAY52/'Pop 25+ by race &amp; gender'!EX51)*100, "-")</f>
        <v>49.031356287564648</v>
      </c>
      <c r="DR53" s="452" t="str">
        <f>IFERROR(('Attainment 25+ by race &amp; gender'!AAA52/'Pop 25+ by race &amp; gender'!DZ51)*100, "-")</f>
        <v>-</v>
      </c>
      <c r="DS53" s="452" t="str">
        <f>IFERROR(('Attainment 25+ by race &amp; gender'!AAZ52/'Pop 25+ by race &amp; gender'!EY51)*100, "-")</f>
        <v>-</v>
      </c>
      <c r="DT53" s="452">
        <f>IFERROR(('Attainment 25+ by race &amp; gender'!AAB52/'Pop 25+ by race &amp; gender'!EA51)*100, "-")</f>
        <v>16.411378555798688</v>
      </c>
      <c r="DU53" s="452">
        <f>IFERROR(('Attainment 25+ by race &amp; gender'!ABA52/'Pop 25+ by race &amp; gender'!EZ51)*100, "-")</f>
        <v>11.581524282679915</v>
      </c>
      <c r="DV53" s="452">
        <f>IFERROR(('Attainment 25+ by race &amp; gender'!AAC52/'Pop 25+ by race &amp; gender'!EB51)*100, "-")</f>
        <v>29.121138010724945</v>
      </c>
      <c r="DW53" s="452">
        <f>IFERROR(('Attainment 25+ by race &amp; gender'!ABB52/'Pop 25+ by race &amp; gender'!FA51)*100, "-")</f>
        <v>24.32477369296139</v>
      </c>
      <c r="DX53" s="452">
        <f>IFERROR(('Attainment 25+ by race &amp; gender'!AAD52/'Pop 25+ by race &amp; gender'!EC51)*100, "-")</f>
        <v>8.1968432483896407</v>
      </c>
      <c r="DY53" s="452">
        <f>IFERROR(('Attainment 25+ by race &amp; gender'!ABC52/'Pop 25+ by race &amp; gender'!FB51)*100, "-")</f>
        <v>19.902007972651091</v>
      </c>
    </row>
    <row r="54" spans="1:129">
      <c r="A54" s="141" t="s">
        <v>51</v>
      </c>
      <c r="B54" s="351">
        <f>('Attainment 25+ by race &amp; gender'!FS53/'Pop 25+ by race &amp; gender'!AT52)*100</f>
        <v>84.560566871897763</v>
      </c>
      <c r="C54" s="447">
        <f>('Attainment 25+ by race &amp; gender'!GR53/'Pop 25+ by race &amp; gender'!CV52)*100</f>
        <v>89.974236262718492</v>
      </c>
      <c r="D54" s="352">
        <f>('Attainment 25+ by race &amp; gender'!FT53/'Pop 25+ by race &amp; gender'!AZ52)*100</f>
        <v>72.119101229729367</v>
      </c>
      <c r="E54" s="351">
        <f>IF('Pop 25+ by race &amp; gender'!CW52&gt;0,('Attainment 25+ by race &amp; gender'!GS53/'Pop 25+ by race &amp; gender'!CW52)*100,"—")</f>
        <v>81.955062176296749</v>
      </c>
      <c r="F54" s="352">
        <f>('Attainment 25+ by race &amp; gender'!FU53/'Pop 25+ by race &amp; gender'!BC52)*100</f>
        <v>56.561006928061339</v>
      </c>
      <c r="G54" s="351">
        <f>('Attainment 25+ by race &amp; gender'!GT53/'Pop 25+ by race &amp; gender'!CY52)*100</f>
        <v>66.470408442113893</v>
      </c>
      <c r="H54" s="352">
        <f>('Attainment 25+ by race &amp; gender'!XM53/'Pop 25+ by race &amp; gender'!AT52)*100</f>
        <v>29.017157610302718</v>
      </c>
      <c r="I54" s="351">
        <f>('Attainment 25+ by race &amp; gender'!YW53/'Pop 25+ by race &amp; gender'!CV52)*100</f>
        <v>34.165454911948657</v>
      </c>
      <c r="J54" s="352">
        <f>('Attainment 25+ by race &amp; gender'!XS53/'Pop 25+ by race &amp; gender'!AZ52)*100</f>
        <v>15.268201059339621</v>
      </c>
      <c r="K54" s="351">
        <f>IF('Pop 25+ by race &amp; gender'!CW52&gt;0,('Attainment 25+ by race &amp; gender'!YX53/'Pop 25+ by race &amp; gender'!CW52)*100,"—")</f>
        <v>19.451908330470154</v>
      </c>
      <c r="L54" s="352">
        <f>('Attainment 25+ by race &amp; gender'!XV53/'Pop 25+ by race &amp; gender'!BC52)*100</f>
        <v>11.961421753863567</v>
      </c>
      <c r="M54" s="436">
        <f>('Attainment 25+ by race &amp; gender'!YY53/'Pop 25+ by race &amp; gender'!CY52)*100</f>
        <v>15.404909871717642</v>
      </c>
      <c r="N54" s="351">
        <f>('Attainment 25+ by race &amp; gender'!FS53/'Pop 25+ by race &amp; gender'!AT52)*100</f>
        <v>84.560566871897763</v>
      </c>
      <c r="O54" s="447">
        <f>('Attainment 25+ by race &amp; gender'!GW53/'Pop 25+ by race &amp; gender'!DA52)*100</f>
        <v>91.715818737084902</v>
      </c>
      <c r="P54" s="352">
        <f>('Attainment 25+ by race &amp; gender'!FT53/'Pop 25+ by race &amp; gender'!AZ52)*100</f>
        <v>72.119101229729367</v>
      </c>
      <c r="Q54" s="351">
        <f>('Attainment 25+ by race &amp; gender'!GX53/'Pop 25+ by race &amp; gender'!DB52)*100</f>
        <v>82.296906625033614</v>
      </c>
      <c r="R54" s="352">
        <f>('Attainment 25+ by race &amp; gender'!FU53/'Pop 25+ by race &amp; gender'!BC52)*100</f>
        <v>56.561006928061339</v>
      </c>
      <c r="S54" s="351">
        <f>('Attainment 25+ by race &amp; gender'!GY53/'Pop 25+ by race &amp; gender'!DD52)*100</f>
        <v>67.133879860848666</v>
      </c>
      <c r="T54" s="352">
        <f>('Attainment 25+ by race &amp; gender'!XM53/'Pop 25+ by race &amp; gender'!AT52)*100</f>
        <v>29.017157610302718</v>
      </c>
      <c r="U54" s="351">
        <f>('Attainment 25+ by race &amp; gender'!ZB53/'Pop 25+ by race &amp; gender'!DA52)*100</f>
        <v>35.901165077581403</v>
      </c>
      <c r="V54" s="352">
        <f>('Attainment 25+ by race &amp; gender'!XS53/'Pop 25+ by race &amp; gender'!AZ52)*100</f>
        <v>15.268201059339621</v>
      </c>
      <c r="W54" s="351">
        <f>('Attainment 25+ by race &amp; gender'!ZC53/'Pop 25+ by race &amp; gender'!DB52)*100</f>
        <v>19.624948243654728</v>
      </c>
      <c r="X54" s="352">
        <f>('Attainment 25+ by race &amp; gender'!XV53/'Pop 25+ by race &amp; gender'!BC52)*100</f>
        <v>11.961421753863567</v>
      </c>
      <c r="Y54" s="436">
        <f>('Attainment 25+ by race &amp; gender'!ZD53/'Pop 25+ by race &amp; gender'!DD52)*100</f>
        <v>15.672185237942962</v>
      </c>
      <c r="Z54" s="351">
        <f>('Attainment 25+ by race &amp; gender'!FS53/'Pop 25+ by race &amp; gender'!AT52)*100</f>
        <v>84.560566871897763</v>
      </c>
      <c r="AA54" s="447">
        <f>('Attainment 25+ by race &amp; gender'!HB53/'Pop 25+ by race &amp; gender'!DF52)*100</f>
        <v>91.988027624455725</v>
      </c>
      <c r="AB54" s="352">
        <f>('Attainment 25+ by race &amp; gender'!FT53/'Pop 25+ by race &amp; gender'!AZ52)*100</f>
        <v>72.119101229729367</v>
      </c>
      <c r="AC54" s="351">
        <f>('Attainment 25+ by race &amp; gender'!HC53/'Pop 25+ by race &amp; gender'!DG52)*100</f>
        <v>82.739553496178303</v>
      </c>
      <c r="AD54" s="352">
        <f>('Attainment 25+ by race &amp; gender'!FU53/'Pop 25+ by race &amp; gender'!BC52)*100</f>
        <v>56.561006928061339</v>
      </c>
      <c r="AE54" s="351">
        <f>('Attainment 25+ by race &amp; gender'!HD53/'Pop 25+ by race &amp; gender'!DI52)*100</f>
        <v>67.870753338949712</v>
      </c>
      <c r="AF54" s="352">
        <f>('Attainment 25+ by race &amp; gender'!XM53/'Pop 25+ by race &amp; gender'!AT52)*100</f>
        <v>29.017157610302718</v>
      </c>
      <c r="AG54" s="351">
        <f>('Attainment 25+ by race &amp; gender'!ZG53/'Pop 25+ by race &amp; gender'!DF52)*100</f>
        <v>36.44213956140598</v>
      </c>
      <c r="AH54" s="352">
        <f>('Attainment 25+ by race &amp; gender'!XS53/'Pop 25+ by race &amp; gender'!AZ52)*100</f>
        <v>15.268201059339621</v>
      </c>
      <c r="AI54" s="351">
        <f>('Attainment 25+ by race &amp; gender'!ZH53/'Pop 25+ by race &amp; gender'!DG52)*100</f>
        <v>20.148301340994916</v>
      </c>
      <c r="AJ54" s="352">
        <f>('Attainment 25+ by race &amp; gender'!XV53/'Pop 25+ by race &amp; gender'!BC52)*100</f>
        <v>11.961421753863567</v>
      </c>
      <c r="AK54" s="453">
        <f>('Attainment 25+ by race &amp; gender'!ZI53/'Pop 25+ by race &amp; gender'!DI52)*100</f>
        <v>16.197143833797224</v>
      </c>
      <c r="AL54" s="352">
        <f>('Attainment 25+ by race &amp; gender'!FS53/'Pop 25+ by race &amp; gender'!AT52)*100</f>
        <v>84.560566871897763</v>
      </c>
      <c r="AM54" s="453">
        <f>('Attainment 25+ by race &amp; gender'!HL53/'Pop 25+ by race &amp; gender'!DP52)*100</f>
        <v>92.789085889135421</v>
      </c>
      <c r="AN54" s="352">
        <v>72.119101229729367</v>
      </c>
      <c r="AO54" s="453">
        <f>('Attainment 25+ by race &amp; gender'!HM53/'Pop 25+ by race &amp; gender'!DQ52)*100</f>
        <v>84.568406830200104</v>
      </c>
      <c r="AP54" s="453">
        <f>('Attainment 25+ by race &amp; gender'!FU53/'Pop 25+ by race &amp; gender'!BC52)*100</f>
        <v>56.561006928061339</v>
      </c>
      <c r="AQ54" s="453">
        <f>('Attainment 25+ by race &amp; gender'!HN53/'Pop 25+ by race &amp; gender'!DS52)*100</f>
        <v>69.492763345500478</v>
      </c>
      <c r="AR54" s="453">
        <f>('Attainment 25+ by race &amp; gender'!XM53/'Pop 25+ by race &amp; gender'!AT52)*100</f>
        <v>29.017157610302718</v>
      </c>
      <c r="AS54" s="453">
        <f>('Attainment 25+ by race &amp; gender'!ZQ53/'Pop 25+ by race &amp; gender'!DP52)*100</f>
        <v>38.333282215079755</v>
      </c>
      <c r="AT54" s="453">
        <f>('Attainment 25+ by race &amp; gender'!XS53/'Pop 25+ by race &amp; gender'!AZ52)*100</f>
        <v>15.268201059339621</v>
      </c>
      <c r="AU54" s="453">
        <f>('Attainment 25+ by race &amp; gender'!ZR53/'Pop 25+ by race &amp; gender'!DQ52)*100</f>
        <v>21.632934982644954</v>
      </c>
      <c r="AV54" s="453">
        <f>('Attainment 25+ by race &amp; gender'!XV53/'Pop 25+ by race &amp; gender'!BC52)*100</f>
        <v>11.961421753863567</v>
      </c>
      <c r="AW54" s="453">
        <f>('Attainment 25+ by race &amp; gender'!ZS53/'Pop 25+ by race &amp; gender'!DS52)*100</f>
        <v>17.389929469096298</v>
      </c>
      <c r="AX54" s="352">
        <f>('Attainment 25+ by race &amp; gender'!GR53/'Pop 25+ by race &amp; gender'!CV52)*100</f>
        <v>89.974236262718492</v>
      </c>
      <c r="AY54" s="453">
        <f>('Attainment 25+ by race &amp; gender'!HQ53/'Pop 25+ by race &amp; gender'!DU52)*100</f>
        <v>93.061570973776838</v>
      </c>
      <c r="AZ54" s="352">
        <f>('Attainment 25+ by race &amp; gender'!GS53/'Pop 25+ by race &amp; gender'!CW52)*100</f>
        <v>81.955062176296749</v>
      </c>
      <c r="BA54" s="453">
        <f>('Attainment 25+ by race &amp; gender'!HR53/'Pop 25+ by race &amp; gender'!DV52)*100</f>
        <v>85.057702111881852</v>
      </c>
      <c r="BB54" s="453">
        <f>('Attainment 25+ by race &amp; gender'!GT53/'Pop 25+ by race &amp; gender'!CY52)*100</f>
        <v>66.470408442113893</v>
      </c>
      <c r="BC54" s="453">
        <f>('Attainment 25+ by race &amp; gender'!HS53/'Pop 25+ by race &amp; gender'!DX52)*100</f>
        <v>70.394749229946711</v>
      </c>
      <c r="BD54" s="453">
        <f>('Attainment 25+ by race &amp; gender'!YW53/'Pop 25+ by race &amp; gender'!CV52)*100</f>
        <v>34.165454911948657</v>
      </c>
      <c r="BE54" s="453">
        <f>('Attainment 25+ by race &amp; gender'!ZV53/'Pop 25+ by race &amp; gender'!DU52)*100</f>
        <v>39.407654049560307</v>
      </c>
      <c r="BF54" s="453">
        <f>('Attainment 25+ by race &amp; gender'!YX53/'Pop 25+ by race &amp; gender'!CW52)*100</f>
        <v>19.451908330470154</v>
      </c>
      <c r="BG54" s="453">
        <f>('Attainment 25+ by race &amp; gender'!ZW53/'Pop 25+ by race &amp; gender'!DV52)*100</f>
        <v>22.561181024999062</v>
      </c>
      <c r="BH54" s="453">
        <f>('Attainment 25+ by race &amp; gender'!YY53/'Pop 25+ by race &amp; gender'!CY52)*100</f>
        <v>15.404909871717642</v>
      </c>
      <c r="BI54" s="453">
        <f>('Attainment 25+ by race &amp; gender'!ZX53/'Pop 25+ by race &amp; gender'!DX52)*100</f>
        <v>17.667378027559224</v>
      </c>
      <c r="BJ54" s="352">
        <f>('Attainment 25+ by race &amp; gender'!GW53/'Pop 25+ by race &amp; gender'!DA52)*100</f>
        <v>91.715818737084902</v>
      </c>
      <c r="BK54" s="453">
        <f>('Attainment 25+ by race &amp; gender'!IA53/'Pop 25+ by race &amp; gender'!EE52)*100</f>
        <v>93.358770251312279</v>
      </c>
      <c r="BL54" s="352">
        <f>('Attainment 25+ by race &amp; gender'!GX53/'Pop 25+ by race &amp; gender'!DB52)*100</f>
        <v>82.296906625033614</v>
      </c>
      <c r="BM54" s="453">
        <f>('Attainment 25+ by race &amp; gender'!IB53/'Pop 25+ by race &amp; gender'!EF52)*100</f>
        <v>85.188872137806399</v>
      </c>
      <c r="BN54" s="453">
        <f>('Attainment 25+ by race &amp; gender'!GY53/'Pop 25+ by race &amp; gender'!DD52)*100</f>
        <v>67.133879860848666</v>
      </c>
      <c r="BO54" s="453">
        <f>('Attainment 25+ by race &amp; gender'!IC53/'Pop 25+ by race &amp; gender'!EH52)*100</f>
        <v>72.020843022769128</v>
      </c>
      <c r="BP54" s="453">
        <f>('Attainment 25+ by race &amp; gender'!ZB53/'Pop 25+ by race &amp; gender'!DA52)*100</f>
        <v>35.901165077581403</v>
      </c>
      <c r="BQ54" s="453">
        <f>('Attainment 25+ by race &amp; gender'!AAF53/'Pop 25+ by race &amp; gender'!EE52)*100</f>
        <v>40.121496310913038</v>
      </c>
      <c r="BR54" s="453">
        <f>('Attainment 25+ by race &amp; gender'!ZC53/'Pop 25+ by race &amp; gender'!DB52)*100</f>
        <v>19.624948243654728</v>
      </c>
      <c r="BS54" s="453">
        <f>('Attainment 25+ by race &amp; gender'!AAG53/'Pop 25+ by race &amp; gender'!EF52)*100</f>
        <v>23.02675856217137</v>
      </c>
      <c r="BT54" s="453">
        <f>('Attainment 25+ by race &amp; gender'!ZD53/'Pop 25+ by race &amp; gender'!DD52)*100</f>
        <v>15.672185237942962</v>
      </c>
      <c r="BU54" s="453">
        <f>('Attainment 25+ by race &amp; gender'!AAH53/'Pop 25+ by race &amp; gender'!EH52)*100</f>
        <v>18.314513879899859</v>
      </c>
      <c r="BV54" s="352">
        <f>('Attainment 25+ by race &amp; gender'!HN53/'Pop 25+ by race &amp; gender'!DR52)*100</f>
        <v>62.714400649555301</v>
      </c>
      <c r="BW54" s="453" t="e">
        <f>('Attainment 25+ by race &amp; gender'!JB53/'Pop 25+ by race &amp; gender'!EQ52)*100</f>
        <v>#VALUE!</v>
      </c>
      <c r="BX54" s="352">
        <f>('Attainment 25+ by race &amp; gender'!HO53/'Pop 25+ by race &amp; gender'!DS52)*100</f>
        <v>79.81506399291456</v>
      </c>
      <c r="BY54" s="453" t="e">
        <f>('Attainment 25+ by race &amp; gender'!JC53/'Pop 25+ by race &amp; gender'!ER52)*100</f>
        <v>#VALUE!</v>
      </c>
      <c r="BZ54" s="453">
        <f>('Attainment 25+ by race &amp; gender'!HP53/'Pop 25+ by race &amp; gender'!DU52)*100</f>
        <v>128.31738616315482</v>
      </c>
      <c r="CA54" s="453">
        <f>('Attainment 25+ by race &amp; gender'!JD53/'Pop 25+ by race &amp; gender'!ET52)*100</f>
        <v>26.745326699506162</v>
      </c>
      <c r="CB54" s="453">
        <f>('Attainment 25+ by race &amp; gender'!ZS53/'Pop 25+ by race &amp; gender'!DR52)*100</f>
        <v>15.693706099586668</v>
      </c>
      <c r="CC54" s="453">
        <f>('Attainment 25+ by race &amp; gender'!ABB53/'Pop 25+ by race &amp; gender'!EQ52)*100</f>
        <v>18.746017776899222</v>
      </c>
      <c r="CD54" s="453">
        <f>('Attainment 25+ by race &amp; gender'!ZT53/'Pop 25+ by race &amp; gender'!DS52)*100</f>
        <v>37.782157048927282</v>
      </c>
      <c r="CE54" s="453">
        <f>('Attainment 25+ by race &amp; gender'!ABC53/'Pop 25+ by race &amp; gender'!ER52)*100</f>
        <v>9.9466595623131049</v>
      </c>
      <c r="CF54" s="453">
        <f>('Attainment 25+ by race &amp; gender'!ZU53/'Pop 25+ by race &amp; gender'!DU52)*100</f>
        <v>51.874702271955485</v>
      </c>
      <c r="CG54" s="453">
        <f>('Attainment 25+ by race &amp; gender'!ABD53/'Pop 25+ by race &amp; gender'!ET52)*100</f>
        <v>14.82691408680811</v>
      </c>
      <c r="CH54" s="352">
        <f>('Attainment 25+ by race &amp; gender'!HG53/'Pop 25+ by race &amp; gender'!DK52)*100</f>
        <v>92.479957128018938</v>
      </c>
      <c r="CI54" s="452">
        <f>('Attainment 25+ by race &amp; gender'!IK53/'Pop 25+ by race &amp; gender'!EO52)*100</f>
        <v>93.856818170197414</v>
      </c>
      <c r="CJ54" s="352">
        <f>('Attainment 25+ by race &amp; gender'!HH53/'Pop 25+ by race &amp; gender'!DL52)*100</f>
        <v>84.351003394977241</v>
      </c>
      <c r="CK54" s="453">
        <f>('Attainment 25+ by race &amp; gender'!IL53/'Pop 25+ by race &amp; gender'!EP52)*100</f>
        <v>86.503155491720861</v>
      </c>
      <c r="CL54" s="453">
        <f>('Attainment 25+ by race &amp; gender'!HI53/'Pop 25+ by race &amp; gender'!DN52)*100</f>
        <v>68.690051351924339</v>
      </c>
      <c r="CM54" s="453">
        <f>('Attainment 25+ by race &amp; gender'!IM53/'Pop 25+ by race &amp; gender'!ER52)*100</f>
        <v>73.493315458205899</v>
      </c>
      <c r="CN54" s="453">
        <f>('Attainment 25+ by race &amp; gender'!ZL53/'Pop 25+ by race &amp; gender'!DK52)*100</f>
        <v>37.761297142432291</v>
      </c>
      <c r="CO54" s="453">
        <f>('Attainment 25+ by race &amp; gender'!AAP53/'Pop 25+ by race &amp; gender'!EO52)*100</f>
        <v>41.520601039325591</v>
      </c>
      <c r="CP54" s="453">
        <f>('Attainment 25+ by race &amp; gender'!ZM53/'Pop 25+ by race &amp; gender'!DL52)*100</f>
        <v>21.495690194451576</v>
      </c>
      <c r="CQ54" s="453">
        <f>('Attainment 25+ by race &amp; gender'!AAQ53/'Pop 25+ by race &amp; gender'!EP52)*100</f>
        <v>23.938083682104402</v>
      </c>
      <c r="CR54" s="453">
        <f>('Attainment 25+ by race &amp; gender'!ZN53/'Pop 25+ by race &amp; gender'!DN52)*100</f>
        <v>16.96192470809061</v>
      </c>
      <c r="CS54" s="453">
        <f>('Attainment 25+ by race &amp; gender'!AAR53/'Pop 25+ by race &amp; gender'!ER52)*100</f>
        <v>20.273670379647861</v>
      </c>
      <c r="CT54" s="350">
        <f>IFERROR(('Attainment 25+ by race &amp; gender'!HQ53/'Pop 25+ by race &amp; gender'!DU52)*100,"-")</f>
        <v>93.061570973776838</v>
      </c>
      <c r="CU54" s="452">
        <f>IFERROR(('Attainment 25+ by race &amp; gender'!IP53/'Pop 25+ by race &amp; gender'!ET52)*100,"-")</f>
        <v>94.554836646301737</v>
      </c>
      <c r="CV54" s="350">
        <f>IFERROR(('Attainment 25+ by race &amp; gender'!HR53/'Pop 25+ by race &amp; gender'!DV52)*100,"-")</f>
        <v>85.057702111881852</v>
      </c>
      <c r="CW54" s="452">
        <f>IFERROR(('Attainment 25+ by race &amp; gender'!IQ53/'Pop 25+ by race &amp; gender'!EU52)*100, "-")</f>
        <v>87.446557166947883</v>
      </c>
      <c r="CX54" s="452">
        <f>IFERROR(('Attainment 25+ by race &amp; gender'!HS53/'Pop 25+ by race &amp; gender'!DX52)*100, "-")</f>
        <v>70.394749229946711</v>
      </c>
      <c r="CY54" s="452">
        <f>IFERROR(('Attainment 25+ by race &amp; gender'!IR53/'Pop 25+ by race &amp; gender'!EW52)*100, "-")</f>
        <v>74.771858778982107</v>
      </c>
      <c r="CZ54" s="452">
        <f>IFERROR(('Attainment 25+ by race &amp; gender'!HU53/'Pop 25+ by race &amp; gender'!DY52)*100, "-")</f>
        <v>84.076244991052207</v>
      </c>
      <c r="DA54" s="452">
        <f>IFERROR(('Attainment 25+ by race &amp; gender'!IT53/'Pop 25+ by race &amp; gender'!EX52)*100, "-")</f>
        <v>84.758836958756945</v>
      </c>
      <c r="DB54" s="452">
        <f>IFERROR(('Attainment 25+ by race &amp; gender'!HV53/'Pop 25+ by race &amp; gender'!DZ52)*100, "-")</f>
        <v>6.3470672127072181</v>
      </c>
      <c r="DC54" s="452" t="str">
        <f>IFERROR(('Attainment 25+ by race &amp; gender'!IU53/'Pop 25+ by race &amp; gender'!EY52)*100, "-")</f>
        <v>-</v>
      </c>
      <c r="DD54" s="452">
        <f>IFERROR(('Attainment 25+ by race &amp; gender'!HW53/'Pop 25+ by race &amp; gender'!EA52)*100, "-")</f>
        <v>93.684334480367397</v>
      </c>
      <c r="DE54" s="452">
        <f>IFERROR(('Attainment 25+ by race &amp; gender'!IV53/'Pop 25+ by race &amp; gender'!EZ52)*100, "-")</f>
        <v>72.575909587181684</v>
      </c>
      <c r="DF54" s="452">
        <f>IFERROR(('Attainment 25+ by race &amp; gender'!HX53/'Pop 25+ by race &amp; gender'!EB52)*100, "-")</f>
        <v>447.76982558976306</v>
      </c>
      <c r="DG54" s="452">
        <f>IFERROR(('Attainment 25+ by race &amp; gender'!IW53/'Pop 25+ by race &amp; gender'!FA52)*100, "-")</f>
        <v>83.281765949524072</v>
      </c>
      <c r="DH54" s="452">
        <f>IFERROR(('Attainment 25+ by race &amp; gender'!HY53/'Pop 25+ by race &amp; gender'!EC52)*100, "-")</f>
        <v>1611.2627405827632</v>
      </c>
      <c r="DI54" s="452">
        <f>IFERROR(('Attainment 25+ by race &amp; gender'!IX53/'Pop 25+ by race &amp; gender'!FB52)*100, "-")</f>
        <v>70.379333524686828</v>
      </c>
      <c r="DJ54" s="452">
        <f>IFERROR(('Attainment 25+ by race &amp; gender'!ZV53/'Pop 25+ by race &amp; gender'!DU52)*100, "-")</f>
        <v>39.407654049560307</v>
      </c>
      <c r="DK54" s="452">
        <f>IFERROR(('Attainment 25+ by race &amp; gender'!AAU53/'Pop 25+ by race &amp; gender'!ET52)*100, "-")</f>
        <v>43.813802611804562</v>
      </c>
      <c r="DL54" s="452">
        <f>IFERROR(('Attainment 25+ by race &amp; gender'!ZW53/'Pop 25+ by race &amp; gender'!DV52)*100, "-")</f>
        <v>22.561181024999062</v>
      </c>
      <c r="DM54" s="452">
        <f>IFERROR(('Attainment 25+ by race &amp; gender'!AAV53/'Pop 25+ by race &amp; gender'!EU52)*100, "-")</f>
        <v>26.786448769696126</v>
      </c>
      <c r="DN54" s="452">
        <f>IFERROR(('Attainment 25+ by race &amp; gender'!ZX53/'Pop 25+ by race &amp; gender'!DX52)*100, "-")</f>
        <v>17.667378027559224</v>
      </c>
      <c r="DO54" s="452">
        <f>IFERROR(('Attainment 25+ by race &amp; gender'!AAW53/'Pop 25+ by race &amp; gender'!EW52)*100, "-")</f>
        <v>22.615033729786209</v>
      </c>
      <c r="DP54" s="452">
        <f>IFERROR(('Attainment 25+ by race &amp; gender'!ZZ53/'Pop 25+ by race &amp; gender'!DY52)*100, "-")</f>
        <v>54.98043805489349</v>
      </c>
      <c r="DQ54" s="452">
        <f>IFERROR(('Attainment 25+ by race &amp; gender'!AAY53/'Pop 25+ by race &amp; gender'!EX52)*100, "-")</f>
        <v>58.228137681890082</v>
      </c>
      <c r="DR54" s="452">
        <f>IFERROR(('Attainment 25+ by race &amp; gender'!AAA53/'Pop 25+ by race &amp; gender'!DZ52)*100, "-")</f>
        <v>1.5543838071936045</v>
      </c>
      <c r="DS54" s="452" t="str">
        <f>IFERROR(('Attainment 25+ by race &amp; gender'!AAZ53/'Pop 25+ by race &amp; gender'!EY52)*100, "-")</f>
        <v>-</v>
      </c>
      <c r="DT54" s="452">
        <f>IFERROR(('Attainment 25+ by race &amp; gender'!AAB53/'Pop 25+ by race &amp; gender'!EA52)*100, "-")</f>
        <v>20.596893849193368</v>
      </c>
      <c r="DU54" s="452">
        <f>IFERROR(('Attainment 25+ by race &amp; gender'!ABA53/'Pop 25+ by race &amp; gender'!EZ52)*100, "-")</f>
        <v>19.349198855085721</v>
      </c>
      <c r="DV54" s="452">
        <f>IFERROR(('Attainment 25+ by race &amp; gender'!AAC53/'Pop 25+ by race &amp; gender'!EB52)*100, "-")</f>
        <v>164.58804903897735</v>
      </c>
      <c r="DW54" s="452">
        <f>IFERROR(('Attainment 25+ by race &amp; gender'!ABB53/'Pop 25+ by race &amp; gender'!FA52)*100, "-")</f>
        <v>31.635435932629015</v>
      </c>
      <c r="DX54" s="452">
        <f>IFERROR(('Attainment 25+ by race &amp; gender'!AAD53/'Pop 25+ by race &amp; gender'!EC52)*100, "-")</f>
        <v>310.04069136060923</v>
      </c>
      <c r="DY54" s="452">
        <f>IFERROR(('Attainment 25+ by race &amp; gender'!ABC53/'Pop 25+ by race &amp; gender'!FB52)*100, "-")</f>
        <v>18.559368414477628</v>
      </c>
    </row>
    <row r="55" spans="1:129">
      <c r="A55" s="141"/>
      <c r="B55" s="351"/>
      <c r="C55" s="445"/>
      <c r="D55" s="352"/>
      <c r="E55" s="351"/>
      <c r="F55" s="352"/>
      <c r="G55" s="351"/>
      <c r="H55" s="352"/>
      <c r="I55" s="351"/>
      <c r="J55" s="352"/>
      <c r="K55" s="351"/>
      <c r="L55" s="352"/>
      <c r="M55" s="437"/>
      <c r="N55" s="351"/>
      <c r="O55" s="445"/>
      <c r="P55" s="352"/>
      <c r="Q55" s="351"/>
      <c r="R55" s="352"/>
      <c r="S55" s="351"/>
      <c r="T55" s="352"/>
      <c r="U55" s="351"/>
      <c r="V55" s="352"/>
      <c r="W55" s="351"/>
      <c r="X55" s="352"/>
      <c r="Y55" s="437"/>
      <c r="Z55" s="351"/>
      <c r="AA55" s="445"/>
      <c r="AB55" s="352"/>
      <c r="AC55" s="351"/>
      <c r="AD55" s="352"/>
      <c r="AE55" s="351"/>
      <c r="AF55" s="352"/>
      <c r="AG55" s="351"/>
      <c r="AH55" s="352"/>
      <c r="AI55" s="351"/>
      <c r="AJ55" s="352"/>
      <c r="AK55" s="453"/>
      <c r="AL55" s="352"/>
      <c r="AM55" s="453"/>
      <c r="AN55" s="352"/>
      <c r="AO55" s="453"/>
      <c r="AP55" s="453"/>
      <c r="AQ55" s="453"/>
      <c r="AR55" s="453"/>
      <c r="AS55" s="453"/>
      <c r="AT55" s="453"/>
      <c r="AU55" s="453"/>
      <c r="AV55" s="453"/>
      <c r="AW55" s="453"/>
      <c r="AX55" s="352"/>
      <c r="AY55" s="453"/>
      <c r="AZ55" s="352"/>
      <c r="BA55" s="453"/>
      <c r="BB55" s="453"/>
      <c r="BC55" s="453"/>
      <c r="BD55" s="453"/>
      <c r="BE55" s="453"/>
      <c r="BF55" s="453"/>
      <c r="BG55" s="453"/>
      <c r="BH55" s="453"/>
      <c r="BI55" s="453"/>
      <c r="BJ55" s="352"/>
      <c r="BK55" s="453"/>
      <c r="BL55" s="352"/>
      <c r="BM55" s="453"/>
      <c r="BN55" s="453"/>
      <c r="BO55" s="453"/>
      <c r="BP55" s="453"/>
      <c r="BQ55" s="453"/>
      <c r="BR55" s="453"/>
      <c r="BS55" s="453"/>
      <c r="BT55" s="453"/>
      <c r="BU55" s="453"/>
      <c r="BV55" s="352"/>
      <c r="BW55" s="453"/>
      <c r="BX55" s="352"/>
      <c r="BY55" s="453"/>
      <c r="BZ55" s="453"/>
      <c r="CA55" s="453"/>
      <c r="CB55" s="453"/>
      <c r="CC55" s="453"/>
      <c r="CD55" s="453"/>
      <c r="CE55" s="453"/>
      <c r="CF55" s="453"/>
      <c r="CG55" s="453"/>
      <c r="CH55" s="352"/>
      <c r="CI55" s="453"/>
      <c r="CJ55" s="352"/>
      <c r="CK55" s="453"/>
      <c r="CL55" s="453"/>
      <c r="CM55" s="453"/>
      <c r="CN55" s="453"/>
      <c r="CO55" s="453"/>
      <c r="CP55" s="453"/>
      <c r="CQ55" s="453"/>
      <c r="CR55" s="453"/>
      <c r="CS55" s="453"/>
      <c r="CT55" s="350"/>
      <c r="CU55" s="452"/>
      <c r="CV55" s="350" t="str">
        <f>IFERROR(('Attainment 25+ by race &amp; gender'!HR54/'Pop 25+ by race &amp; gender'!DV53)*100,"-")</f>
        <v>-</v>
      </c>
      <c r="CW55" s="452"/>
      <c r="CX55" s="452"/>
      <c r="CY55" s="452"/>
      <c r="CZ55" s="452" t="str">
        <f>IFERROR(('Attainment 25+ by race &amp; gender'!HU54/'Pop 25+ by race &amp; gender'!DY53)*100, "-")</f>
        <v>-</v>
      </c>
      <c r="DA55" s="452" t="str">
        <f>IFERROR(('Attainment 25+ by race &amp; gender'!IT54/'Pop 25+ by race &amp; gender'!EX53)*100, "-")</f>
        <v>-</v>
      </c>
      <c r="DB55" s="452" t="str">
        <f>IFERROR(('Attainment 25+ by race &amp; gender'!HV54/'Pop 25+ by race &amp; gender'!DZ53)*100, "-")</f>
        <v>-</v>
      </c>
      <c r="DC55" s="452" t="str">
        <f>IFERROR(('Attainment 25+ by race &amp; gender'!IU54/'Pop 25+ by race &amp; gender'!EY53)*100, "-")</f>
        <v>-</v>
      </c>
      <c r="DD55" s="452" t="str">
        <f>IFERROR(('Attainment 25+ by race &amp; gender'!HW54/'Pop 25+ by race &amp; gender'!EA53)*100, "-")</f>
        <v>-</v>
      </c>
      <c r="DE55" s="452" t="str">
        <f>IFERROR(('Attainment 25+ by race &amp; gender'!IV54/'Pop 25+ by race &amp; gender'!EZ53)*100, "-")</f>
        <v>-</v>
      </c>
      <c r="DF55" s="452" t="str">
        <f>IFERROR(('Attainment 25+ by race &amp; gender'!HX54/'Pop 25+ by race &amp; gender'!EB53)*100, "-")</f>
        <v>-</v>
      </c>
      <c r="DG55" s="452" t="str">
        <f>IFERROR(('Attainment 25+ by race &amp; gender'!IW54/'Pop 25+ by race &amp; gender'!FA53)*100, "-")</f>
        <v>-</v>
      </c>
      <c r="DH55" s="452" t="str">
        <f>IFERROR(('Attainment 25+ by race &amp; gender'!HY54/'Pop 25+ by race &amp; gender'!EC53)*100, "-")</f>
        <v>-</v>
      </c>
      <c r="DI55" s="452" t="str">
        <f>IFERROR(('Attainment 25+ by race &amp; gender'!IX54/'Pop 25+ by race &amp; gender'!FB53)*100, "-")</f>
        <v>-</v>
      </c>
      <c r="DJ55" s="452" t="str">
        <f>IFERROR(('Attainment 25+ by race &amp; gender'!ZV54/'Pop 25+ by race &amp; gender'!DU53)*100, "-")</f>
        <v>-</v>
      </c>
      <c r="DK55" s="452" t="str">
        <f>IFERROR(('Attainment 25+ by race &amp; gender'!AAU54/'Pop 25+ by race &amp; gender'!ET53)*100, "-")</f>
        <v>-</v>
      </c>
      <c r="DL55" s="452" t="str">
        <f>IFERROR(('Attainment 25+ by race &amp; gender'!ZW54/'Pop 25+ by race &amp; gender'!DV53)*100, "-")</f>
        <v>-</v>
      </c>
      <c r="DM55" s="452" t="str">
        <f>IFERROR(('Attainment 25+ by race &amp; gender'!AAV54/'Pop 25+ by race &amp; gender'!EU53)*100, "-")</f>
        <v>-</v>
      </c>
      <c r="DN55" s="452" t="str">
        <f>IFERROR(('Attainment 25+ by race &amp; gender'!ZX54/'Pop 25+ by race &amp; gender'!DX53)*100, "-")</f>
        <v>-</v>
      </c>
      <c r="DO55" s="452" t="str">
        <f>IFERROR(('Attainment 25+ by race &amp; gender'!AAW54/'Pop 25+ by race &amp; gender'!EW53)*100, "-")</f>
        <v>-</v>
      </c>
      <c r="DP55" s="452" t="str">
        <f>IFERROR(('Attainment 25+ by race &amp; gender'!ZZ54/'Pop 25+ by race &amp; gender'!DY53)*100, "-")</f>
        <v>-</v>
      </c>
      <c r="DQ55" s="452" t="str">
        <f>IFERROR(('Attainment 25+ by race &amp; gender'!AAY54/'Pop 25+ by race &amp; gender'!EX53)*100, "-")</f>
        <v>-</v>
      </c>
      <c r="DR55" s="452" t="str">
        <f>IFERROR(('Attainment 25+ by race &amp; gender'!AAA54/'Pop 25+ by race &amp; gender'!DZ53)*100, "-")</f>
        <v>-</v>
      </c>
      <c r="DS55" s="452" t="str">
        <f>IFERROR(('Attainment 25+ by race &amp; gender'!AAZ54/'Pop 25+ by race &amp; gender'!EY53)*100, "-")</f>
        <v>-</v>
      </c>
      <c r="DT55" s="452" t="str">
        <f>IFERROR(('Attainment 25+ by race &amp; gender'!AAB54/'Pop 25+ by race &amp; gender'!EA53)*100, "-")</f>
        <v>-</v>
      </c>
      <c r="DU55" s="452" t="str">
        <f>IFERROR(('Attainment 25+ by race &amp; gender'!ABA54/'Pop 25+ by race &amp; gender'!EZ53)*100, "-")</f>
        <v>-</v>
      </c>
      <c r="DV55" s="452" t="str">
        <f>IFERROR(('Attainment 25+ by race &amp; gender'!AAC54/'Pop 25+ by race &amp; gender'!EB53)*100, "-")</f>
        <v>-</v>
      </c>
      <c r="DW55" s="452" t="str">
        <f>IFERROR(('Attainment 25+ by race &amp; gender'!ABB54/'Pop 25+ by race &amp; gender'!FA53)*100, "-")</f>
        <v>-</v>
      </c>
      <c r="DX55" s="452" t="str">
        <f>IFERROR(('Attainment 25+ by race &amp; gender'!AAD54/'Pop 25+ by race &amp; gender'!EC53)*100, "-")</f>
        <v>-</v>
      </c>
      <c r="DY55" s="452" t="str">
        <f>IFERROR(('Attainment 25+ by race &amp; gender'!ABC54/'Pop 25+ by race &amp; gender'!FB53)*100, "-")</f>
        <v>-</v>
      </c>
    </row>
    <row r="56" spans="1:129">
      <c r="A56" s="38" t="s">
        <v>52</v>
      </c>
      <c r="B56" s="351">
        <f>('Attainment 25+ by race &amp; gender'!FS55/'Pop 25+ by race &amp; gender'!AT54)*100</f>
        <v>86.310046020532241</v>
      </c>
      <c r="C56" s="444">
        <f>('Attainment 25+ by race &amp; gender'!GR55/'Pop 25+ by race &amp; gender'!CV54)*100</f>
        <v>90.999999999999986</v>
      </c>
      <c r="D56" s="352">
        <f>('Attainment 25+ by race &amp; gender'!FT55/'Pop 25+ by race &amp; gender'!AZ54)*100</f>
        <v>73.942470389170893</v>
      </c>
      <c r="E56" s="351">
        <f>IF('Pop 25+ by race &amp; gender'!CW54&gt;0,('Attainment 25+ by race &amp; gender'!GS55/'Pop 25+ by race &amp; gender'!CW54)*100,"—")</f>
        <v>81.800000000000011</v>
      </c>
      <c r="F56" s="352">
        <f>('Attainment 25+ by race &amp; gender'!FU55/'Pop 25+ by race &amp; gender'!BC54)*100</f>
        <v>58.526527656754332</v>
      </c>
      <c r="G56" s="351">
        <f>('Attainment 25+ by race &amp; gender'!GT55/'Pop 25+ by race &amp; gender'!CY54)*100</f>
        <v>67.7</v>
      </c>
      <c r="H56" s="352">
        <f>('Attainment 25+ by race &amp; gender'!XM55/'Pop 25+ by race &amp; gender'!AT54)*100</f>
        <v>33.495097812870355</v>
      </c>
      <c r="I56" s="351">
        <f>('Attainment 25+ by race &amp; gender'!YW55/'Pop 25+ by race &amp; gender'!CV54)*100</f>
        <v>38.200000000000003</v>
      </c>
      <c r="J56" s="352">
        <f>('Attainment 25+ by race &amp; gender'!XS55/'Pop 25+ by race &amp; gender'!AZ54)*100</f>
        <v>13.744893947939632</v>
      </c>
      <c r="K56" s="351">
        <f>IF('Pop 25+ by race &amp; gender'!CW54&gt;0,('Attainment 25+ by race &amp; gender'!YX55/'Pop 25+ by race &amp; gender'!CW54)*100,"—")</f>
        <v>17.8</v>
      </c>
      <c r="L56" s="352">
        <f>('Attainment 25+ by race &amp; gender'!XV55/'Pop 25+ by race &amp; gender'!BC54)*100</f>
        <v>11.306930450043568</v>
      </c>
      <c r="M56" s="437">
        <f>('Attainment 25+ by race &amp; gender'!YY55/'Pop 25+ by race &amp; gender'!CY54)*100</f>
        <v>14.3</v>
      </c>
      <c r="N56" s="351">
        <f>('Attainment 25+ by race &amp; gender'!FS55/'Pop 25+ by race &amp; gender'!AT54)*100</f>
        <v>86.310046020532241</v>
      </c>
      <c r="O56" s="445">
        <f>('Attainment 25+ by race &amp; gender'!GW55/'Pop 25+ by race &amp; gender'!DA54)*100</f>
        <v>92.888988011053328</v>
      </c>
      <c r="P56" s="352">
        <f>('Attainment 25+ by race &amp; gender'!FT55/'Pop 25+ by race &amp; gender'!AZ54)*100</f>
        <v>73.942470389170893</v>
      </c>
      <c r="Q56" s="351">
        <f>('Attainment 25+ by race &amp; gender'!GX55/'Pop 25+ by race &amp; gender'!DB54)*100</f>
        <v>83.133527185243139</v>
      </c>
      <c r="R56" s="352">
        <f>('Attainment 25+ by race &amp; gender'!FU55/'Pop 25+ by race &amp; gender'!BC54)*100</f>
        <v>58.526527656754332</v>
      </c>
      <c r="S56" s="351">
        <f>('Attainment 25+ by race &amp; gender'!GY55/'Pop 25+ by race &amp; gender'!DD54)*100</f>
        <v>69.311002944178952</v>
      </c>
      <c r="T56" s="352">
        <f>('Attainment 25+ by race &amp; gender'!XM55/'Pop 25+ by race &amp; gender'!AT54)*100</f>
        <v>33.495097812870355</v>
      </c>
      <c r="U56" s="351">
        <f>('Attainment 25+ by race &amp; gender'!ZB55/'Pop 25+ by race &amp; gender'!DA54)*100</f>
        <v>40.33861702822081</v>
      </c>
      <c r="V56" s="352">
        <f>('Attainment 25+ by race &amp; gender'!XS55/'Pop 25+ by race &amp; gender'!AZ54)*100</f>
        <v>13.744893947939632</v>
      </c>
      <c r="W56" s="351">
        <f>('Attainment 25+ by race &amp; gender'!ZC55/'Pop 25+ by race &amp; gender'!DB54)*100</f>
        <v>18.243484631281909</v>
      </c>
      <c r="X56" s="352">
        <f>('Attainment 25+ by race &amp; gender'!XV55/'Pop 25+ by race &amp; gender'!BC54)*100</f>
        <v>11.306930450043568</v>
      </c>
      <c r="Y56" s="437">
        <f>('Attainment 25+ by race &amp; gender'!ZD55/'Pop 25+ by race &amp; gender'!DD54)*100</f>
        <v>15.455460046455888</v>
      </c>
      <c r="Z56" s="351">
        <f>('Attainment 25+ by race &amp; gender'!FS55/'Pop 25+ by race &amp; gender'!AT54)*100</f>
        <v>86.310046020532241</v>
      </c>
      <c r="AA56" s="445">
        <f>('Attainment 25+ by race &amp; gender'!HB55/'Pop 25+ by race &amp; gender'!DF54)*100</f>
        <v>93.194484032985713</v>
      </c>
      <c r="AB56" s="352">
        <f>('Attainment 25+ by race &amp; gender'!FT55/'Pop 25+ by race &amp; gender'!AZ54)*100</f>
        <v>73.942470389170893</v>
      </c>
      <c r="AC56" s="351">
        <f>('Attainment 25+ by race &amp; gender'!HC55/'Pop 25+ by race &amp; gender'!DG54)*100</f>
        <v>83.906816557857965</v>
      </c>
      <c r="AD56" s="352">
        <f>('Attainment 25+ by race &amp; gender'!FU55/'Pop 25+ by race &amp; gender'!BC54)*100</f>
        <v>58.526527656754332</v>
      </c>
      <c r="AE56" s="351">
        <f>('Attainment 25+ by race &amp; gender'!HD55/'Pop 25+ by race &amp; gender'!DI54)*100</f>
        <v>69.89412196835427</v>
      </c>
      <c r="AF56" s="352">
        <f>('Attainment 25+ by race &amp; gender'!XM55/'Pop 25+ by race &amp; gender'!AT54)*100</f>
        <v>33.495097812870355</v>
      </c>
      <c r="AG56" s="351">
        <f>('Attainment 25+ by race &amp; gender'!ZG55/'Pop 25+ by race &amp; gender'!DF54)*100</f>
        <v>40.947493035146984</v>
      </c>
      <c r="AH56" s="352">
        <f>('Attainment 25+ by race &amp; gender'!XS55/'Pop 25+ by race &amp; gender'!AZ54)*100</f>
        <v>13.744893947939632</v>
      </c>
      <c r="AI56" s="351">
        <f>('Attainment 25+ by race &amp; gender'!ZH55/'Pop 25+ by race &amp; gender'!DG54)*100</f>
        <v>19.042779348390503</v>
      </c>
      <c r="AJ56" s="352">
        <f>('Attainment 25+ by race &amp; gender'!XV55/'Pop 25+ by race &amp; gender'!BC54)*100</f>
        <v>11.306930450043568</v>
      </c>
      <c r="AK56" s="453">
        <f>('Attainment 25+ by race &amp; gender'!ZI55/'Pop 25+ by race &amp; gender'!DI54)*100</f>
        <v>15.628867008776215</v>
      </c>
      <c r="AL56" s="352">
        <f>('Attainment 25+ by race &amp; gender'!FS55/'Pop 25+ by race &amp; gender'!AT54)*100</f>
        <v>86.310046020532241</v>
      </c>
      <c r="AM56" s="453">
        <f>('Attainment 25+ by race &amp; gender'!HL55/'Pop 25+ by race &amp; gender'!DP54)*100</f>
        <v>93.985981709553599</v>
      </c>
      <c r="AN56" s="352">
        <v>73.942470389170893</v>
      </c>
      <c r="AO56" s="453">
        <f>('Attainment 25+ by race &amp; gender'!HM55/'Pop 25+ by race &amp; gender'!DQ54)*100</f>
        <v>86.382498740931595</v>
      </c>
      <c r="AP56" s="453">
        <f>('Attainment 25+ by race &amp; gender'!FU55/'Pop 25+ by race &amp; gender'!BC54)*100</f>
        <v>58.526527656754332</v>
      </c>
      <c r="AQ56" s="453">
        <f>('Attainment 25+ by race &amp; gender'!HN55/'Pop 25+ by race &amp; gender'!DS54)*100</f>
        <v>70.930827362779127</v>
      </c>
      <c r="AR56" s="453">
        <f>('Attainment 25+ by race &amp; gender'!XM55/'Pop 25+ by race &amp; gender'!AT54)*100</f>
        <v>33.495097812870355</v>
      </c>
      <c r="AS56" s="453">
        <f>('Attainment 25+ by race &amp; gender'!ZQ55/'Pop 25+ by race &amp; gender'!DP54)*100</f>
        <v>42.868498535627126</v>
      </c>
      <c r="AT56" s="453">
        <f>('Attainment 25+ by race &amp; gender'!XS55/'Pop 25+ by race &amp; gender'!AZ54)*100</f>
        <v>13.744893947939632</v>
      </c>
      <c r="AU56" s="453">
        <f>('Attainment 25+ by race &amp; gender'!ZR55/'Pop 25+ by race &amp; gender'!DQ54)*100</f>
        <v>22.170842056631024</v>
      </c>
      <c r="AV56" s="453">
        <f>('Attainment 25+ by race &amp; gender'!XV55/'Pop 25+ by race &amp; gender'!BC54)*100</f>
        <v>11.306930450043568</v>
      </c>
      <c r="AW56" s="453">
        <f>('Attainment 25+ by race &amp; gender'!ZS55/'Pop 25+ by race &amp; gender'!DS54)*100</f>
        <v>16.063713078811315</v>
      </c>
      <c r="AX56" s="352">
        <f>('Attainment 25+ by race &amp; gender'!GR55/'Pop 25+ by race &amp; gender'!CV54)*100</f>
        <v>90.999999999999986</v>
      </c>
      <c r="AY56" s="453">
        <f>('Attainment 25+ by race &amp; gender'!HQ55/'Pop 25+ by race &amp; gender'!DU54)*100</f>
        <v>94.217715573935052</v>
      </c>
      <c r="AZ56" s="352">
        <f>('Attainment 25+ by race &amp; gender'!GS55/'Pop 25+ by race &amp; gender'!CW54)*100</f>
        <v>81.800000000000011</v>
      </c>
      <c r="BA56" s="453">
        <f>('Attainment 25+ by race &amp; gender'!HR55/'Pop 25+ by race &amp; gender'!DV54)*100</f>
        <v>86.169100997785463</v>
      </c>
      <c r="BB56" s="453">
        <f>('Attainment 25+ by race &amp; gender'!GT55/'Pop 25+ by race &amp; gender'!CY54)*100</f>
        <v>67.7</v>
      </c>
      <c r="BC56" s="453">
        <f>('Attainment 25+ by race &amp; gender'!HS55/'Pop 25+ by race &amp; gender'!DX54)*100</f>
        <v>72.322934898680018</v>
      </c>
      <c r="BD56" s="453">
        <f>('Attainment 25+ by race &amp; gender'!YW55/'Pop 25+ by race &amp; gender'!CV54)*100</f>
        <v>38.200000000000003</v>
      </c>
      <c r="BE56" s="453">
        <f>('Attainment 25+ by race &amp; gender'!ZV55/'Pop 25+ by race &amp; gender'!DU54)*100</f>
        <v>43.300300116233885</v>
      </c>
      <c r="BF56" s="453">
        <f>('Attainment 25+ by race &amp; gender'!YX55/'Pop 25+ by race &amp; gender'!CW54)*100</f>
        <v>17.8</v>
      </c>
      <c r="BG56" s="453">
        <f>('Attainment 25+ by race &amp; gender'!ZW55/'Pop 25+ by race &amp; gender'!DV54)*100</f>
        <v>19.523169689881975</v>
      </c>
      <c r="BH56" s="453">
        <f>('Attainment 25+ by race &amp; gender'!YY55/'Pop 25+ by race &amp; gender'!CY54)*100</f>
        <v>14.3</v>
      </c>
      <c r="BI56" s="453">
        <f>('Attainment 25+ by race &amp; gender'!ZX55/'Pop 25+ by race &amp; gender'!DX54)*100</f>
        <v>17.901125356215367</v>
      </c>
      <c r="BJ56" s="352">
        <f>('Attainment 25+ by race &amp; gender'!GW55/'Pop 25+ by race &amp; gender'!DA54)*100</f>
        <v>92.888988011053328</v>
      </c>
      <c r="BK56" s="453">
        <f>('Attainment 25+ by race &amp; gender'!IA55/'Pop 25+ by race &amp; gender'!EE54)*100</f>
        <v>94.394542687157909</v>
      </c>
      <c r="BL56" s="352">
        <f>('Attainment 25+ by race &amp; gender'!GX55/'Pop 25+ by race &amp; gender'!DB54)*100</f>
        <v>83.133527185243139</v>
      </c>
      <c r="BM56" s="453">
        <f>('Attainment 25+ by race &amp; gender'!IB55/'Pop 25+ by race &amp; gender'!EF54)*100</f>
        <v>86.680739601890494</v>
      </c>
      <c r="BN56" s="453">
        <f>('Attainment 25+ by race &amp; gender'!GY55/'Pop 25+ by race &amp; gender'!DD54)*100</f>
        <v>69.311002944178952</v>
      </c>
      <c r="BO56" s="453">
        <f>('Attainment 25+ by race &amp; gender'!IC55/'Pop 25+ by race &amp; gender'!EH54)*100</f>
        <v>71.57543257932511</v>
      </c>
      <c r="BP56" s="453">
        <f>('Attainment 25+ by race &amp; gender'!ZB55/'Pop 25+ by race &amp; gender'!DA54)*100</f>
        <v>40.33861702822081</v>
      </c>
      <c r="BQ56" s="453">
        <f>('Attainment 25+ by race &amp; gender'!AAF55/'Pop 25+ by race &amp; gender'!EE54)*100</f>
        <v>43.863174534044461</v>
      </c>
      <c r="BR56" s="453">
        <f>('Attainment 25+ by race &amp; gender'!ZC55/'Pop 25+ by race &amp; gender'!DB54)*100</f>
        <v>18.243484631281909</v>
      </c>
      <c r="BS56" s="453">
        <f>('Attainment 25+ by race &amp; gender'!AAG55/'Pop 25+ by race &amp; gender'!EF54)*100</f>
        <v>19.8774109053046</v>
      </c>
      <c r="BT56" s="453">
        <f>('Attainment 25+ by race &amp; gender'!ZD55/'Pop 25+ by race &amp; gender'!DD54)*100</f>
        <v>15.455460046455888</v>
      </c>
      <c r="BU56" s="453">
        <f>('Attainment 25+ by race &amp; gender'!AAH55/'Pop 25+ by race &amp; gender'!EH54)*100</f>
        <v>16.024413775999371</v>
      </c>
      <c r="BV56" s="352">
        <f>('Attainment 25+ by race &amp; gender'!HN55/'Pop 25+ by race &amp; gender'!DR54)*100</f>
        <v>84.270414481630411</v>
      </c>
      <c r="BW56" s="453" t="e">
        <f>('Attainment 25+ by race &amp; gender'!JB55/'Pop 25+ by race &amp; gender'!EQ54)*100</f>
        <v>#VALUE!</v>
      </c>
      <c r="BX56" s="352">
        <f>('Attainment 25+ by race &amp; gender'!HO55/'Pop 25+ by race &amp; gender'!DS54)*100</f>
        <v>65.935508363065466</v>
      </c>
      <c r="BY56" s="453" t="e">
        <f>('Attainment 25+ by race &amp; gender'!JC55/'Pop 25+ by race &amp; gender'!ER54)*100</f>
        <v>#VALUE!</v>
      </c>
      <c r="BZ56" s="453">
        <f>('Attainment 25+ by race &amp; gender'!HP55/'Pop 25+ by race &amp; gender'!DU54)*100</f>
        <v>125.61368624498191</v>
      </c>
      <c r="CA56" s="453">
        <f>('Attainment 25+ by race &amp; gender'!JD55/'Pop 25+ by race &amp; gender'!ET54)*100</f>
        <v>29.020416909139662</v>
      </c>
      <c r="CB56" s="453">
        <f>('Attainment 25+ by race &amp; gender'!ZS55/'Pop 25+ by race &amp; gender'!DR54)*100</f>
        <v>19.084730992095647</v>
      </c>
      <c r="CC56" s="453">
        <f>('Attainment 25+ by race &amp; gender'!ABB55/'Pop 25+ by race &amp; gender'!EQ54)*100</f>
        <v>23.612960645623239</v>
      </c>
      <c r="CD56" s="453">
        <f>('Attainment 25+ by race &amp; gender'!ZT55/'Pop 25+ by race &amp; gender'!DS54)*100</f>
        <v>29.194642747988457</v>
      </c>
      <c r="CE56" s="453">
        <f>('Attainment 25+ by race &amp; gender'!ABC55/'Pop 25+ by race &amp; gender'!ER54)*100</f>
        <v>8.1446766151978345</v>
      </c>
      <c r="CF56" s="453">
        <f>('Attainment 25+ by race &amp; gender'!ZU55/'Pop 25+ by race &amp; gender'!DU54)*100</f>
        <v>53.62324137903888</v>
      </c>
      <c r="CG56" s="453">
        <f>('Attainment 25+ by race &amp; gender'!ABD55/'Pop 25+ by race &amp; gender'!ET54)*100</f>
        <v>17.81184173704726</v>
      </c>
      <c r="CH56" s="352">
        <f>('Attainment 25+ by race &amp; gender'!HG55/'Pop 25+ by race &amp; gender'!DK54)*100</f>
        <v>93.69945448601031</v>
      </c>
      <c r="CI56" s="452">
        <f>('Attainment 25+ by race &amp; gender'!IK55/'Pop 25+ by race &amp; gender'!EO54)*100</f>
        <v>94.640414671385741</v>
      </c>
      <c r="CJ56" s="352">
        <f>('Attainment 25+ by race &amp; gender'!HH55/'Pop 25+ by race &amp; gender'!DL54)*100</f>
        <v>85.693299459048404</v>
      </c>
      <c r="CK56" s="453">
        <f>('Attainment 25+ by race &amp; gender'!IL55/'Pop 25+ by race &amp; gender'!EP54)*100</f>
        <v>86.34900518593966</v>
      </c>
      <c r="CL56" s="453">
        <f>('Attainment 25+ by race &amp; gender'!HI55/'Pop 25+ by race &amp; gender'!DN54)*100</f>
        <v>71.582503000502015</v>
      </c>
      <c r="CM56" s="453">
        <f>('Attainment 25+ by race &amp; gender'!IM55/'Pop 25+ by race &amp; gender'!ER54)*100</f>
        <v>73.912868358895139</v>
      </c>
      <c r="CN56" s="453">
        <f>('Attainment 25+ by race &amp; gender'!ZL55/'Pop 25+ by race &amp; gender'!DK54)*100</f>
        <v>42.251029373447224</v>
      </c>
      <c r="CO56" s="453">
        <f>('Attainment 25+ by race &amp; gender'!AAP55/'Pop 25+ by race &amp; gender'!EO54)*100</f>
        <v>44.899870315082289</v>
      </c>
      <c r="CP56" s="453">
        <f>('Attainment 25+ by race &amp; gender'!ZM55/'Pop 25+ by race &amp; gender'!DL54)*100</f>
        <v>21.301481135825512</v>
      </c>
      <c r="CQ56" s="453">
        <f>('Attainment 25+ by race &amp; gender'!AAQ55/'Pop 25+ by race &amp; gender'!EP54)*100</f>
        <v>21.73468515048555</v>
      </c>
      <c r="CR56" s="453">
        <f>('Attainment 25+ by race &amp; gender'!ZN55/'Pop 25+ by race &amp; gender'!DN54)*100</f>
        <v>16.680796454586861</v>
      </c>
      <c r="CS56" s="453">
        <f>('Attainment 25+ by race &amp; gender'!AAR55/'Pop 25+ by race &amp; gender'!ER54)*100</f>
        <v>17.82392423235488</v>
      </c>
      <c r="CT56" s="350">
        <f>IFERROR(('Attainment 25+ by race &amp; gender'!HQ55/'Pop 25+ by race &amp; gender'!DU54)*100,"-")</f>
        <v>94.217715573935052</v>
      </c>
      <c r="CU56" s="452">
        <f>IFERROR(('Attainment 25+ by race &amp; gender'!IP55/'Pop 25+ by race &amp; gender'!ET54)*100,"-")</f>
        <v>94.934822088245724</v>
      </c>
      <c r="CV56" s="350">
        <f>IFERROR(('Attainment 25+ by race &amp; gender'!HR55/'Pop 25+ by race &amp; gender'!DV54)*100,"-")</f>
        <v>86.169100997785463</v>
      </c>
      <c r="CW56" s="452">
        <f>IFERROR(('Attainment 25+ by race &amp; gender'!IQ55/'Pop 25+ by race &amp; gender'!EU54)*100, "-")</f>
        <v>88.643001305948005</v>
      </c>
      <c r="CX56" s="452">
        <f>IFERROR(('Attainment 25+ by race &amp; gender'!HS55/'Pop 25+ by race &amp; gender'!DX54)*100, "-")</f>
        <v>72.322934898680018</v>
      </c>
      <c r="CY56" s="452">
        <f>IFERROR(('Attainment 25+ by race &amp; gender'!IR55/'Pop 25+ by race &amp; gender'!EW54)*100, "-")</f>
        <v>74.786643377534247</v>
      </c>
      <c r="CZ56" s="452">
        <f>IFERROR(('Attainment 25+ by race &amp; gender'!HU55/'Pop 25+ by race &amp; gender'!DY54)*100, "-")</f>
        <v>90.459500093967307</v>
      </c>
      <c r="DA56" s="452">
        <f>IFERROR(('Attainment 25+ by race &amp; gender'!IT55/'Pop 25+ by race &amp; gender'!EX54)*100, "-")</f>
        <v>90.373237395352007</v>
      </c>
      <c r="DB56" s="452" t="str">
        <f>IFERROR(('Attainment 25+ by race &amp; gender'!HV55/'Pop 25+ by race &amp; gender'!DZ54)*100, "-")</f>
        <v>-</v>
      </c>
      <c r="DC56" s="452" t="str">
        <f>IFERROR(('Attainment 25+ by race &amp; gender'!IU55/'Pop 25+ by race &amp; gender'!EY54)*100, "-")</f>
        <v>-</v>
      </c>
      <c r="DD56" s="452">
        <f>IFERROR(('Attainment 25+ by race &amp; gender'!HW55/'Pop 25+ by race &amp; gender'!EA54)*100, "-")</f>
        <v>82.399472643375077</v>
      </c>
      <c r="DE56" s="452">
        <f>IFERROR(('Attainment 25+ by race &amp; gender'!IV55/'Pop 25+ by race &amp; gender'!EZ54)*100, "-")</f>
        <v>74.267589388696649</v>
      </c>
      <c r="DF56" s="452">
        <f>IFERROR(('Attainment 25+ by race &amp; gender'!HX55/'Pop 25+ by race &amp; gender'!EB54)*100, "-")</f>
        <v>88.809037264941566</v>
      </c>
      <c r="DG56" s="452">
        <f>IFERROR(('Attainment 25+ by race &amp; gender'!IW55/'Pop 25+ by race &amp; gender'!FA54)*100, "-")</f>
        <v>84.016108751659687</v>
      </c>
      <c r="DH56" s="452">
        <f>IFERROR(('Attainment 25+ by race &amp; gender'!HY55/'Pop 25+ by race &amp; gender'!EC54)*100, "-")</f>
        <v>65.476098166169123</v>
      </c>
      <c r="DI56" s="452">
        <f>IFERROR(('Attainment 25+ by race &amp; gender'!IX55/'Pop 25+ by race &amp; gender'!FB54)*100, "-")</f>
        <v>70.544648813494717</v>
      </c>
      <c r="DJ56" s="452">
        <f>IFERROR(('Attainment 25+ by race &amp; gender'!ZV55/'Pop 25+ by race &amp; gender'!DU54)*100, "-")</f>
        <v>43.300300116233885</v>
      </c>
      <c r="DK56" s="452">
        <f>IFERROR(('Attainment 25+ by race &amp; gender'!AAU55/'Pop 25+ by race &amp; gender'!ET54)*100, "-")</f>
        <v>47.314960417869273</v>
      </c>
      <c r="DL56" s="452">
        <f>IFERROR(('Attainment 25+ by race &amp; gender'!ZW55/'Pop 25+ by race &amp; gender'!DV54)*100, "-")</f>
        <v>19.523169689881975</v>
      </c>
      <c r="DM56" s="452">
        <f>IFERROR(('Attainment 25+ by race &amp; gender'!AAV55/'Pop 25+ by race &amp; gender'!EU54)*100, "-")</f>
        <v>26.002216154181014</v>
      </c>
      <c r="DN56" s="452">
        <f>IFERROR(('Attainment 25+ by race &amp; gender'!ZX55/'Pop 25+ by race &amp; gender'!DX54)*100, "-")</f>
        <v>17.901125356215367</v>
      </c>
      <c r="DO56" s="452">
        <f>IFERROR(('Attainment 25+ by race &amp; gender'!AAW55/'Pop 25+ by race &amp; gender'!EW54)*100, "-")</f>
        <v>20.864676325017964</v>
      </c>
      <c r="DP56" s="452">
        <f>IFERROR(('Attainment 25+ by race &amp; gender'!ZZ55/'Pop 25+ by race &amp; gender'!DY54)*100, "-")</f>
        <v>65.590114640105242</v>
      </c>
      <c r="DQ56" s="452">
        <f>IFERROR(('Attainment 25+ by race &amp; gender'!AAY55/'Pop 25+ by race &amp; gender'!EX54)*100, "-")</f>
        <v>66.23216082115637</v>
      </c>
      <c r="DR56" s="452" t="str">
        <f>IFERROR(('Attainment 25+ by race &amp; gender'!AAA55/'Pop 25+ by race &amp; gender'!DZ54)*100, "-")</f>
        <v>-</v>
      </c>
      <c r="DS56" s="452" t="str">
        <f>IFERROR(('Attainment 25+ by race &amp; gender'!AAZ55/'Pop 25+ by race &amp; gender'!EY54)*100, "-")</f>
        <v>-</v>
      </c>
      <c r="DT56" s="452">
        <f>IFERROR(('Attainment 25+ by race &amp; gender'!AAB55/'Pop 25+ by race &amp; gender'!EA54)*100, "-")</f>
        <v>17.106130520764669</v>
      </c>
      <c r="DU56" s="452">
        <f>IFERROR(('Attainment 25+ by race &amp; gender'!ABA55/'Pop 25+ by race &amp; gender'!EZ54)*100, "-")</f>
        <v>28.327566320645904</v>
      </c>
      <c r="DV56" s="452">
        <f>IFERROR(('Attainment 25+ by race &amp; gender'!AAC55/'Pop 25+ by race &amp; gender'!EB54)*100, "-")</f>
        <v>31.267650908088996</v>
      </c>
      <c r="DW56" s="452">
        <f>IFERROR(('Attainment 25+ by race &amp; gender'!ABB55/'Pop 25+ by race &amp; gender'!FA54)*100, "-")</f>
        <v>31.02737256764005</v>
      </c>
      <c r="DX56" s="452">
        <f>IFERROR(('Attainment 25+ by race &amp; gender'!AAD55/'Pop 25+ by race &amp; gender'!EC54)*100, "-")</f>
        <v>12.519869732097854</v>
      </c>
      <c r="DY56" s="452">
        <f>IFERROR(('Attainment 25+ by race &amp; gender'!ABC55/'Pop 25+ by race &amp; gender'!FB54)*100, "-")</f>
        <v>16.862432097588869</v>
      </c>
    </row>
    <row r="57" spans="1:129">
      <c r="A57" s="38" t="s">
        <v>53</v>
      </c>
      <c r="B57" s="351">
        <f>('Attainment 25+ by race &amp; gender'!FS56/'Pop 25+ by race &amp; gender'!AT55)*100</f>
        <v>85.532547825339989</v>
      </c>
      <c r="C57" s="444">
        <f>('Attainment 25+ by race &amp; gender'!GR56/'Pop 25+ by race &amp; gender'!CV55)*100</f>
        <v>90.90000000000002</v>
      </c>
      <c r="D57" s="352">
        <f>('Attainment 25+ by race &amp; gender'!FT56/'Pop 25+ by race &amp; gender'!AZ55)*100</f>
        <v>84.663428174878547</v>
      </c>
      <c r="E57" s="351" t="str">
        <f>IF('Pop 25+ by race &amp; gender'!CW55&gt;0,('Attainment 25+ by race &amp; gender'!GS56/'Pop 25+ by race &amp; gender'!CW55)*100,"—")</f>
        <v>—</v>
      </c>
      <c r="F57" s="352">
        <f>('Attainment 25+ by race &amp; gender'!FU56/'Pop 25+ by race &amp; gender'!BC55)*100</f>
        <v>79.240674955595026</v>
      </c>
      <c r="G57" s="351" t="str">
        <f>IF('Pop 25+ by race &amp; gender'!CY55&gt;0,('Attainment 25+ by race &amp; gender'!GT56/'Pop 25+ by race &amp; gender'!CY55)*100,"—")</f>
        <v>—</v>
      </c>
      <c r="H57" s="352">
        <f>('Attainment 25+ by race &amp; gender'!XM56/'Pop 25+ by race &amp; gender'!AT55)*100</f>
        <v>22.923685384161889</v>
      </c>
      <c r="I57" s="351">
        <f>('Attainment 25+ by race &amp; gender'!YW56/'Pop 25+ by race &amp; gender'!CV55)*100</f>
        <v>27.800000000000004</v>
      </c>
      <c r="J57" s="352">
        <f>('Attainment 25+ by race &amp; gender'!XS56/'Pop 25+ by race &amp; gender'!AZ55)*100</f>
        <v>22.484385843164471</v>
      </c>
      <c r="K57" s="351" t="str">
        <f>IF('Pop 25+ by race &amp; gender'!CW55&gt;0,('Attainment 25+ by race &amp; gender'!YX56/'Pop 25+ by race &amp; gender'!CW55)*100,"—")</f>
        <v>—</v>
      </c>
      <c r="L57" s="352">
        <f>('Attainment 25+ by race &amp; gender'!XV56/'Pop 25+ by race &amp; gender'!BC55)*100</f>
        <v>21.625222024866787</v>
      </c>
      <c r="M57" s="437" t="str">
        <f>IF('Pop 25+ by race &amp; gender'!CY55&gt;0,('Attainment 25+ by race &amp; gender'!YY56/'Pop 25+ by race &amp; gender'!CY55)*100,"—")</f>
        <v>—</v>
      </c>
      <c r="N57" s="351">
        <f>('Attainment 25+ by race &amp; gender'!FS56/'Pop 25+ by race &amp; gender'!AT55)*100</f>
        <v>85.532547825339989</v>
      </c>
      <c r="O57" s="445">
        <f>('Attainment 25+ by race &amp; gender'!GW56/'Pop 25+ by race &amp; gender'!DA55)*100</f>
        <v>91.327247268681248</v>
      </c>
      <c r="P57" s="352">
        <f>('Attainment 25+ by race &amp; gender'!FT56/'Pop 25+ by race &amp; gender'!AZ55)*100</f>
        <v>84.663428174878547</v>
      </c>
      <c r="Q57" s="351">
        <f>('Attainment 25+ by race &amp; gender'!GX56/'Pop 25+ by race &amp; gender'!DB55)*100</f>
        <v>75.939849624060145</v>
      </c>
      <c r="R57" s="352">
        <f>('Attainment 25+ by race &amp; gender'!FU56/'Pop 25+ by race &amp; gender'!BC55)*100</f>
        <v>79.240674955595026</v>
      </c>
      <c r="S57" s="351">
        <f>('Attainment 25+ by race &amp; gender'!GY56/'Pop 25+ by race &amp; gender'!DD55)*100</f>
        <v>85.573122529644266</v>
      </c>
      <c r="T57" s="352">
        <f>('Attainment 25+ by race &amp; gender'!XM56/'Pop 25+ by race &amp; gender'!AT55)*100</f>
        <v>22.923685384161889</v>
      </c>
      <c r="U57" s="351">
        <f>('Attainment 25+ by race &amp; gender'!ZB56/'Pop 25+ by race &amp; gender'!DA55)*100</f>
        <v>27.972707826867904</v>
      </c>
      <c r="V57" s="352">
        <f>('Attainment 25+ by race &amp; gender'!XS56/'Pop 25+ by race &amp; gender'!AZ55)*100</f>
        <v>22.484385843164471</v>
      </c>
      <c r="W57" s="351">
        <f>('Attainment 25+ by race &amp; gender'!ZC56/'Pop 25+ by race &amp; gender'!DB55)*100</f>
        <v>17.032376860518646</v>
      </c>
      <c r="X57" s="352">
        <f>('Attainment 25+ by race &amp; gender'!XV56/'Pop 25+ by race &amp; gender'!BC55)*100</f>
        <v>21.625222024866787</v>
      </c>
      <c r="Y57" s="437">
        <f>('Attainment 25+ by race &amp; gender'!ZD56/'Pop 25+ by race &amp; gender'!DD55)*100</f>
        <v>25.831202046035806</v>
      </c>
      <c r="Z57" s="351">
        <f>('Attainment 25+ by race &amp; gender'!FS56/'Pop 25+ by race &amp; gender'!AT55)*100</f>
        <v>85.532547825339989</v>
      </c>
      <c r="AA57" s="445">
        <f>('Attainment 25+ by race &amp; gender'!HB56/'Pop 25+ by race &amp; gender'!DF55)*100</f>
        <v>91.87447831439664</v>
      </c>
      <c r="AB57" s="352">
        <f>('Attainment 25+ by race &amp; gender'!FT56/'Pop 25+ by race &amp; gender'!AZ55)*100</f>
        <v>84.663428174878547</v>
      </c>
      <c r="AC57" s="351">
        <f>('Attainment 25+ by race &amp; gender'!HC56/'Pop 25+ by race &amp; gender'!DG55)*100</f>
        <v>77.639567599585362</v>
      </c>
      <c r="AD57" s="352">
        <f>('Attainment 25+ by race &amp; gender'!FU56/'Pop 25+ by race &amp; gender'!BC55)*100</f>
        <v>79.240674955595026</v>
      </c>
      <c r="AE57" s="351">
        <f>('Attainment 25+ by race &amp; gender'!HD56/'Pop 25+ by race &amp; gender'!DI55)*100</f>
        <v>81.802407547988281</v>
      </c>
      <c r="AF57" s="352">
        <f>('Attainment 25+ by race &amp; gender'!XM56/'Pop 25+ by race &amp; gender'!AT55)*100</f>
        <v>22.923685384161889</v>
      </c>
      <c r="AG57" s="351">
        <f>('Attainment 25+ by race &amp; gender'!ZG56/'Pop 25+ by race &amp; gender'!DF55)*100</f>
        <v>28.334328068942888</v>
      </c>
      <c r="AH57" s="352">
        <f>('Attainment 25+ by race &amp; gender'!XS56/'Pop 25+ by race &amp; gender'!AZ55)*100</f>
        <v>22.484385843164471</v>
      </c>
      <c r="AI57" s="351">
        <f>('Attainment 25+ by race &amp; gender'!ZH56/'Pop 25+ by race &amp; gender'!DG55)*100</f>
        <v>20.035539760106619</v>
      </c>
      <c r="AJ57" s="352">
        <f>('Attainment 25+ by race &amp; gender'!XV56/'Pop 25+ by race &amp; gender'!BC55)*100</f>
        <v>21.625222024866787</v>
      </c>
      <c r="AK57" s="453">
        <f>('Attainment 25+ by race &amp; gender'!ZI56/'Pop 25+ by race &amp; gender'!DI55)*100</f>
        <v>26.374579763583128</v>
      </c>
      <c r="AL57" s="352">
        <f>('Attainment 25+ by race &amp; gender'!FS56/'Pop 25+ by race &amp; gender'!AT55)*100</f>
        <v>85.532547825339989</v>
      </c>
      <c r="AM57" s="453">
        <f>('Attainment 25+ by race &amp; gender'!HL56/'Pop 25+ by race &amp; gender'!DP55)*100</f>
        <v>92.05911779869102</v>
      </c>
      <c r="AN57" s="352">
        <v>84.663428174878547</v>
      </c>
      <c r="AO57" s="453">
        <f>('Attainment 25+ by race &amp; gender'!HM56/'Pop 25+ by race &amp; gender'!DQ55)*100</f>
        <v>83.646692817530095</v>
      </c>
      <c r="AP57" s="453">
        <f>('Attainment 25+ by race &amp; gender'!FU56/'Pop 25+ by race &amp; gender'!BC55)*100</f>
        <v>79.240674955595026</v>
      </c>
      <c r="AQ57" s="453">
        <f>('Attainment 25+ by race &amp; gender'!HN56/'Pop 25+ by race &amp; gender'!DS55)*100</f>
        <v>92.364295616935053</v>
      </c>
      <c r="AR57" s="453">
        <f>('Attainment 25+ by race &amp; gender'!XM56/'Pop 25+ by race &amp; gender'!AT55)*100</f>
        <v>22.923685384161889</v>
      </c>
      <c r="AS57" s="453">
        <f>('Attainment 25+ by race &amp; gender'!ZQ56/'Pop 25+ by race &amp; gender'!DP55)*100</f>
        <v>30.087665259828206</v>
      </c>
      <c r="AT57" s="453">
        <f>('Attainment 25+ by race &amp; gender'!XS56/'Pop 25+ by race &amp; gender'!AZ55)*100</f>
        <v>22.484385843164471</v>
      </c>
      <c r="AU57" s="453">
        <f>('Attainment 25+ by race &amp; gender'!ZR56/'Pop 25+ by race &amp; gender'!DQ55)*100</f>
        <v>26.389828215879884</v>
      </c>
      <c r="AV57" s="453">
        <f>('Attainment 25+ by race &amp; gender'!XV56/'Pop 25+ by race &amp; gender'!BC55)*100</f>
        <v>21.625222024866787</v>
      </c>
      <c r="AW57" s="453">
        <f>('Attainment 25+ by race &amp; gender'!ZS56/'Pop 25+ by race &amp; gender'!DS55)*100</f>
        <v>43.670683587501337</v>
      </c>
      <c r="AX57" s="352">
        <f>('Attainment 25+ by race &amp; gender'!GR56/'Pop 25+ by race &amp; gender'!CV55)*100</f>
        <v>90.90000000000002</v>
      </c>
      <c r="AY57" s="453">
        <f>('Attainment 25+ by race &amp; gender'!HQ56/'Pop 25+ by race &amp; gender'!DU55)*100</f>
        <v>92.6415701695623</v>
      </c>
      <c r="AZ57" s="352" t="str">
        <f>IF('Pop 25+ by race &amp; gender'!CW55&gt;0,('Attainment 25+ by race &amp; gender'!GS56/'Pop 25+ by race &amp; gender'!CW55)*100,"—")</f>
        <v>—</v>
      </c>
      <c r="BA57" s="453">
        <f>('Attainment 25+ by race &amp; gender'!HR56/'Pop 25+ by race &amp; gender'!DV55)*100</f>
        <v>79.517926356589157</v>
      </c>
      <c r="BB57" s="453" t="str">
        <f>IF('Pop 25+ by race &amp; gender'!CY55&gt;0,('Attainment 25+ by race &amp; gender'!GT56/'Pop 25+ by race &amp; gender'!CY55)*100,"—")</f>
        <v>—</v>
      </c>
      <c r="BC57" s="453">
        <f>('Attainment 25+ by race &amp; gender'!HS56/'Pop 25+ by race &amp; gender'!DX55)*100</f>
        <v>88.905507654407884</v>
      </c>
      <c r="BD57" s="453">
        <f>('Attainment 25+ by race &amp; gender'!YW56/'Pop 25+ by race &amp; gender'!CV55)*100</f>
        <v>27.800000000000004</v>
      </c>
      <c r="BE57" s="453">
        <f>('Attainment 25+ by race &amp; gender'!ZV56/'Pop 25+ by race &amp; gender'!DU55)*100</f>
        <v>30.283379588143688</v>
      </c>
      <c r="BF57" s="453" t="str">
        <f>IF('Pop 25+ by race &amp; gender'!CW55&gt;0, ('Attainment 25+ by race &amp; gender'!YX56/'Pop 25+ by race &amp; gender'!CW55)*100,"—")</f>
        <v>—</v>
      </c>
      <c r="BG57" s="453">
        <f>('Attainment 25+ by race &amp; gender'!ZW56/'Pop 25+ by race &amp; gender'!DV55)*100</f>
        <v>19.379844961240313</v>
      </c>
      <c r="BH57" s="453" t="str">
        <f>IF('Pop 25+ by race &amp; gender'!CY55&gt;0,('Attainment 25+ by race &amp; gender'!YY56/'Pop 25+ by race &amp; gender'!CY55)*100,"—")</f>
        <v>—</v>
      </c>
      <c r="BI57" s="453">
        <f>('Attainment 25+ by race &amp; gender'!ZX56/'Pop 25+ by race &amp; gender'!DX55)*100</f>
        <v>27.705437269048041</v>
      </c>
      <c r="BJ57" s="352">
        <f>('Attainment 25+ by race &amp; gender'!GW56/'Pop 25+ by race &amp; gender'!DA55)*100</f>
        <v>91.327247268681248</v>
      </c>
      <c r="BK57" s="453">
        <f>('Attainment 25+ by race &amp; gender'!IA56/'Pop 25+ by race &amp; gender'!EE55)*100</f>
        <v>92.667760180873159</v>
      </c>
      <c r="BL57" s="352">
        <f>IF('Pop 25+ by race &amp; gender'!DB55&gt;0,('Attainment 25+ by race &amp; gender'!GX56/'Pop 25+ by race &amp; gender'!DB55)*100,"—")</f>
        <v>75.939849624060145</v>
      </c>
      <c r="BM57" s="453">
        <f>('Attainment 25+ by race &amp; gender'!IB56/'Pop 25+ by race &amp; gender'!EF55)*100</f>
        <v>81.161217587373173</v>
      </c>
      <c r="BN57" s="453">
        <f>IF('Pop 25+ by race &amp; gender'!DD55&gt;0,('Attainment 25+ by race &amp; gender'!GY56/'Pop 25+ by race &amp; gender'!DD55)*100,"—")</f>
        <v>85.573122529644266</v>
      </c>
      <c r="BO57" s="453">
        <f>('Attainment 25+ by race &amp; gender'!IC56/'Pop 25+ by race &amp; gender'!EH55)*100</f>
        <v>87.627022958223549</v>
      </c>
      <c r="BP57" s="453">
        <f>('Attainment 25+ by race &amp; gender'!ZB56/'Pop 25+ by race &amp; gender'!DA55)*100</f>
        <v>27.972707826867904</v>
      </c>
      <c r="BQ57" s="453">
        <f>('Attainment 25+ by race &amp; gender'!AAF56/'Pop 25+ by race &amp; gender'!EE55)*100</f>
        <v>32.186080508451667</v>
      </c>
      <c r="BR57" s="453">
        <f>IF('Pop 25+ by race &amp; gender'!DB55&gt;0, ('Attainment 25+ by race &amp; gender'!ZC56/'Pop 25+ by race &amp; gender'!DB55)*100,"—")</f>
        <v>17.032376860518646</v>
      </c>
      <c r="BS57" s="453">
        <f>('Attainment 25+ by race &amp; gender'!AAG56/'Pop 25+ by race &amp; gender'!EF55)*100</f>
        <v>23.799323562570464</v>
      </c>
      <c r="BT57" s="453">
        <f>IF('Pop 25+ by race &amp; gender'!DD55&gt;0,('Attainment 25+ by race &amp; gender'!ZD56/'Pop 25+ by race &amp; gender'!DD55)*100,"—")</f>
        <v>25.831202046035806</v>
      </c>
      <c r="BU57" s="453">
        <f>('Attainment 25+ by race &amp; gender'!AAH56/'Pop 25+ by race &amp; gender'!EH55)*100</f>
        <v>31.454648099360185</v>
      </c>
      <c r="BV57" s="352">
        <f>('Attainment 25+ by race &amp; gender'!HN56/'Pop 25+ by race &amp; gender'!DR55)*100</f>
        <v>28.92882193794048</v>
      </c>
      <c r="BW57" s="453" t="e">
        <f>('Attainment 25+ by race &amp; gender'!JB56/'Pop 25+ by race &amp; gender'!EQ55)*100</f>
        <v>#VALUE!</v>
      </c>
      <c r="BX57" s="352">
        <f>IF('Pop 25+ by race &amp; gender'!DS55&gt;0,('Attainment 25+ by race &amp; gender'!HO56/'Pop 25+ by race &amp; gender'!DS55)*100,"—")</f>
        <v>265.1487682627706</v>
      </c>
      <c r="BY57" s="453" t="e">
        <f>('Attainment 25+ by race &amp; gender'!JC56/'Pop 25+ by race &amp; gender'!ER55)*100</f>
        <v>#VALUE!</v>
      </c>
      <c r="BZ57" s="453">
        <f>IF('Pop 25+ by race &amp; gender'!DU55&gt;0,('Attainment 25+ by race &amp; gender'!HP56/'Pop 25+ by race &amp; gender'!DU55)*100,"—")</f>
        <v>97.051473338959312</v>
      </c>
      <c r="CA57" s="453">
        <f>('Attainment 25+ by race &amp; gender'!JD56/'Pop 25+ by race &amp; gender'!ET55)*100</f>
        <v>19.63166257868426</v>
      </c>
      <c r="CB57" s="453">
        <f>('Attainment 25+ by race &amp; gender'!ZS56/'Pop 25+ by race &amp; gender'!DR55)*100</f>
        <v>13.677811550151976</v>
      </c>
      <c r="CC57" s="453">
        <f>('Attainment 25+ by race &amp; gender'!ABB56/'Pop 25+ by race &amp; gender'!EQ55)*100</f>
        <v>44.630872483221481</v>
      </c>
      <c r="CD57" s="453">
        <f>IF('Pop 25+ by race &amp; gender'!DS55&gt;0, ('Attainment 25+ by race &amp; gender'!ZT56/'Pop 25+ by race &amp; gender'!DS55)*100,"—")</f>
        <v>90.604671003519243</v>
      </c>
      <c r="CE57" s="453">
        <f>('Attainment 25+ by race &amp; gender'!ABC56/'Pop 25+ by race &amp; gender'!ER55)*100</f>
        <v>0</v>
      </c>
      <c r="CF57" s="453">
        <f>IF('Pop 25+ by race &amp; gender'!DU55&gt;0,('Attainment 25+ by race &amp; gender'!ZU56/'Pop 25+ by race &amp; gender'!DU55)*100,"—")</f>
        <v>31.661127689376471</v>
      </c>
      <c r="CG57" s="453">
        <f>('Attainment 25+ by race &amp; gender'!ABD56/'Pop 25+ by race &amp; gender'!ET55)*100</f>
        <v>7.4097232742106858</v>
      </c>
      <c r="CH57" s="352">
        <f>('Attainment 25+ by race &amp; gender'!HG56/'Pop 25+ by race &amp; gender'!DK55)*100</f>
        <v>92.10233483235163</v>
      </c>
      <c r="CI57" s="452">
        <f>('Attainment 25+ by race &amp; gender'!IK56/'Pop 25+ by race &amp; gender'!EO55)*100</f>
        <v>93.523590343561978</v>
      </c>
      <c r="CJ57" s="352">
        <f>IF('Pop 25+ by race &amp; gender'!DL55&gt;0,('Attainment 25+ by race &amp; gender'!HH56/'Pop 25+ by race &amp; gender'!DL55)*100,"—")</f>
        <v>82.415254237288138</v>
      </c>
      <c r="CK57" s="453">
        <f>('Attainment 25+ by race &amp; gender'!IL56/'Pop 25+ by race &amp; gender'!EP55)*100</f>
        <v>87.503151525338268</v>
      </c>
      <c r="CL57" s="453">
        <f>IF('Pop 25+ by race &amp; gender'!DN55&gt;0,('Attainment 25+ by race &amp; gender'!HI56/'Pop 25+ by race &amp; gender'!DN55)*100,"—")</f>
        <v>88.910806174957116</v>
      </c>
      <c r="CM57" s="453">
        <f>('Attainment 25+ by race &amp; gender'!IM56/'Pop 25+ by race &amp; gender'!ER55)*100</f>
        <v>89.93372606774669</v>
      </c>
      <c r="CN57" s="453">
        <f>('Attainment 25+ by race &amp; gender'!ZL56/'Pop 25+ by race &amp; gender'!DK55)*100</f>
        <v>29.439828616865384</v>
      </c>
      <c r="CO57" s="453">
        <f>('Attainment 25+ by race &amp; gender'!AAP56/'Pop 25+ by race &amp; gender'!EO55)*100</f>
        <v>33.028405943410554</v>
      </c>
      <c r="CP57" s="453">
        <f>IF('Pop 25+ by race &amp; gender'!DL55&gt;0, ('Attainment 25+ by race &amp; gender'!ZM56/'Pop 25+ by race &amp; gender'!DL55)*100,"—")</f>
        <v>22.974046610169491</v>
      </c>
      <c r="CQ57" s="453">
        <f>('Attainment 25+ by race &amp; gender'!AAQ56/'Pop 25+ by race &amp; gender'!EP55)*100</f>
        <v>38.078830153794435</v>
      </c>
      <c r="CR57" s="453">
        <f>IF('Pop 25+ by race &amp; gender'!DN55&gt;0,('Attainment 25+ by race &amp; gender'!ZN56/'Pop 25+ by race &amp; gender'!DN55)*100,"—")</f>
        <v>29.751286449399654</v>
      </c>
      <c r="CS57" s="453">
        <f>('Attainment 25+ by race &amp; gender'!AAR56/'Pop 25+ by race &amp; gender'!ER55)*100</f>
        <v>37.842415316642118</v>
      </c>
      <c r="CT57" s="350">
        <f>IFERROR(('Attainment 25+ by race &amp; gender'!HQ56/'Pop 25+ by race &amp; gender'!DU55)*100,"-")</f>
        <v>92.6415701695623</v>
      </c>
      <c r="CU57" s="452">
        <f>IFERROR(('Attainment 25+ by race &amp; gender'!IP56/'Pop 25+ by race &amp; gender'!ET55)*100,"-")</f>
        <v>94.675094034339054</v>
      </c>
      <c r="CV57" s="350">
        <f>IFERROR(('Attainment 25+ by race &amp; gender'!HR56/'Pop 25+ by race &amp; gender'!DV55)*100,"-")</f>
        <v>79.517926356589157</v>
      </c>
      <c r="CW57" s="452">
        <f>IFERROR(('Attainment 25+ by race &amp; gender'!IQ56/'Pop 25+ by race &amp; gender'!EU55)*100, "-")</f>
        <v>90.36999999999999</v>
      </c>
      <c r="CX57" s="452">
        <f>IFERROR(('Attainment 25+ by race &amp; gender'!HS56/'Pop 25+ by race &amp; gender'!DX55)*100, "-")</f>
        <v>88.905507654407884</v>
      </c>
      <c r="CY57" s="452">
        <f>IFERROR(('Attainment 25+ by race &amp; gender'!IR56/'Pop 25+ by race &amp; gender'!EW55)*100, "-")</f>
        <v>91.749808135072911</v>
      </c>
      <c r="CZ57" s="452">
        <f>IFERROR(('Attainment 25+ by race &amp; gender'!HU56/'Pop 25+ by race &amp; gender'!DY55)*100, "-")</f>
        <v>86.951199608291176</v>
      </c>
      <c r="DA57" s="452">
        <f>IFERROR(('Attainment 25+ by race &amp; gender'!IT56/'Pop 25+ by race &amp; gender'!EX55)*100, "-")</f>
        <v>92.504820051413887</v>
      </c>
      <c r="DB57" s="452" t="str">
        <f>IFERROR(('Attainment 25+ by race &amp; gender'!HV56/'Pop 25+ by race &amp; gender'!DZ55)*100, "-")</f>
        <v>-</v>
      </c>
      <c r="DC57" s="452" t="str">
        <f>IFERROR(('Attainment 25+ by race &amp; gender'!IU56/'Pop 25+ by race &amp; gender'!EY55)*100, "-")</f>
        <v>-</v>
      </c>
      <c r="DD57" s="452">
        <f>IFERROR(('Attainment 25+ by race &amp; gender'!HW56/'Pop 25+ by race &amp; gender'!EA55)*100, "-")</f>
        <v>88.222529098441498</v>
      </c>
      <c r="DE57" s="452" t="str">
        <f>IFERROR(('Attainment 25+ by race &amp; gender'!IV56/'Pop 25+ by race &amp; gender'!EZ55)*100, "-")</f>
        <v>-</v>
      </c>
      <c r="DF57" s="452">
        <f>IFERROR(('Attainment 25+ by race &amp; gender'!HX56/'Pop 25+ by race &amp; gender'!EB55)*100, "-")</f>
        <v>88.04312581063553</v>
      </c>
      <c r="DG57" s="452">
        <f>IFERROR(('Attainment 25+ by race &amp; gender'!IW56/'Pop 25+ by race &amp; gender'!FA55)*100, "-")</f>
        <v>94.029140905356911</v>
      </c>
      <c r="DH57" s="452" t="str">
        <f>IFERROR(('Attainment 25+ by race &amp; gender'!HY56/'Pop 25+ by race &amp; gender'!EC55)*100, "-")</f>
        <v>-</v>
      </c>
      <c r="DI57" s="452">
        <f>IFERROR(('Attainment 25+ by race &amp; gender'!IX56/'Pop 25+ by race &amp; gender'!FB55)*100, "-")</f>
        <v>0</v>
      </c>
      <c r="DJ57" s="452">
        <f>IFERROR(('Attainment 25+ by race &amp; gender'!ZV56/'Pop 25+ by race &amp; gender'!DU55)*100, "-")</f>
        <v>30.283379588143688</v>
      </c>
      <c r="DK57" s="452">
        <f>IFERROR(('Attainment 25+ by race &amp; gender'!AAU56/'Pop 25+ by race &amp; gender'!ET55)*100, "-")</f>
        <v>36.048913971875116</v>
      </c>
      <c r="DL57" s="452">
        <f>IFERROR(('Attainment 25+ by race &amp; gender'!ZW56/'Pop 25+ by race &amp; gender'!DV55)*100, "-")</f>
        <v>19.379844961240313</v>
      </c>
      <c r="DM57" s="452">
        <f>IFERROR(('Attainment 25+ by race &amp; gender'!AAV56/'Pop 25+ by race &amp; gender'!EU55)*100, "-")</f>
        <v>36.270000000000003</v>
      </c>
      <c r="DN57" s="452">
        <f>IFERROR(('Attainment 25+ by race &amp; gender'!ZX56/'Pop 25+ by race &amp; gender'!DX55)*100, "-")</f>
        <v>27.705437269048041</v>
      </c>
      <c r="DO57" s="452">
        <f>IFERROR(('Attainment 25+ by race &amp; gender'!AAW56/'Pop 25+ by race &amp; gender'!EW55)*100, "-")</f>
        <v>35.469429521616782</v>
      </c>
      <c r="DP57" s="452">
        <f>IFERROR(('Attainment 25+ by race &amp; gender'!ZZ56/'Pop 25+ by race &amp; gender'!DY55)*100, "-")</f>
        <v>42.133181002121759</v>
      </c>
      <c r="DQ57" s="452">
        <f>IFERROR(('Attainment 25+ by race &amp; gender'!AAY56/'Pop 25+ by race &amp; gender'!EX55)*100, "-")</f>
        <v>49.373393316195376</v>
      </c>
      <c r="DR57" s="452" t="str">
        <f>IFERROR(('Attainment 25+ by race &amp; gender'!AAA56/'Pop 25+ by race &amp; gender'!DZ55)*100, "-")</f>
        <v>-</v>
      </c>
      <c r="DS57" s="452" t="str">
        <f>IFERROR(('Attainment 25+ by race &amp; gender'!AAZ56/'Pop 25+ by race &amp; gender'!EY55)*100, "-")</f>
        <v>-</v>
      </c>
      <c r="DT57" s="452">
        <f>IFERROR(('Attainment 25+ by race &amp; gender'!AAB56/'Pop 25+ by race &amp; gender'!EA55)*100, "-")</f>
        <v>8.7985796014993092</v>
      </c>
      <c r="DU57" s="452" t="str">
        <f>IFERROR(('Attainment 25+ by race &amp; gender'!ABA56/'Pop 25+ by race &amp; gender'!EZ55)*100, "-")</f>
        <v>-</v>
      </c>
      <c r="DV57" s="452">
        <f>IFERROR(('Attainment 25+ by race &amp; gender'!AAC56/'Pop 25+ by race &amp; gender'!EB55)*100, "-")</f>
        <v>21.619649805447473</v>
      </c>
      <c r="DW57" s="452">
        <f>IFERROR(('Attainment 25+ by race &amp; gender'!ABB56/'Pop 25+ by race &amp; gender'!FA55)*100, "-")</f>
        <v>30.764408318561117</v>
      </c>
      <c r="DX57" s="452" t="str">
        <f>IFERROR(('Attainment 25+ by race &amp; gender'!AAD56/'Pop 25+ by race &amp; gender'!EC55)*100, "-")</f>
        <v>-</v>
      </c>
      <c r="DY57" s="452">
        <f>IFERROR(('Attainment 25+ by race &amp; gender'!ABC56/'Pop 25+ by race &amp; gender'!FB55)*100, "-")</f>
        <v>0</v>
      </c>
    </row>
    <row r="58" spans="1:129">
      <c r="A58" s="38" t="s">
        <v>54</v>
      </c>
      <c r="B58" s="351">
        <f>('Attainment 25+ by race &amp; gender'!FS57/'Pop 25+ by race &amp; gender'!AT56)*100</f>
        <v>86.790828204228717</v>
      </c>
      <c r="C58" s="444">
        <f>('Attainment 25+ by race &amp; gender'!GR57/'Pop 25+ by race &amp; gender'!CV56)*100</f>
        <v>91.3</v>
      </c>
      <c r="D58" s="352">
        <f>('Attainment 25+ by race &amp; gender'!FT57/'Pop 25+ by race &amp; gender'!AZ56)*100</f>
        <v>76.334846296678364</v>
      </c>
      <c r="E58" s="351">
        <f>IF('Pop 25+ by race &amp; gender'!CW56&gt;0,('Attainment 25+ by race &amp; gender'!GS57/'Pop 25+ by race &amp; gender'!CW56)*100,"—")</f>
        <v>82.300000000000011</v>
      </c>
      <c r="F58" s="352">
        <f>('Attainment 25+ by race &amp; gender'!FU57/'Pop 25+ by race &amp; gender'!BC56)*100</f>
        <v>57.257984327280475</v>
      </c>
      <c r="G58" s="351">
        <f>('Attainment 25+ by race &amp; gender'!GT57/'Pop 25+ by race &amp; gender'!CY56)*100</f>
        <v>65.900000000000006</v>
      </c>
      <c r="H58" s="352">
        <f>('Attainment 25+ by race &amp; gender'!XM57/'Pop 25+ by race &amp; gender'!AT56)*100</f>
        <v>34.25236025462263</v>
      </c>
      <c r="I58" s="351">
        <f>('Attainment 25+ by race &amp; gender'!YW57/'Pop 25+ by race &amp; gender'!CV56)*100</f>
        <v>40.199999999999996</v>
      </c>
      <c r="J58" s="352">
        <f>('Attainment 25+ by race &amp; gender'!XS57/'Pop 25+ by race &amp; gender'!AZ56)*100</f>
        <v>19.728182380854136</v>
      </c>
      <c r="K58" s="351">
        <f>IF('Pop 25+ by race &amp; gender'!CW56&gt;0,('Attainment 25+ by race &amp; gender'!YX57/'Pop 25+ by race &amp; gender'!CW56)*100,"—")</f>
        <v>22.4</v>
      </c>
      <c r="L58" s="352">
        <f>('Attainment 25+ by race &amp; gender'!XV57/'Pop 25+ by race &amp; gender'!BC56)*100</f>
        <v>14.084140249532423</v>
      </c>
      <c r="M58" s="437">
        <f>('Attainment 25+ by race &amp; gender'!YY57/'Pop 25+ by race &amp; gender'!CY56)*100</f>
        <v>16.7</v>
      </c>
      <c r="N58" s="351">
        <f>('Attainment 25+ by race &amp; gender'!FS57/'Pop 25+ by race &amp; gender'!AT56)*100</f>
        <v>86.790828204228717</v>
      </c>
      <c r="O58" s="445">
        <f>('Attainment 25+ by race &amp; gender'!GW57/'Pop 25+ by race &amp; gender'!DA56)*100</f>
        <v>92.495746430506856</v>
      </c>
      <c r="P58" s="352">
        <f>('Attainment 25+ by race &amp; gender'!FT57/'Pop 25+ by race &amp; gender'!AZ56)*100</f>
        <v>76.334846296678364</v>
      </c>
      <c r="Q58" s="351">
        <f>('Attainment 25+ by race &amp; gender'!GX57/'Pop 25+ by race &amp; gender'!DB56)*100</f>
        <v>82.115242732772614</v>
      </c>
      <c r="R58" s="352">
        <f>('Attainment 25+ by race &amp; gender'!FU57/'Pop 25+ by race &amp; gender'!BC56)*100</f>
        <v>57.257984327280475</v>
      </c>
      <c r="S58" s="351">
        <f>('Attainment 25+ by race &amp; gender'!GY57/'Pop 25+ by race &amp; gender'!DD56)*100</f>
        <v>66.784349018847493</v>
      </c>
      <c r="T58" s="352">
        <f>('Attainment 25+ by race &amp; gender'!XM57/'Pop 25+ by race &amp; gender'!AT56)*100</f>
        <v>34.25236025462263</v>
      </c>
      <c r="U58" s="351">
        <f>('Attainment 25+ by race &amp; gender'!ZB57/'Pop 25+ by race &amp; gender'!DA56)*100</f>
        <v>41.597990111911443</v>
      </c>
      <c r="V58" s="352">
        <f>('Attainment 25+ by race &amp; gender'!XS57/'Pop 25+ by race &amp; gender'!AZ56)*100</f>
        <v>19.728182380854136</v>
      </c>
      <c r="W58" s="351">
        <f>('Attainment 25+ by race &amp; gender'!ZC57/'Pop 25+ by race &amp; gender'!DB56)*100</f>
        <v>22.440976833407113</v>
      </c>
      <c r="X58" s="352">
        <f>('Attainment 25+ by race &amp; gender'!XV57/'Pop 25+ by race &amp; gender'!BC56)*100</f>
        <v>14.084140249532423</v>
      </c>
      <c r="Y58" s="437">
        <f>('Attainment 25+ by race &amp; gender'!ZD57/'Pop 25+ by race &amp; gender'!DD56)*100</f>
        <v>16.810538165254961</v>
      </c>
      <c r="Z58" s="351">
        <f>('Attainment 25+ by race &amp; gender'!FS57/'Pop 25+ by race &amp; gender'!AT56)*100</f>
        <v>86.790828204228717</v>
      </c>
      <c r="AA58" s="445">
        <f>('Attainment 25+ by race &amp; gender'!HB57/'Pop 25+ by race &amp; gender'!DF56)*100</f>
        <v>92.78162543110993</v>
      </c>
      <c r="AB58" s="352">
        <f>('Attainment 25+ by race &amp; gender'!FT57/'Pop 25+ by race &amp; gender'!AZ56)*100</f>
        <v>76.334846296678364</v>
      </c>
      <c r="AC58" s="351">
        <f>('Attainment 25+ by race &amp; gender'!HC57/'Pop 25+ by race &amp; gender'!DG56)*100</f>
        <v>81.667807926046393</v>
      </c>
      <c r="AD58" s="352">
        <f>('Attainment 25+ by race &amp; gender'!FU57/'Pop 25+ by race &amp; gender'!BC56)*100</f>
        <v>57.257984327280475</v>
      </c>
      <c r="AE58" s="351">
        <f>('Attainment 25+ by race &amp; gender'!HD57/'Pop 25+ by race &amp; gender'!DI56)*100</f>
        <v>67.79802648634039</v>
      </c>
      <c r="AF58" s="352">
        <f>('Attainment 25+ by race &amp; gender'!XM57/'Pop 25+ by race &amp; gender'!AT56)*100</f>
        <v>34.25236025462263</v>
      </c>
      <c r="AG58" s="351">
        <f>('Attainment 25+ by race &amp; gender'!ZG57/'Pop 25+ by race &amp; gender'!DF56)*100</f>
        <v>42.035745958530782</v>
      </c>
      <c r="AH58" s="352">
        <f>('Attainment 25+ by race &amp; gender'!XS57/'Pop 25+ by race &amp; gender'!AZ56)*100</f>
        <v>19.728182380854136</v>
      </c>
      <c r="AI58" s="351">
        <f>('Attainment 25+ by race &amp; gender'!ZH57/'Pop 25+ by race &amp; gender'!DG56)*100</f>
        <v>23.179334645781623</v>
      </c>
      <c r="AJ58" s="352">
        <f>('Attainment 25+ by race &amp; gender'!XV57/'Pop 25+ by race &amp; gender'!BC56)*100</f>
        <v>14.084140249532423</v>
      </c>
      <c r="AK58" s="453">
        <f>('Attainment 25+ by race &amp; gender'!ZI57/'Pop 25+ by race &amp; gender'!DI56)*100</f>
        <v>17.272932857513197</v>
      </c>
      <c r="AL58" s="352">
        <f>('Attainment 25+ by race &amp; gender'!FS57/'Pop 25+ by race &amp; gender'!AT56)*100</f>
        <v>86.790828204228717</v>
      </c>
      <c r="AM58" s="453">
        <f>('Attainment 25+ by race &amp; gender'!HL57/'Pop 25+ by race &amp; gender'!DP56)*100</f>
        <v>93.628987370290361</v>
      </c>
      <c r="AN58" s="352">
        <v>76.334846296678364</v>
      </c>
      <c r="AO58" s="453">
        <f>('Attainment 25+ by race &amp; gender'!HM57/'Pop 25+ by race &amp; gender'!DQ56)*100</f>
        <v>84.087884762950083</v>
      </c>
      <c r="AP58" s="453">
        <f>('Attainment 25+ by race &amp; gender'!FU57/'Pop 25+ by race &amp; gender'!BC56)*100</f>
        <v>57.257984327280475</v>
      </c>
      <c r="AQ58" s="453">
        <f>('Attainment 25+ by race &amp; gender'!HN57/'Pop 25+ by race &amp; gender'!DS56)*100</f>
        <v>68.924761971217592</v>
      </c>
      <c r="AR58" s="453">
        <f>('Attainment 25+ by race &amp; gender'!XM57/'Pop 25+ by race &amp; gender'!AT56)*100</f>
        <v>34.25236025462263</v>
      </c>
      <c r="AS58" s="453">
        <f>('Attainment 25+ by race &amp; gender'!ZQ57/'Pop 25+ by race &amp; gender'!DP56)*100</f>
        <v>44.482067049224504</v>
      </c>
      <c r="AT58" s="453">
        <f>('Attainment 25+ by race &amp; gender'!XS57/'Pop 25+ by race &amp; gender'!AZ56)*100</f>
        <v>19.728182380854136</v>
      </c>
      <c r="AU58" s="453">
        <f>('Attainment 25+ by race &amp; gender'!ZR57/'Pop 25+ by race &amp; gender'!DQ56)*100</f>
        <v>22.919843682716063</v>
      </c>
      <c r="AV58" s="453">
        <f>('Attainment 25+ by race &amp; gender'!XV57/'Pop 25+ by race &amp; gender'!BC56)*100</f>
        <v>14.084140249532423</v>
      </c>
      <c r="AW58" s="453">
        <f>('Attainment 25+ by race &amp; gender'!ZS57/'Pop 25+ by race &amp; gender'!DS56)*100</f>
        <v>17.745626213603913</v>
      </c>
      <c r="AX58" s="352">
        <f>('Attainment 25+ by race &amp; gender'!GR57/'Pop 25+ by race &amp; gender'!CV56)*100</f>
        <v>91.3</v>
      </c>
      <c r="AY58" s="453">
        <f>('Attainment 25+ by race &amp; gender'!HQ57/'Pop 25+ by race &amp; gender'!DU56)*100</f>
        <v>93.897231554202108</v>
      </c>
      <c r="AZ58" s="352">
        <f>('Attainment 25+ by race &amp; gender'!GS57/'Pop 25+ by race &amp; gender'!CW56)*100</f>
        <v>82.300000000000011</v>
      </c>
      <c r="BA58" s="453">
        <f>('Attainment 25+ by race &amp; gender'!HR57/'Pop 25+ by race &amp; gender'!DV56)*100</f>
        <v>85.040570678392356</v>
      </c>
      <c r="BB58" s="453">
        <f>('Attainment 25+ by race &amp; gender'!GT57/'Pop 25+ by race &amp; gender'!CY56)*100</f>
        <v>65.900000000000006</v>
      </c>
      <c r="BC58" s="453">
        <f>('Attainment 25+ by race &amp; gender'!HS57/'Pop 25+ by race &amp; gender'!DX56)*100</f>
        <v>69.271909340340486</v>
      </c>
      <c r="BD58" s="453">
        <f>('Attainment 25+ by race &amp; gender'!YW57/'Pop 25+ by race &amp; gender'!CV56)*100</f>
        <v>40.199999999999996</v>
      </c>
      <c r="BE58" s="453">
        <f>('Attainment 25+ by race &amp; gender'!ZV57/'Pop 25+ by race &amp; gender'!DU56)*100</f>
        <v>46.036880649588937</v>
      </c>
      <c r="BF58" s="453">
        <f>('Attainment 25+ by race &amp; gender'!YX57/'Pop 25+ by race &amp; gender'!CW56)*100</f>
        <v>22.4</v>
      </c>
      <c r="BG58" s="453">
        <f>('Attainment 25+ by race &amp; gender'!ZW57/'Pop 25+ by race &amp; gender'!DV56)*100</f>
        <v>24.980782310235199</v>
      </c>
      <c r="BH58" s="453">
        <f>('Attainment 25+ by race &amp; gender'!YY57/'Pop 25+ by race &amp; gender'!CY56)*100</f>
        <v>16.7</v>
      </c>
      <c r="BI58" s="453">
        <f>('Attainment 25+ by race &amp; gender'!ZX57/'Pop 25+ by race &amp; gender'!DX56)*100</f>
        <v>17.956907877938153</v>
      </c>
      <c r="BJ58" s="352">
        <f>('Attainment 25+ by race &amp; gender'!GW57/'Pop 25+ by race &amp; gender'!DA56)*100</f>
        <v>92.495746430506856</v>
      </c>
      <c r="BK58" s="453">
        <f>('Attainment 25+ by race &amp; gender'!IA57/'Pop 25+ by race &amp; gender'!EE56)*100</f>
        <v>94.026374247513743</v>
      </c>
      <c r="BL58" s="352">
        <f>('Attainment 25+ by race &amp; gender'!GX57/'Pop 25+ by race &amp; gender'!DB56)*100</f>
        <v>82.115242732772614</v>
      </c>
      <c r="BM58" s="453">
        <f>('Attainment 25+ by race &amp; gender'!IB57/'Pop 25+ by race &amp; gender'!EF56)*100</f>
        <v>85.334004500769865</v>
      </c>
      <c r="BN58" s="453">
        <f>('Attainment 25+ by race &amp; gender'!GY57/'Pop 25+ by race &amp; gender'!DD56)*100</f>
        <v>66.784349018847493</v>
      </c>
      <c r="BO58" s="453">
        <f>('Attainment 25+ by race &amp; gender'!IC57/'Pop 25+ by race &amp; gender'!EH56)*100</f>
        <v>72.541618273325597</v>
      </c>
      <c r="BP58" s="453">
        <f>('Attainment 25+ by race &amp; gender'!ZB57/'Pop 25+ by race &amp; gender'!DA56)*100</f>
        <v>41.597990111911443</v>
      </c>
      <c r="BQ58" s="453">
        <f>('Attainment 25+ by race &amp; gender'!AAF57/'Pop 25+ by race &amp; gender'!EE56)*100</f>
        <v>46.697826628604396</v>
      </c>
      <c r="BR58" s="453">
        <f>('Attainment 25+ by race &amp; gender'!ZC57/'Pop 25+ by race &amp; gender'!DB56)*100</f>
        <v>22.440976833407113</v>
      </c>
      <c r="BS58" s="453">
        <f>('Attainment 25+ by race &amp; gender'!AAG57/'Pop 25+ by race &amp; gender'!EF56)*100</f>
        <v>25.890382565438824</v>
      </c>
      <c r="BT58" s="453">
        <f>('Attainment 25+ by race &amp; gender'!ZD57/'Pop 25+ by race &amp; gender'!DD56)*100</f>
        <v>16.810538165254961</v>
      </c>
      <c r="BU58" s="453">
        <f>('Attainment 25+ by race &amp; gender'!AAH57/'Pop 25+ by race &amp; gender'!EH56)*100</f>
        <v>18.294442684686587</v>
      </c>
      <c r="BV58" s="352">
        <f>('Attainment 25+ by race &amp; gender'!HN57/'Pop 25+ by race &amp; gender'!DR56)*100</f>
        <v>52.158807848621244</v>
      </c>
      <c r="BW58" s="453" t="e">
        <f>('Attainment 25+ by race &amp; gender'!JB57/'Pop 25+ by race &amp; gender'!EQ56)*100</f>
        <v>#VALUE!</v>
      </c>
      <c r="BX58" s="352">
        <f>('Attainment 25+ by race &amp; gender'!HO57/'Pop 25+ by race &amp; gender'!DS56)*100</f>
        <v>103.11717248033571</v>
      </c>
      <c r="BY58" s="453" t="e">
        <f>('Attainment 25+ by race &amp; gender'!JC57/'Pop 25+ by race &amp; gender'!ER56)*100</f>
        <v>#VALUE!</v>
      </c>
      <c r="BZ58" s="453">
        <f>('Attainment 25+ by race &amp; gender'!HP57/'Pop 25+ by race &amp; gender'!DU56)*100</f>
        <v>118.46363049627288</v>
      </c>
      <c r="CA58" s="453">
        <f>('Attainment 25+ by race &amp; gender'!JD57/'Pop 25+ by race &amp; gender'!ET56)*100</f>
        <v>25.8296028639583</v>
      </c>
      <c r="CB58" s="453">
        <f>('Attainment 25+ by race &amp; gender'!ZS57/'Pop 25+ by race &amp; gender'!DR56)*100</f>
        <v>13.429001150781511</v>
      </c>
      <c r="CC58" s="453">
        <f>('Attainment 25+ by race &amp; gender'!ABB57/'Pop 25+ by race &amp; gender'!EQ56)*100</f>
        <v>21.44977080503644</v>
      </c>
      <c r="CD58" s="453">
        <f>('Attainment 25+ by race &amp; gender'!ZT57/'Pop 25+ by race &amp; gender'!DS56)*100</f>
        <v>52.940681085945421</v>
      </c>
      <c r="CE58" s="453">
        <f>('Attainment 25+ by race &amp; gender'!ABC57/'Pop 25+ by race &amp; gender'!ER56)*100</f>
        <v>11.176540712970271</v>
      </c>
      <c r="CF58" s="453">
        <f>('Attainment 25+ by race &amp; gender'!ZU57/'Pop 25+ by race &amp; gender'!DU56)*100</f>
        <v>55.98761167546381</v>
      </c>
      <c r="CG58" s="453">
        <f>('Attainment 25+ by race &amp; gender'!ABD57/'Pop 25+ by race &amp; gender'!ET56)*100</f>
        <v>16.531622117683177</v>
      </c>
      <c r="CH58" s="352">
        <f>('Attainment 25+ by race &amp; gender'!HG57/'Pop 25+ by race &amp; gender'!DK56)*100</f>
        <v>93.187239302695886</v>
      </c>
      <c r="CI58" s="452">
        <f>('Attainment 25+ by race &amp; gender'!IK57/'Pop 25+ by race &amp; gender'!EO56)*100</f>
        <v>94.789458850447687</v>
      </c>
      <c r="CJ58" s="352">
        <f>('Attainment 25+ by race &amp; gender'!HH57/'Pop 25+ by race &amp; gender'!DL56)*100</f>
        <v>83.783409031725682</v>
      </c>
      <c r="CK58" s="453">
        <f>('Attainment 25+ by race &amp; gender'!IL57/'Pop 25+ by race &amp; gender'!EP56)*100</f>
        <v>85.694909072257772</v>
      </c>
      <c r="CL58" s="453">
        <f>('Attainment 25+ by race &amp; gender'!HI57/'Pop 25+ by race &amp; gender'!DN56)*100</f>
        <v>66.686706206868678</v>
      </c>
      <c r="CM58" s="453">
        <f>('Attainment 25+ by race &amp; gender'!IM57/'Pop 25+ by race &amp; gender'!ER56)*100</f>
        <v>73.204214351486456</v>
      </c>
      <c r="CN58" s="453">
        <f>('Attainment 25+ by race &amp; gender'!ZL57/'Pop 25+ by race &amp; gender'!DK56)*100</f>
        <v>44.10503462802928</v>
      </c>
      <c r="CO58" s="453">
        <f>('Attainment 25+ by race &amp; gender'!AAP57/'Pop 25+ by race &amp; gender'!EO56)*100</f>
        <v>48.204669683157405</v>
      </c>
      <c r="CP58" s="453">
        <f>('Attainment 25+ by race &amp; gender'!ZM57/'Pop 25+ by race &amp; gender'!DL56)*100</f>
        <v>23.297969840137171</v>
      </c>
      <c r="CQ58" s="453">
        <f>('Attainment 25+ by race &amp; gender'!AAQ57/'Pop 25+ by race &amp; gender'!EP56)*100</f>
        <v>27.954510483333237</v>
      </c>
      <c r="CR58" s="453">
        <f>('Attainment 25+ by race &amp; gender'!ZN57/'Pop 25+ by race &amp; gender'!DN56)*100</f>
        <v>17.290418405391478</v>
      </c>
      <c r="CS58" s="453">
        <f>('Attainment 25+ by race &amp; gender'!AAR57/'Pop 25+ by race &amp; gender'!ER56)*100</f>
        <v>20.807435543278086</v>
      </c>
      <c r="CT58" s="350">
        <f>IFERROR(('Attainment 25+ by race &amp; gender'!HQ57/'Pop 25+ by race &amp; gender'!DU56)*100,"-")</f>
        <v>93.897231554202108</v>
      </c>
      <c r="CU58" s="452">
        <f>IFERROR(('Attainment 25+ by race &amp; gender'!IP57/'Pop 25+ by race &amp; gender'!ET56)*100,"-")</f>
        <v>94.98818625697632</v>
      </c>
      <c r="CV58" s="350">
        <f>IFERROR(('Attainment 25+ by race &amp; gender'!HR57/'Pop 25+ by race &amp; gender'!DV56)*100,"-")</f>
        <v>85.040570678392356</v>
      </c>
      <c r="CW58" s="452">
        <f>IFERROR(('Attainment 25+ by race &amp; gender'!IQ57/'Pop 25+ by race &amp; gender'!EU56)*100, "-")</f>
        <v>87.443529055906637</v>
      </c>
      <c r="CX58" s="452">
        <f>IFERROR(('Attainment 25+ by race &amp; gender'!HS57/'Pop 25+ by race &amp; gender'!DX56)*100, "-")</f>
        <v>69.271909340340486</v>
      </c>
      <c r="CY58" s="452">
        <f>IFERROR(('Attainment 25+ by race &amp; gender'!IR57/'Pop 25+ by race &amp; gender'!EW56)*100, "-")</f>
        <v>72.447058642734191</v>
      </c>
      <c r="CZ58" s="452">
        <f>IFERROR(('Attainment 25+ by race &amp; gender'!HU57/'Pop 25+ by race &amp; gender'!DY56)*100, "-")</f>
        <v>85.084105674628375</v>
      </c>
      <c r="DA58" s="452">
        <f>IFERROR(('Attainment 25+ by race &amp; gender'!IT57/'Pop 25+ by race &amp; gender'!EX56)*100, "-")</f>
        <v>85.604306535626819</v>
      </c>
      <c r="DB58" s="452" t="str">
        <f>IFERROR(('Attainment 25+ by race &amp; gender'!HV57/'Pop 25+ by race &amp; gender'!DZ56)*100, "-")</f>
        <v>-</v>
      </c>
      <c r="DC58" s="452" t="str">
        <f>IFERROR(('Attainment 25+ by race &amp; gender'!IU57/'Pop 25+ by race &amp; gender'!EY56)*100, "-")</f>
        <v>-</v>
      </c>
      <c r="DD58" s="452">
        <f>IFERROR(('Attainment 25+ by race &amp; gender'!HW57/'Pop 25+ by race &amp; gender'!EA56)*100, "-")</f>
        <v>81.65517241379311</v>
      </c>
      <c r="DE58" s="452">
        <f>IFERROR(('Attainment 25+ by race &amp; gender'!IV57/'Pop 25+ by race &amp; gender'!EZ56)*100, "-")</f>
        <v>76.533431571191741</v>
      </c>
      <c r="DF58" s="452">
        <f>IFERROR(('Attainment 25+ by race &amp; gender'!HX57/'Pop 25+ by race &amp; gender'!EB56)*100, "-")</f>
        <v>78.450662237553772</v>
      </c>
      <c r="DG58" s="452">
        <f>IFERROR(('Attainment 25+ by race &amp; gender'!IW57/'Pop 25+ by race &amp; gender'!FA56)*100, "-")</f>
        <v>79.701562190099523</v>
      </c>
      <c r="DH58" s="452">
        <f>IFERROR(('Attainment 25+ by race &amp; gender'!HY57/'Pop 25+ by race &amp; gender'!EC56)*100, "-")</f>
        <v>68.85992027743923</v>
      </c>
      <c r="DI58" s="452">
        <f>IFERROR(('Attainment 25+ by race &amp; gender'!IX57/'Pop 25+ by race &amp; gender'!FB56)*100, "-")</f>
        <v>70.998657308023184</v>
      </c>
      <c r="DJ58" s="452">
        <f>IFERROR(('Attainment 25+ by race &amp; gender'!ZV57/'Pop 25+ by race &amp; gender'!DU56)*100, "-")</f>
        <v>46.036880649588937</v>
      </c>
      <c r="DK58" s="452">
        <f>IFERROR(('Attainment 25+ by race &amp; gender'!AAU57/'Pop 25+ by race &amp; gender'!ET56)*100, "-")</f>
        <v>50.176930024069279</v>
      </c>
      <c r="DL58" s="452">
        <f>IFERROR(('Attainment 25+ by race &amp; gender'!ZW57/'Pop 25+ by race &amp; gender'!DV56)*100, "-")</f>
        <v>24.980782310235199</v>
      </c>
      <c r="DM58" s="452">
        <f>IFERROR(('Attainment 25+ by race &amp; gender'!AAV57/'Pop 25+ by race &amp; gender'!EU56)*100, "-")</f>
        <v>31.843595406216764</v>
      </c>
      <c r="DN58" s="452">
        <f>IFERROR(('Attainment 25+ by race &amp; gender'!ZX57/'Pop 25+ by race &amp; gender'!DX56)*100, "-")</f>
        <v>17.956907877938153</v>
      </c>
      <c r="DO58" s="452">
        <f>IFERROR(('Attainment 25+ by race &amp; gender'!AAW57/'Pop 25+ by race &amp; gender'!EW56)*100, "-")</f>
        <v>23.117661974428323</v>
      </c>
      <c r="DP58" s="452">
        <f>IFERROR(('Attainment 25+ by race &amp; gender'!ZZ57/'Pop 25+ by race &amp; gender'!DY56)*100, "-")</f>
        <v>59.161626212850358</v>
      </c>
      <c r="DQ58" s="452">
        <f>IFERROR(('Attainment 25+ by race &amp; gender'!AAY57/'Pop 25+ by race &amp; gender'!EX56)*100, "-")</f>
        <v>64.103584615697471</v>
      </c>
      <c r="DR58" s="452" t="str">
        <f>IFERROR(('Attainment 25+ by race &amp; gender'!AAA57/'Pop 25+ by race &amp; gender'!DZ56)*100, "-")</f>
        <v>-</v>
      </c>
      <c r="DS58" s="452" t="str">
        <f>IFERROR(('Attainment 25+ by race &amp; gender'!AAZ57/'Pop 25+ by race &amp; gender'!EY56)*100, "-")</f>
        <v>-</v>
      </c>
      <c r="DT58" s="452">
        <f>IFERROR(('Attainment 25+ by race &amp; gender'!AAB57/'Pop 25+ by race &amp; gender'!EA56)*100, "-")</f>
        <v>22.494252873563219</v>
      </c>
      <c r="DU58" s="452">
        <f>IFERROR(('Attainment 25+ by race &amp; gender'!ABA57/'Pop 25+ by race &amp; gender'!EZ56)*100, "-")</f>
        <v>20.528642475594033</v>
      </c>
      <c r="DV58" s="452">
        <f>IFERROR(('Attainment 25+ by race &amp; gender'!AAC57/'Pop 25+ by race &amp; gender'!EB56)*100, "-")</f>
        <v>31.080448021804862</v>
      </c>
      <c r="DW58" s="452">
        <f>IFERROR(('Attainment 25+ by race &amp; gender'!ABB57/'Pop 25+ by race &amp; gender'!FA56)*100, "-")</f>
        <v>31.653308132955328</v>
      </c>
      <c r="DX58" s="452">
        <f>IFERROR(('Attainment 25+ by race &amp; gender'!AAD57/'Pop 25+ by race &amp; gender'!EC56)*100, "-")</f>
        <v>12.368183986010282</v>
      </c>
      <c r="DY58" s="452">
        <f>IFERROR(('Attainment 25+ by race &amp; gender'!ABC57/'Pop 25+ by race &amp; gender'!FB56)*100, "-")</f>
        <v>21.85974898896098</v>
      </c>
    </row>
    <row r="59" spans="1:129" s="465" customFormat="1" ht="14.45">
      <c r="A59" s="455" t="s">
        <v>55</v>
      </c>
      <c r="B59" s="456">
        <f>('Attainment 25+ by race &amp; gender'!FS58/'Pop 25+ by race &amp; gender'!AT57)*100</f>
        <v>87.622362000763033</v>
      </c>
      <c r="C59" s="457">
        <f>('Attainment 25+ by race &amp; gender'!GR58/'Pop 25+ by race &amp; gender'!CV57)*100</f>
        <v>91.8</v>
      </c>
      <c r="D59" s="458">
        <f>('Attainment 25+ by race &amp; gender'!FT58/'Pop 25+ by race &amp; gender'!AZ57)*100</f>
        <v>84.376828554710357</v>
      </c>
      <c r="E59" s="456" t="str">
        <f>IF('Pop 25+ by race &amp; gender'!CW57&gt;0,('Attainment 25+ by race &amp; gender'!GS58/'Pop 25+ by race &amp; gender'!CW57)*100,"—")</f>
        <v>—</v>
      </c>
      <c r="F59" s="458">
        <f>('Attainment 25+ by race &amp; gender'!FU58/'Pop 25+ by race &amp; gender'!BC57)*100</f>
        <v>73.562058526740671</v>
      </c>
      <c r="G59" s="456">
        <f>('Attainment 25+ by race &amp; gender'!GT58/'Pop 25+ by race &amp; gender'!CY57)*100</f>
        <v>76.3</v>
      </c>
      <c r="H59" s="458">
        <f>('Attainment 25+ by race &amp; gender'!XM58/'Pop 25+ by race &amp; gender'!AT57)*100</f>
        <v>28.488634766370151</v>
      </c>
      <c r="I59" s="456">
        <f>('Attainment 25+ by race &amp; gender'!YW58/'Pop 25+ by race &amp; gender'!CV57)*100</f>
        <v>32.499999999999993</v>
      </c>
      <c r="J59" s="458">
        <f>('Attainment 25+ by race &amp; gender'!XS58/'Pop 25+ by race &amp; gender'!AZ57)*100</f>
        <v>27.774527013848253</v>
      </c>
      <c r="K59" s="456" t="str">
        <f>IF('Pop 25+ by race &amp; gender'!CW57&gt;0,('Attainment 25+ by race &amp; gender'!YX58/'Pop 25+ by race &amp; gender'!CW57)*100,"—")</f>
        <v>—</v>
      </c>
      <c r="L59" s="458">
        <f>('Attainment 25+ by race &amp; gender'!XV58/'Pop 25+ by race &amp; gender'!BC57)*100</f>
        <v>22.694248234106961</v>
      </c>
      <c r="M59" s="459">
        <f>('Attainment 25+ by race &amp; gender'!YY58/'Pop 25+ by race &amp; gender'!CY57)*100</f>
        <v>22.5</v>
      </c>
      <c r="N59" s="460">
        <f>('Attainment 25+ by race &amp; gender'!FS58/'Pop 25+ by race &amp; gender'!AT57)*100</f>
        <v>87.622362000763033</v>
      </c>
      <c r="O59" s="461">
        <f>('Attainment 25+ by race &amp; gender'!GW58/'Pop 25+ by race &amp; gender'!DA57)*100</f>
        <v>92.15446352367286</v>
      </c>
      <c r="P59" s="462">
        <f>('Attainment 25+ by race &amp; gender'!FT58/'Pop 25+ by race &amp; gender'!AZ57)*100</f>
        <v>84.376828554710357</v>
      </c>
      <c r="Q59" s="460">
        <f>('Attainment 25+ by race &amp; gender'!GX58/'Pop 25+ by race &amp; gender'!DB57)*100</f>
        <v>85.388437217705516</v>
      </c>
      <c r="R59" s="462">
        <f>('Attainment 25+ by race &amp; gender'!FU58/'Pop 25+ by race &amp; gender'!BC57)*100</f>
        <v>73.562058526740671</v>
      </c>
      <c r="S59" s="460">
        <f>('Attainment 25+ by race &amp; gender'!GY58/'Pop 25+ by race &amp; gender'!DD57)*100</f>
        <v>76.986951364175553</v>
      </c>
      <c r="T59" s="462">
        <f>('Attainment 25+ by race &amp; gender'!XM58/'Pop 25+ by race &amp; gender'!AT57)*100</f>
        <v>28.488634766370151</v>
      </c>
      <c r="U59" s="463">
        <f>('Attainment 25+ by race &amp; gender'!ZB58/'Pop 25+ by race &amp; gender'!DA57)*100</f>
        <v>33.488657737945822</v>
      </c>
      <c r="V59" s="462">
        <f>('Attainment 25+ by race &amp; gender'!XS58/'Pop 25+ by race &amp; gender'!AZ57)*100</f>
        <v>27.774527013848253</v>
      </c>
      <c r="W59" s="463">
        <f>('Attainment 25+ by race &amp; gender'!ZC58/'Pop 25+ by race &amp; gender'!DB57)*100</f>
        <v>29.392502258355918</v>
      </c>
      <c r="X59" s="462">
        <f>('Attainment 25+ by race &amp; gender'!XV58/'Pop 25+ by race &amp; gender'!BC57)*100</f>
        <v>22.694248234106961</v>
      </c>
      <c r="Y59" s="494">
        <f>('Attainment 25+ by race &amp; gender'!ZD58/'Pop 25+ by race &amp; gender'!DD57)*100</f>
        <v>24.266336582598381</v>
      </c>
      <c r="Z59" s="351">
        <f>('Attainment 25+ by race &amp; gender'!FS58/'Pop 25+ by race &amp; gender'!AT57)*100</f>
        <v>87.622362000763033</v>
      </c>
      <c r="AA59" s="445">
        <f>('Attainment 25+ by race &amp; gender'!HB58/'Pop 25+ by race &amp; gender'!DF57)*100</f>
        <v>92.558940181676491</v>
      </c>
      <c r="AB59" s="352">
        <f>('Attainment 25+ by race &amp; gender'!FT58/'Pop 25+ by race &amp; gender'!AZ57)*100</f>
        <v>84.376828554710357</v>
      </c>
      <c r="AC59" s="351">
        <f>('Attainment 25+ by race &amp; gender'!HC58/'Pop 25+ by race &amp; gender'!DG57)*100</f>
        <v>85.430251202565472</v>
      </c>
      <c r="AD59" s="352">
        <f>('Attainment 25+ by race &amp; gender'!FU58/'Pop 25+ by race &amp; gender'!BC57)*100</f>
        <v>73.562058526740671</v>
      </c>
      <c r="AE59" s="351">
        <f>('Attainment 25+ by race &amp; gender'!HD58/'Pop 25+ by race &amp; gender'!DI57)*100</f>
        <v>78.68583558471633</v>
      </c>
      <c r="AF59" s="352">
        <f>('Attainment 25+ by race &amp; gender'!XM58/'Pop 25+ by race &amp; gender'!AT57)*100</f>
        <v>28.488634766370151</v>
      </c>
      <c r="AG59" s="351">
        <f>('Attainment 25+ by race &amp; gender'!ZG58/'Pop 25+ by race &amp; gender'!DF57)*100</f>
        <v>34.08632541261035</v>
      </c>
      <c r="AH59" s="352">
        <f>('Attainment 25+ by race &amp; gender'!XS58/'Pop 25+ by race &amp; gender'!AZ57)*100</f>
        <v>27.774527013848253</v>
      </c>
      <c r="AI59" s="351">
        <f>('Attainment 25+ by race &amp; gender'!ZH58/'Pop 25+ by race &amp; gender'!DG57)*100</f>
        <v>28.530197755211116</v>
      </c>
      <c r="AJ59" s="352">
        <f>('Attainment 25+ by race &amp; gender'!XV58/'Pop 25+ by race &amp; gender'!BC57)*100</f>
        <v>22.694248234106961</v>
      </c>
      <c r="AK59" s="453">
        <f>('Attainment 25+ by race &amp; gender'!ZI58/'Pop 25+ by race &amp; gender'!DI57)*100</f>
        <v>23.205326128907757</v>
      </c>
      <c r="AL59" s="352">
        <f>('Attainment 25+ by race &amp; gender'!FS58/'Pop 25+ by race &amp; gender'!AT57)*100</f>
        <v>87.622362000763033</v>
      </c>
      <c r="AM59" s="453">
        <f>('Attainment 25+ by race &amp; gender'!HL58/'Pop 25+ by race &amp; gender'!DP57)*100</f>
        <v>93.661105991418836</v>
      </c>
      <c r="AN59" s="352">
        <v>84.376828554710357</v>
      </c>
      <c r="AO59" s="453">
        <f>('Attainment 25+ by race &amp; gender'!HM58/'Pop 25+ by race &amp; gender'!DQ57)*100</f>
        <v>89.353099730458212</v>
      </c>
      <c r="AP59" s="453">
        <f>('Attainment 25+ by race &amp; gender'!FU58/'Pop 25+ by race &amp; gender'!BC57)*100</f>
        <v>73.562058526740671</v>
      </c>
      <c r="AQ59" s="453">
        <f>('Attainment 25+ by race &amp; gender'!HN58/'Pop 25+ by race &amp; gender'!DS57)*100</f>
        <v>79.131142624566209</v>
      </c>
      <c r="AR59" s="453">
        <f>('Attainment 25+ by race &amp; gender'!XM58/'Pop 25+ by race &amp; gender'!AT57)*100</f>
        <v>28.488634766370151</v>
      </c>
      <c r="AS59" s="453">
        <f>('Attainment 25+ by race &amp; gender'!ZQ58/'Pop 25+ by race &amp; gender'!DP57)*100</f>
        <v>35.465793688913202</v>
      </c>
      <c r="AT59" s="453">
        <f>('Attainment 25+ by race &amp; gender'!XS58/'Pop 25+ by race &amp; gender'!AZ57)*100</f>
        <v>27.774527013848253</v>
      </c>
      <c r="AU59" s="453">
        <f>('Attainment 25+ by race &amp; gender'!ZR58/'Pop 25+ by race &amp; gender'!DQ57)*100</f>
        <v>20.940026954177899</v>
      </c>
      <c r="AV59" s="453">
        <f>('Attainment 25+ by race &amp; gender'!XV58/'Pop 25+ by race &amp; gender'!BC57)*100</f>
        <v>22.694248234106961</v>
      </c>
      <c r="AW59" s="453">
        <f>('Attainment 25+ by race &amp; gender'!ZS58/'Pop 25+ by race &amp; gender'!DS57)*100</f>
        <v>26.237093526412753</v>
      </c>
      <c r="AX59" s="352">
        <f>('Attainment 25+ by race &amp; gender'!GR58/'Pop 25+ by race &amp; gender'!CV57)*100</f>
        <v>91.8</v>
      </c>
      <c r="AY59" s="453">
        <f>('Attainment 25+ by race &amp; gender'!HQ58/'Pop 25+ by race &amp; gender'!DU57)*100</f>
        <v>93.45799828250216</v>
      </c>
      <c r="AZ59" s="352" t="str">
        <f>IF('Pop 25+ by race &amp; gender'!CW57&gt;0,('Attainment 25+ by race &amp; gender'!GS58/'Pop 25+ by race &amp; gender'!CW57)*100,"—")</f>
        <v>—</v>
      </c>
      <c r="BA59" s="453">
        <f>('Attainment 25+ by race &amp; gender'!HR58/'Pop 25+ by race &amp; gender'!DV57)*100</f>
        <v>88.727709507530264</v>
      </c>
      <c r="BB59" s="453">
        <f>('Attainment 25+ by race &amp; gender'!GT58/'Pop 25+ by race &amp; gender'!CY57)*100</f>
        <v>76.3</v>
      </c>
      <c r="BC59" s="453">
        <f>('Attainment 25+ by race &amp; gender'!HS58/'Pop 25+ by race &amp; gender'!DX57)*100</f>
        <v>76.170766319772937</v>
      </c>
      <c r="BD59" s="453">
        <f>('Attainment 25+ by race &amp; gender'!YW58/'Pop 25+ by race &amp; gender'!CV57)*100</f>
        <v>32.499999999999993</v>
      </c>
      <c r="BE59" s="453">
        <f>('Attainment 25+ by race &amp; gender'!ZV58/'Pop 25+ by race &amp; gender'!DU57)*100</f>
        <v>36.501048631646896</v>
      </c>
      <c r="BF59" s="453" t="str">
        <f>IF('Pop 25+ by race &amp; gender'!CW57&gt;0,('Attainment 25+ by race &amp; gender'!YX58/'Pop 25+ by race &amp; gender'!CW57)*100,"—")</f>
        <v>—</v>
      </c>
      <c r="BG59" s="453">
        <f>('Attainment 25+ by race &amp; gender'!ZW58/'Pop 25+ by race &amp; gender'!DV57)*100</f>
        <v>29.40959068650097</v>
      </c>
      <c r="BH59" s="453">
        <f>('Attainment 25+ by race &amp; gender'!YY58/'Pop 25+ by race &amp; gender'!CY57)*100</f>
        <v>22.5</v>
      </c>
      <c r="BI59" s="453">
        <f>('Attainment 25+ by race &amp; gender'!ZX58/'Pop 25+ by race &amp; gender'!DX57)*100</f>
        <v>29.150898770104067</v>
      </c>
      <c r="BJ59" s="352">
        <f>('Attainment 25+ by race &amp; gender'!GW58/'Pop 25+ by race &amp; gender'!DA57)*100</f>
        <v>92.15446352367286</v>
      </c>
      <c r="BK59" s="453">
        <f>('Attainment 25+ by race &amp; gender'!IA58/'Pop 25+ by race &amp; gender'!EE57)*100</f>
        <v>93.594257670713304</v>
      </c>
      <c r="BL59" s="352">
        <f>IF('Pop 25+ by race &amp; gender'!DB57&gt;0,('Attainment 25+ by race &amp; gender'!GX58/'Pop 25+ by race &amp; gender'!DB57)*100,"—")</f>
        <v>85.388437217705516</v>
      </c>
      <c r="BM59" s="453">
        <f>('Attainment 25+ by race &amp; gender'!IB58/'Pop 25+ by race &amp; gender'!EF57)*100</f>
        <v>86.56793398172708</v>
      </c>
      <c r="BN59" s="453">
        <f>('Attainment 25+ by race &amp; gender'!GY58/'Pop 25+ by race &amp; gender'!DD57)*100</f>
        <v>76.986951364175553</v>
      </c>
      <c r="BO59" s="453">
        <f>('Attainment 25+ by race &amp; gender'!IC58/'Pop 25+ by race &amp; gender'!EH57)*100</f>
        <v>82.871040807990795</v>
      </c>
      <c r="BP59" s="453">
        <f>('Attainment 25+ by race &amp; gender'!ZB58/'Pop 25+ by race &amp; gender'!DA57)*100</f>
        <v>33.488657737945822</v>
      </c>
      <c r="BQ59" s="453">
        <f>('Attainment 25+ by race &amp; gender'!AAF58/'Pop 25+ by race &amp; gender'!EE57)*100</f>
        <v>36.824181949183647</v>
      </c>
      <c r="BR59" s="453">
        <f>IF('Pop 25+ by race &amp; gender'!DB57&gt;0,('Attainment 25+ by race &amp; gender'!ZC58/'Pop 25+ by race &amp; gender'!DB57)*100,"—")</f>
        <v>29.392502258355918</v>
      </c>
      <c r="BS59" s="453">
        <f>('Attainment 25+ by race &amp; gender'!AAG58/'Pop 25+ by race &amp; gender'!EF57)*100</f>
        <v>25.95785440613027</v>
      </c>
      <c r="BT59" s="453">
        <f>('Attainment 25+ by race &amp; gender'!ZD58/'Pop 25+ by race &amp; gender'!DD57)*100</f>
        <v>24.266336582598381</v>
      </c>
      <c r="BU59" s="453">
        <f>('Attainment 25+ by race &amp; gender'!AAH58/'Pop 25+ by race &amp; gender'!EH57)*100</f>
        <v>24.770710333816048</v>
      </c>
      <c r="BV59" s="352">
        <f>('Attainment 25+ by race &amp; gender'!HN58/'Pop 25+ by race &amp; gender'!DR57)*100</f>
        <v>58.195223391518056</v>
      </c>
      <c r="BW59" s="453" t="e">
        <f>('Attainment 25+ by race &amp; gender'!JB58/'Pop 25+ by race &amp; gender'!EQ57)*100</f>
        <v>#VALUE!</v>
      </c>
      <c r="BX59" s="352">
        <f>IF('Pop 25+ by race &amp; gender'!DS57&gt;0,('Attainment 25+ by race &amp; gender'!HO58/'Pop 25+ by race &amp; gender'!DS57)*100,"—")</f>
        <v>121.09164131785271</v>
      </c>
      <c r="BY59" s="453" t="e">
        <f>('Attainment 25+ by race &amp; gender'!JC58/'Pop 25+ by race &amp; gender'!ER57)*100</f>
        <v>#VALUE!</v>
      </c>
      <c r="BZ59" s="453">
        <f>('Attainment 25+ by race &amp; gender'!HP58/'Pop 25+ by race &amp; gender'!DU57)*100</f>
        <v>100.3228576609413</v>
      </c>
      <c r="CA59" s="453">
        <f>('Attainment 25+ by race &amp; gender'!JD58/'Pop 25+ by race &amp; gender'!ET57)*100</f>
        <v>20.617268372163043</v>
      </c>
      <c r="CB59" s="453">
        <f>('Attainment 25+ by race &amp; gender'!ZS58/'Pop 25+ by race &amp; gender'!DR57)*100</f>
        <v>19.295481756884492</v>
      </c>
      <c r="CC59" s="453">
        <f>('Attainment 25+ by race &amp; gender'!ABB58/'Pop 25+ by race &amp; gender'!EQ57)*100</f>
        <v>38.382957796852644</v>
      </c>
      <c r="CD59" s="453">
        <f>IF('Pop 25+ by race &amp; gender'!DS57&gt;0,('Attainment 25+ by race &amp; gender'!ZT58/'Pop 25+ by race &amp; gender'!DS57)*100,"—")</f>
        <v>72.987446981706</v>
      </c>
      <c r="CE59" s="453">
        <f>('Attainment 25+ by race &amp; gender'!ABC58/'Pop 25+ by race &amp; gender'!ER57)*100</f>
        <v>14.636615156218369</v>
      </c>
      <c r="CF59" s="453">
        <f>('Attainment 25+ by race &amp; gender'!ZU58/'Pop 25+ by race &amp; gender'!DU57)*100</f>
        <v>39.536435245427704</v>
      </c>
      <c r="CG59" s="453">
        <f>('Attainment 25+ by race &amp; gender'!ABD58/'Pop 25+ by race &amp; gender'!ET57)*100</f>
        <v>9.1019578673325725</v>
      </c>
      <c r="CH59" s="352">
        <f>('Attainment 25+ by race &amp; gender'!HG58/'Pop 25+ by race &amp; gender'!DK57)*100</f>
        <v>92.587908968814759</v>
      </c>
      <c r="CI59" s="452">
        <f>('Attainment 25+ by race &amp; gender'!IK58/'Pop 25+ by race &amp; gender'!EO57)*100</f>
        <v>93.944206955084439</v>
      </c>
      <c r="CJ59" s="352">
        <f>IF('Pop 25+ by race &amp; gender'!DL57&gt;0,('Attainment 25+ by race &amp; gender'!HH58/'Pop 25+ by race &amp; gender'!DL57)*100,"—")</f>
        <v>96.772630354719908</v>
      </c>
      <c r="CK59" s="453">
        <f>('Attainment 25+ by race &amp; gender'!IL58/'Pop 25+ by race &amp; gender'!EP57)*100</f>
        <v>85.946379134489291</v>
      </c>
      <c r="CL59" s="453">
        <f>('Attainment 25+ by race &amp; gender'!HI58/'Pop 25+ by race &amp; gender'!DN57)*100</f>
        <v>80.963855421686745</v>
      </c>
      <c r="CM59" s="453">
        <f>('Attainment 25+ by race &amp; gender'!IM58/'Pop 25+ by race &amp; gender'!ER57)*100</f>
        <v>78.676024023213444</v>
      </c>
      <c r="CN59" s="453">
        <f>('Attainment 25+ by race &amp; gender'!ZL58/'Pop 25+ by race &amp; gender'!DK57)*100</f>
        <v>35.044052558463676</v>
      </c>
      <c r="CO59" s="453">
        <f>('Attainment 25+ by race &amp; gender'!AAP58/'Pop 25+ by race &amp; gender'!EO57)*100</f>
        <v>37.34264628243141</v>
      </c>
      <c r="CP59" s="453">
        <f>IF('Pop 25+ by race &amp; gender'!DL57&gt;0,('Attainment 25+ by race &amp; gender'!ZM58/'Pop 25+ by race &amp; gender'!DL57)*100,"—")</f>
        <v>29.521225043613104</v>
      </c>
      <c r="CQ59" s="453">
        <f>('Attainment 25+ by race &amp; gender'!AAQ58/'Pop 25+ by race &amp; gender'!EP57)*100</f>
        <v>36.944484919131575</v>
      </c>
      <c r="CR59" s="453">
        <f>('Attainment 25+ by race &amp; gender'!ZN58/'Pop 25+ by race &amp; gender'!DN57)*100</f>
        <v>18.799643016510487</v>
      </c>
      <c r="CS59" s="453">
        <f>('Attainment 25+ by race &amp; gender'!AAR58/'Pop 25+ by race &amp; gender'!ER57)*100</f>
        <v>24.954450367771106</v>
      </c>
      <c r="CT59" s="350">
        <f>IFERROR(('Attainment 25+ by race &amp; gender'!HQ58/'Pop 25+ by race &amp; gender'!DU57)*100,"-")</f>
        <v>93.45799828250216</v>
      </c>
      <c r="CU59" s="452">
        <f>IFERROR(('Attainment 25+ by race &amp; gender'!IP58/'Pop 25+ by race &amp; gender'!ET57)*100,"-")</f>
        <v>95.022646972876771</v>
      </c>
      <c r="CV59" s="350">
        <f>IFERROR(('Attainment 25+ by race &amp; gender'!HR58/'Pop 25+ by race &amp; gender'!DV57)*100,"-")</f>
        <v>88.727709507530264</v>
      </c>
      <c r="CW59" s="452">
        <f>IFERROR(('Attainment 25+ by race &amp; gender'!IQ58/'Pop 25+ by race &amp; gender'!EU57)*100, "-")</f>
        <v>90.299697114618198</v>
      </c>
      <c r="CX59" s="452">
        <f>IFERROR(('Attainment 25+ by race &amp; gender'!HS58/'Pop 25+ by race &amp; gender'!DX57)*100, "-")</f>
        <v>76.170766319772937</v>
      </c>
      <c r="CY59" s="452">
        <f>IFERROR(('Attainment 25+ by race &amp; gender'!IR58/'Pop 25+ by race &amp; gender'!EW57)*100, "-")</f>
        <v>84.895312547344176</v>
      </c>
      <c r="CZ59" s="452">
        <f>IFERROR(('Attainment 25+ by race &amp; gender'!HU58/'Pop 25+ by race &amp; gender'!DY57)*100, "-")</f>
        <v>90.072176949941792</v>
      </c>
      <c r="DA59" s="452">
        <f>IFERROR(('Attainment 25+ by race &amp; gender'!IT58/'Pop 25+ by race &amp; gender'!EX57)*100, "-")</f>
        <v>89.465384615384608</v>
      </c>
      <c r="DB59" s="452" t="str">
        <f>IFERROR(('Attainment 25+ by race &amp; gender'!HV58/'Pop 25+ by race &amp; gender'!DZ57)*100, "-")</f>
        <v>-</v>
      </c>
      <c r="DC59" s="452" t="str">
        <f>IFERROR(('Attainment 25+ by race &amp; gender'!IU58/'Pop 25+ by race &amp; gender'!EY57)*100, "-")</f>
        <v>-</v>
      </c>
      <c r="DD59" s="452" t="str">
        <f>IFERROR(('Attainment 25+ by race &amp; gender'!HW58/'Pop 25+ by race &amp; gender'!EA57)*100, "-")</f>
        <v>-</v>
      </c>
      <c r="DE59" s="452" t="str">
        <f>IFERROR(('Attainment 25+ by race &amp; gender'!IV58/'Pop 25+ by race &amp; gender'!EZ57)*100, "-")</f>
        <v>-</v>
      </c>
      <c r="DF59" s="452">
        <f>IFERROR(('Attainment 25+ by race &amp; gender'!HX58/'Pop 25+ by race &amp; gender'!EB57)*100, "-")</f>
        <v>89.773798303487268</v>
      </c>
      <c r="DG59" s="452">
        <f>IFERROR(('Attainment 25+ by race &amp; gender'!IW58/'Pop 25+ by race &amp; gender'!FA57)*100, "-")</f>
        <v>91.635374034850841</v>
      </c>
      <c r="DH59" s="452">
        <f>IFERROR(('Attainment 25+ by race &amp; gender'!HY58/'Pop 25+ by race &amp; gender'!EC57)*100, "-")</f>
        <v>81.710022181891503</v>
      </c>
      <c r="DI59" s="452">
        <f>IFERROR(('Attainment 25+ by race &amp; gender'!IX58/'Pop 25+ by race &amp; gender'!FB57)*100, "-")</f>
        <v>82.020111061083597</v>
      </c>
      <c r="DJ59" s="452">
        <f>IFERROR(('Attainment 25+ by race &amp; gender'!ZV58/'Pop 25+ by race &amp; gender'!DU57)*100, "-")</f>
        <v>36.501048631646896</v>
      </c>
      <c r="DK59" s="452">
        <f>IFERROR(('Attainment 25+ by race &amp; gender'!AAU58/'Pop 25+ by race &amp; gender'!ET57)*100, "-")</f>
        <v>40.261358906923824</v>
      </c>
      <c r="DL59" s="452">
        <f>IFERROR(('Attainment 25+ by race &amp; gender'!ZW58/'Pop 25+ by race &amp; gender'!DV57)*100, "-")</f>
        <v>29.40959068650097</v>
      </c>
      <c r="DM59" s="452">
        <f>IFERROR(('Attainment 25+ by race &amp; gender'!AAV58/'Pop 25+ by race &amp; gender'!EU57)*100, "-")</f>
        <v>23.585206440299697</v>
      </c>
      <c r="DN59" s="452">
        <f>IFERROR(('Attainment 25+ by race &amp; gender'!ZX58/'Pop 25+ by race &amp; gender'!DX57)*100, "-")</f>
        <v>29.150898770104067</v>
      </c>
      <c r="DO59" s="452">
        <f>IFERROR(('Attainment 25+ by race &amp; gender'!AAW58/'Pop 25+ by race &amp; gender'!EW57)*100, "-")</f>
        <v>30.342696118534679</v>
      </c>
      <c r="DP59" s="452">
        <f>IFERROR(('Attainment 25+ by race &amp; gender'!ZZ58/'Pop 25+ by race &amp; gender'!DY57)*100, "-")</f>
        <v>54.821885913853322</v>
      </c>
      <c r="DQ59" s="452">
        <f>IFERROR(('Attainment 25+ by race &amp; gender'!AAY58/'Pop 25+ by race &amp; gender'!EX57)*100, "-")</f>
        <v>60.842307692307699</v>
      </c>
      <c r="DR59" s="452" t="str">
        <f>IFERROR(('Attainment 25+ by race &amp; gender'!AAA58/'Pop 25+ by race &amp; gender'!DZ57)*100, "-")</f>
        <v>-</v>
      </c>
      <c r="DS59" s="452" t="str">
        <f>IFERROR(('Attainment 25+ by race &amp; gender'!AAZ58/'Pop 25+ by race &amp; gender'!EY57)*100, "-")</f>
        <v>-</v>
      </c>
      <c r="DT59" s="452" t="str">
        <f>IFERROR(('Attainment 25+ by race &amp; gender'!AAB58/'Pop 25+ by race &amp; gender'!EA57)*100, "-")</f>
        <v>-</v>
      </c>
      <c r="DU59" s="452" t="str">
        <f>IFERROR(('Attainment 25+ by race &amp; gender'!ABA58/'Pop 25+ by race &amp; gender'!EZ57)*100, "-")</f>
        <v>-</v>
      </c>
      <c r="DV59" s="452">
        <f>IFERROR(('Attainment 25+ by race &amp; gender'!AAC58/'Pop 25+ by race &amp; gender'!EB57)*100, "-")</f>
        <v>32.854225573358462</v>
      </c>
      <c r="DW59" s="452">
        <f>IFERROR(('Attainment 25+ by race &amp; gender'!ABB58/'Pop 25+ by race &amp; gender'!FA57)*100, "-")</f>
        <v>36.224209948947298</v>
      </c>
      <c r="DX59" s="452">
        <f>IFERROR(('Attainment 25+ by race &amp; gender'!AAD58/'Pop 25+ by race &amp; gender'!EC57)*100, "-")</f>
        <v>37.467231296632384</v>
      </c>
      <c r="DY59" s="452">
        <f>IFERROR(('Attainment 25+ by race &amp; gender'!ABC58/'Pop 25+ by race &amp; gender'!FB57)*100, "-")</f>
        <v>32.552904097253489</v>
      </c>
    </row>
    <row r="60" spans="1:129">
      <c r="A60" s="38" t="s">
        <v>56</v>
      </c>
      <c r="B60" s="351">
        <f>('Attainment 25+ by race &amp; gender'!FS59/'Pop 25+ by race &amp; gender'!AT58)*100</f>
        <v>84.652571646182977</v>
      </c>
      <c r="C60" s="444">
        <f>('Attainment 25+ by race &amp; gender'!GR59/'Pop 25+ by race &amp; gender'!CV58)*100</f>
        <v>89.8</v>
      </c>
      <c r="D60" s="352">
        <f>('Attainment 25+ by race &amp; gender'!FT59/'Pop 25+ by race &amp; gender'!AZ58)*100</f>
        <v>74.510775766694692</v>
      </c>
      <c r="E60" s="351">
        <f>IF('Pop 25+ by race &amp; gender'!CW58&gt;0,('Attainment 25+ by race &amp; gender'!GS59/'Pop 25+ by race &amp; gender'!CW58)*100,"—")</f>
        <v>84.4</v>
      </c>
      <c r="F60" s="352">
        <f>('Attainment 25+ by race &amp; gender'!FU59/'Pop 25+ by race &amp; gender'!BC58)*100</f>
        <v>59.512756299890434</v>
      </c>
      <c r="G60" s="351">
        <f>('Attainment 25+ by race &amp; gender'!GT59/'Pop 25+ by race &amp; gender'!CY58)*100</f>
        <v>70.300000000000011</v>
      </c>
      <c r="H60" s="352">
        <f>('Attainment 25+ by race &amp; gender'!XM59/'Pop 25+ by race &amp; gender'!AT58)*100</f>
        <v>31.014208332019155</v>
      </c>
      <c r="I60" s="351">
        <f>('Attainment 25+ by race &amp; gender'!YW59/'Pop 25+ by race &amp; gender'!CV58)*100</f>
        <v>35.900000000000006</v>
      </c>
      <c r="J60" s="352">
        <f>('Attainment 25+ by race &amp; gender'!XS59/'Pop 25+ by race &amp; gender'!AZ58)*100</f>
        <v>16.15302916316325</v>
      </c>
      <c r="K60" s="351">
        <f>IF('Pop 25+ by race &amp; gender'!CW58&gt;0,('Attainment 25+ by race &amp; gender'!YX59/'Pop 25+ by race &amp; gender'!CW58)*100,"—")</f>
        <v>20.9</v>
      </c>
      <c r="L60" s="352">
        <f>('Attainment 25+ by race &amp; gender'!XV59/'Pop 25+ by race &amp; gender'!BC58)*100</f>
        <v>12.516512756299891</v>
      </c>
      <c r="M60" s="437">
        <f>('Attainment 25+ by race &amp; gender'!YY59/'Pop 25+ by race &amp; gender'!CY58)*100</f>
        <v>15.6</v>
      </c>
      <c r="N60" s="351">
        <f>('Attainment 25+ by race &amp; gender'!FS59/'Pop 25+ by race &amp; gender'!AT58)*100</f>
        <v>84.652571646182977</v>
      </c>
      <c r="O60" s="445">
        <f>('Attainment 25+ by race &amp; gender'!GW59/'Pop 25+ by race &amp; gender'!DA58)*100</f>
        <v>92.568735048673332</v>
      </c>
      <c r="P60" s="352">
        <f>('Attainment 25+ by race &amp; gender'!FT59/'Pop 25+ by race &amp; gender'!AZ58)*100</f>
        <v>74.510775766694692</v>
      </c>
      <c r="Q60" s="351">
        <f>('Attainment 25+ by race &amp; gender'!GX59/'Pop 25+ by race &amp; gender'!DB58)*100</f>
        <v>84.965287898460474</v>
      </c>
      <c r="R60" s="352">
        <f>('Attainment 25+ by race &amp; gender'!FU59/'Pop 25+ by race &amp; gender'!BC58)*100</f>
        <v>59.512756299890434</v>
      </c>
      <c r="S60" s="351">
        <f>('Attainment 25+ by race &amp; gender'!GY59/'Pop 25+ by race &amp; gender'!DD58)*100</f>
        <v>70.689644244725145</v>
      </c>
      <c r="T60" s="352">
        <f>('Attainment 25+ by race &amp; gender'!XM59/'Pop 25+ by race &amp; gender'!AT58)*100</f>
        <v>31.014208332019155</v>
      </c>
      <c r="U60" s="351">
        <f>('Attainment 25+ by race &amp; gender'!ZB59/'Pop 25+ by race &amp; gender'!DA58)*100</f>
        <v>39.300771227446006</v>
      </c>
      <c r="V60" s="352">
        <f>('Attainment 25+ by race &amp; gender'!XS59/'Pop 25+ by race &amp; gender'!AZ58)*100</f>
        <v>16.15302916316325</v>
      </c>
      <c r="W60" s="351">
        <f>('Attainment 25+ by race &amp; gender'!ZC59/'Pop 25+ by race &amp; gender'!DB58)*100</f>
        <v>21.115821828877287</v>
      </c>
      <c r="X60" s="352">
        <f>('Attainment 25+ by race &amp; gender'!XV59/'Pop 25+ by race &amp; gender'!BC58)*100</f>
        <v>12.516512756299891</v>
      </c>
      <c r="Y60" s="437">
        <f>('Attainment 25+ by race &amp; gender'!ZD59/'Pop 25+ by race &amp; gender'!DD58)*100</f>
        <v>15.735817007548627</v>
      </c>
      <c r="Z60" s="351">
        <f>('Attainment 25+ by race &amp; gender'!FS59/'Pop 25+ by race &amp; gender'!AT58)*100</f>
        <v>84.652571646182977</v>
      </c>
      <c r="AA60" s="445">
        <f>('Attainment 25+ by race &amp; gender'!HB59/'Pop 25+ by race &amp; gender'!DF58)*100</f>
        <v>92.794682151392465</v>
      </c>
      <c r="AB60" s="352">
        <f>('Attainment 25+ by race &amp; gender'!FT59/'Pop 25+ by race &amp; gender'!AZ58)*100</f>
        <v>74.510775766694692</v>
      </c>
      <c r="AC60" s="351">
        <f>('Attainment 25+ by race &amp; gender'!HC59/'Pop 25+ by race &amp; gender'!DG58)*100</f>
        <v>85.617849150152779</v>
      </c>
      <c r="AD60" s="352">
        <f>('Attainment 25+ by race &amp; gender'!FU59/'Pop 25+ by race &amp; gender'!BC58)*100</f>
        <v>59.512756299890434</v>
      </c>
      <c r="AE60" s="351">
        <f>('Attainment 25+ by race &amp; gender'!HD59/'Pop 25+ by race &amp; gender'!DI58)*100</f>
        <v>71.004326303432308</v>
      </c>
      <c r="AF60" s="352">
        <f>('Attainment 25+ by race &amp; gender'!XM59/'Pop 25+ by race &amp; gender'!AT58)*100</f>
        <v>31.014208332019155</v>
      </c>
      <c r="AG60" s="351">
        <f>('Attainment 25+ by race &amp; gender'!ZG59/'Pop 25+ by race &amp; gender'!DF58)*100</f>
        <v>39.670389754497272</v>
      </c>
      <c r="AH60" s="352">
        <f>('Attainment 25+ by race &amp; gender'!XS59/'Pop 25+ by race &amp; gender'!AZ58)*100</f>
        <v>16.15302916316325</v>
      </c>
      <c r="AI60" s="351">
        <f>('Attainment 25+ by race &amp; gender'!ZH59/'Pop 25+ by race &amp; gender'!DG58)*100</f>
        <v>21.252338848736105</v>
      </c>
      <c r="AJ60" s="352">
        <f>('Attainment 25+ by race &amp; gender'!XV59/'Pop 25+ by race &amp; gender'!BC58)*100</f>
        <v>12.516512756299891</v>
      </c>
      <c r="AK60" s="453">
        <f>('Attainment 25+ by race &amp; gender'!ZI59/'Pop 25+ by race &amp; gender'!DI58)*100</f>
        <v>16.074741612143203</v>
      </c>
      <c r="AL60" s="352">
        <f>('Attainment 25+ by race &amp; gender'!FS59/'Pop 25+ by race &amp; gender'!AT58)*100</f>
        <v>84.652571646182977</v>
      </c>
      <c r="AM60" s="453">
        <f>('Attainment 25+ by race &amp; gender'!HL59/'Pop 25+ by race &amp; gender'!DP58)*100</f>
        <v>93.594376112181905</v>
      </c>
      <c r="AN60" s="352">
        <v>74.510775766694692</v>
      </c>
      <c r="AO60" s="453">
        <f>('Attainment 25+ by race &amp; gender'!HM59/'Pop 25+ by race &amp; gender'!DQ58)*100</f>
        <v>87.783795890940937</v>
      </c>
      <c r="AP60" s="453">
        <f>('Attainment 25+ by race &amp; gender'!FU59/'Pop 25+ by race &amp; gender'!BC58)*100</f>
        <v>59.512756299890434</v>
      </c>
      <c r="AQ60" s="453">
        <f>('Attainment 25+ by race &amp; gender'!HN59/'Pop 25+ by race &amp; gender'!DS58)*100</f>
        <v>72.512151071809797</v>
      </c>
      <c r="AR60" s="453">
        <f>('Attainment 25+ by race &amp; gender'!XM59/'Pop 25+ by race &amp; gender'!AT58)*100</f>
        <v>31.014208332019155</v>
      </c>
      <c r="AS60" s="453">
        <f>('Attainment 25+ by race &amp; gender'!ZQ59/'Pop 25+ by race &amp; gender'!DP58)*100</f>
        <v>41.724414921619726</v>
      </c>
      <c r="AT60" s="453">
        <f>('Attainment 25+ by race &amp; gender'!XS59/'Pop 25+ by race &amp; gender'!AZ58)*100</f>
        <v>16.15302916316325</v>
      </c>
      <c r="AU60" s="453">
        <f>('Attainment 25+ by race &amp; gender'!ZR59/'Pop 25+ by race &amp; gender'!DQ58)*100</f>
        <v>21.789415813157948</v>
      </c>
      <c r="AV60" s="453">
        <f>('Attainment 25+ by race &amp; gender'!XV59/'Pop 25+ by race &amp; gender'!BC58)*100</f>
        <v>12.516512756299891</v>
      </c>
      <c r="AW60" s="453">
        <f>('Attainment 25+ by race &amp; gender'!ZS59/'Pop 25+ by race &amp; gender'!DS58)*100</f>
        <v>17.848768028761228</v>
      </c>
      <c r="AX60" s="352">
        <f>('Attainment 25+ by race &amp; gender'!GR59/'Pop 25+ by race &amp; gender'!CV58)*100</f>
        <v>89.8</v>
      </c>
      <c r="AY60" s="453">
        <f>('Attainment 25+ by race &amp; gender'!HQ59/'Pop 25+ by race &amp; gender'!DU58)*100</f>
        <v>93.756318011535939</v>
      </c>
      <c r="AZ60" s="352">
        <f>('Attainment 25+ by race &amp; gender'!GS59/'Pop 25+ by race &amp; gender'!CW58)*100</f>
        <v>84.4</v>
      </c>
      <c r="BA60" s="453">
        <f>('Attainment 25+ by race &amp; gender'!HR59/'Pop 25+ by race &amp; gender'!DV58)*100</f>
        <v>88.205914834616692</v>
      </c>
      <c r="BB60" s="453">
        <f>('Attainment 25+ by race &amp; gender'!GT59/'Pop 25+ by race &amp; gender'!CY58)*100</f>
        <v>70.300000000000011</v>
      </c>
      <c r="BC60" s="453">
        <f>('Attainment 25+ by race &amp; gender'!HS59/'Pop 25+ by race &amp; gender'!DX58)*100</f>
        <v>72.869511240405245</v>
      </c>
      <c r="BD60" s="453">
        <f>('Attainment 25+ by race &amp; gender'!YW59/'Pop 25+ by race &amp; gender'!CV58)*100</f>
        <v>35.900000000000006</v>
      </c>
      <c r="BE60" s="453">
        <f>('Attainment 25+ by race &amp; gender'!ZV59/'Pop 25+ by race &amp; gender'!DU58)*100</f>
        <v>43.027504809841041</v>
      </c>
      <c r="BF60" s="453">
        <f>('Attainment 25+ by race &amp; gender'!YX59/'Pop 25+ by race &amp; gender'!CW58)*100</f>
        <v>20.9</v>
      </c>
      <c r="BG60" s="453">
        <f>('Attainment 25+ by race &amp; gender'!ZW59/'Pop 25+ by race &amp; gender'!DV58)*100</f>
        <v>23.452950872381553</v>
      </c>
      <c r="BH60" s="453">
        <f>('Attainment 25+ by race &amp; gender'!YY59/'Pop 25+ by race &amp; gender'!CY58)*100</f>
        <v>15.6</v>
      </c>
      <c r="BI60" s="453">
        <f>('Attainment 25+ by race &amp; gender'!ZX59/'Pop 25+ by race &amp; gender'!DX58)*100</f>
        <v>17.311196861117416</v>
      </c>
      <c r="BJ60" s="352">
        <f>('Attainment 25+ by race &amp; gender'!GW59/'Pop 25+ by race &amp; gender'!DA58)*100</f>
        <v>92.568735048673332</v>
      </c>
      <c r="BK60" s="453">
        <f>('Attainment 25+ by race &amp; gender'!IA59/'Pop 25+ by race &amp; gender'!EE58)*100</f>
        <v>94.463306360655778</v>
      </c>
      <c r="BL60" s="352">
        <f>('Attainment 25+ by race &amp; gender'!GX59/'Pop 25+ by race &amp; gender'!DB58)*100</f>
        <v>84.965287898460474</v>
      </c>
      <c r="BM60" s="453">
        <f>('Attainment 25+ by race &amp; gender'!IB59/'Pop 25+ by race &amp; gender'!EF58)*100</f>
        <v>87.192807391932121</v>
      </c>
      <c r="BN60" s="453">
        <f>('Attainment 25+ by race &amp; gender'!GY59/'Pop 25+ by race &amp; gender'!DD58)*100</f>
        <v>70.689644244725145</v>
      </c>
      <c r="BO60" s="453">
        <f>('Attainment 25+ by race &amp; gender'!IC59/'Pop 25+ by race &amp; gender'!EH58)*100</f>
        <v>75.322568231973491</v>
      </c>
      <c r="BP60" s="453">
        <f>('Attainment 25+ by race &amp; gender'!ZB59/'Pop 25+ by race &amp; gender'!DA58)*100</f>
        <v>39.300771227446006</v>
      </c>
      <c r="BQ60" s="453">
        <f>('Attainment 25+ by race &amp; gender'!AAF59/'Pop 25+ by race &amp; gender'!EE58)*100</f>
        <v>43.781186385680435</v>
      </c>
      <c r="BR60" s="453">
        <f>('Attainment 25+ by race &amp; gender'!ZC59/'Pop 25+ by race &amp; gender'!DB58)*100</f>
        <v>21.115821828877287</v>
      </c>
      <c r="BS60" s="453">
        <f>('Attainment 25+ by race &amp; gender'!AAG59/'Pop 25+ by race &amp; gender'!EF58)*100</f>
        <v>24.688525039459932</v>
      </c>
      <c r="BT60" s="453">
        <f>('Attainment 25+ by race &amp; gender'!ZD59/'Pop 25+ by race &amp; gender'!DD58)*100</f>
        <v>15.735817007548627</v>
      </c>
      <c r="BU60" s="453">
        <f>('Attainment 25+ by race &amp; gender'!AAH59/'Pop 25+ by race &amp; gender'!EH58)*100</f>
        <v>19.626502767938803</v>
      </c>
      <c r="BV60" s="352">
        <f>('Attainment 25+ by race &amp; gender'!HN59/'Pop 25+ by race &amp; gender'!DR58)*100</f>
        <v>72.368359193559613</v>
      </c>
      <c r="BW60" s="453" t="e">
        <f>('Attainment 25+ by race &amp; gender'!JB59/'Pop 25+ by race &amp; gender'!EQ58)*100</f>
        <v>#VALUE!</v>
      </c>
      <c r="BX60" s="352">
        <f>('Attainment 25+ by race &amp; gender'!HO59/'Pop 25+ by race &amp; gender'!DS58)*100</f>
        <v>83.669656660973075</v>
      </c>
      <c r="BY60" s="453" t="e">
        <f>('Attainment 25+ by race &amp; gender'!JC59/'Pop 25+ by race &amp; gender'!ER58)*100</f>
        <v>#VALUE!</v>
      </c>
      <c r="BZ60" s="453">
        <f>('Attainment 25+ by race &amp; gender'!HP59/'Pop 25+ by race &amp; gender'!DU58)*100</f>
        <v>151.00190749485722</v>
      </c>
      <c r="CA60" s="453">
        <f>('Attainment 25+ by race &amp; gender'!JD59/'Pop 25+ by race &amp; gender'!ET58)*100</f>
        <v>29.767539254203502</v>
      </c>
      <c r="CB60" s="453">
        <f>('Attainment 25+ by race &amp; gender'!ZS59/'Pop 25+ by race &amp; gender'!DR58)*100</f>
        <v>17.813373852180174</v>
      </c>
      <c r="CC60" s="453">
        <f>('Attainment 25+ by race &amp; gender'!ABB59/'Pop 25+ by race &amp; gender'!EQ58)*100</f>
        <v>19.540883872095833</v>
      </c>
      <c r="CD60" s="453">
        <f>('Attainment 25+ by race &amp; gender'!ZT59/'Pop 25+ by race &amp; gender'!DS58)*100</f>
        <v>45.812673292325726</v>
      </c>
      <c r="CE60" s="453">
        <f>('Attainment 25+ by race &amp; gender'!ABC59/'Pop 25+ by race &amp; gender'!ER58)*100</f>
        <v>9.0418863952522752</v>
      </c>
      <c r="CF60" s="453">
        <f>('Attainment 25+ by race &amp; gender'!ZU59/'Pop 25+ by race &amp; gender'!DU58)*100</f>
        <v>65.212757882425862</v>
      </c>
      <c r="CG60" s="453">
        <f>('Attainment 25+ by race &amp; gender'!ABD59/'Pop 25+ by race &amp; gender'!ET58)*100</f>
        <v>17.274407905567447</v>
      </c>
      <c r="CH60" s="352">
        <f>('Attainment 25+ by race &amp; gender'!HG59/'Pop 25+ by race &amp; gender'!DK58)*100</f>
        <v>93.42313414284763</v>
      </c>
      <c r="CI60" s="452">
        <f>('Attainment 25+ by race &amp; gender'!IK59/'Pop 25+ by race &amp; gender'!EO58)*100</f>
        <v>94.83646596209654</v>
      </c>
      <c r="CJ60" s="352">
        <f>('Attainment 25+ by race &amp; gender'!HH59/'Pop 25+ by race &amp; gender'!DL58)*100</f>
        <v>87.377606100362044</v>
      </c>
      <c r="CK60" s="453">
        <f>('Attainment 25+ by race &amp; gender'!IL59/'Pop 25+ by race &amp; gender'!EP58)*100</f>
        <v>88.773383664120644</v>
      </c>
      <c r="CL60" s="453">
        <f>('Attainment 25+ by race &amp; gender'!HI59/'Pop 25+ by race &amp; gender'!DN58)*100</f>
        <v>72.447621218912786</v>
      </c>
      <c r="CM60" s="453">
        <f>('Attainment 25+ by race &amp; gender'!IM59/'Pop 25+ by race &amp; gender'!ER58)*100</f>
        <v>75.387665578822833</v>
      </c>
      <c r="CN60" s="453">
        <f>('Attainment 25+ by race &amp; gender'!ZL59/'Pop 25+ by race &amp; gender'!DK58)*100</f>
        <v>41.236920220725423</v>
      </c>
      <c r="CO60" s="453">
        <f>('Attainment 25+ by race &amp; gender'!AAP59/'Pop 25+ by race &amp; gender'!EO58)*100</f>
        <v>45.803896666153328</v>
      </c>
      <c r="CP60" s="453">
        <f>('Attainment 25+ by race &amp; gender'!ZM59/'Pop 25+ by race &amp; gender'!DL58)*100</f>
        <v>22.905725758152862</v>
      </c>
      <c r="CQ60" s="453">
        <f>('Attainment 25+ by race &amp; gender'!AAQ59/'Pop 25+ by race &amp; gender'!EP58)*100</f>
        <v>25.334596518131864</v>
      </c>
      <c r="CR60" s="453">
        <f>('Attainment 25+ by race &amp; gender'!ZN59/'Pop 25+ by race &amp; gender'!DN58)*100</f>
        <v>17.288089092229932</v>
      </c>
      <c r="CS60" s="453">
        <f>('Attainment 25+ by race &amp; gender'!AAR59/'Pop 25+ by race &amp; gender'!ER58)*100</f>
        <v>21.057183207358548</v>
      </c>
      <c r="CT60" s="350">
        <f>IFERROR(('Attainment 25+ by race &amp; gender'!HQ59/'Pop 25+ by race &amp; gender'!DU58)*100,"-")</f>
        <v>93.756318011535939</v>
      </c>
      <c r="CU60" s="452">
        <f>IFERROR(('Attainment 25+ by race &amp; gender'!IP59/'Pop 25+ by race &amp; gender'!ET58)*100,"-")</f>
        <v>95.28404515178886</v>
      </c>
      <c r="CV60" s="350">
        <f>IFERROR(('Attainment 25+ by race &amp; gender'!HR59/'Pop 25+ by race &amp; gender'!DV58)*100,"-")</f>
        <v>88.205914834616692</v>
      </c>
      <c r="CW60" s="452">
        <f>IFERROR(('Attainment 25+ by race &amp; gender'!IQ59/'Pop 25+ by race &amp; gender'!EU58)*100, "-")</f>
        <v>90.332669748566857</v>
      </c>
      <c r="CX60" s="452">
        <f>IFERROR(('Attainment 25+ by race &amp; gender'!HS59/'Pop 25+ by race &amp; gender'!DX58)*100, "-")</f>
        <v>72.869511240405245</v>
      </c>
      <c r="CY60" s="452">
        <f>IFERROR(('Attainment 25+ by race &amp; gender'!IR59/'Pop 25+ by race &amp; gender'!EW58)*100, "-")</f>
        <v>77.257823074955894</v>
      </c>
      <c r="CZ60" s="452">
        <f>IFERROR(('Attainment 25+ by race &amp; gender'!HU59/'Pop 25+ by race &amp; gender'!DY58)*100, "-")</f>
        <v>92.95594796749053</v>
      </c>
      <c r="DA60" s="452">
        <f>IFERROR(('Attainment 25+ by race &amp; gender'!IT59/'Pop 25+ by race &amp; gender'!EX58)*100, "-")</f>
        <v>92.99589069676729</v>
      </c>
      <c r="DB60" s="452" t="str">
        <f>IFERROR(('Attainment 25+ by race &amp; gender'!HV59/'Pop 25+ by race &amp; gender'!DZ58)*100, "-")</f>
        <v>-</v>
      </c>
      <c r="DC60" s="452" t="str">
        <f>IFERROR(('Attainment 25+ by race &amp; gender'!IU59/'Pop 25+ by race &amp; gender'!EY58)*100, "-")</f>
        <v>-</v>
      </c>
      <c r="DD60" s="452">
        <f>IFERROR(('Attainment 25+ by race &amp; gender'!HW59/'Pop 25+ by race &amp; gender'!EA58)*100, "-")</f>
        <v>73.559500526553336</v>
      </c>
      <c r="DE60" s="452">
        <f>IFERROR(('Attainment 25+ by race &amp; gender'!IV59/'Pop 25+ by race &amp; gender'!EZ58)*100, "-")</f>
        <v>74.08145017070396</v>
      </c>
      <c r="DF60" s="452">
        <f>IFERROR(('Attainment 25+ by race &amp; gender'!HX59/'Pop 25+ by race &amp; gender'!EB58)*100, "-")</f>
        <v>86.647283155263921</v>
      </c>
      <c r="DG60" s="452">
        <f>IFERROR(('Attainment 25+ by race &amp; gender'!IW59/'Pop 25+ by race &amp; gender'!FA58)*100, "-")</f>
        <v>84.328990668529954</v>
      </c>
      <c r="DH60" s="452">
        <f>IFERROR(('Attainment 25+ by race &amp; gender'!HY59/'Pop 25+ by race &amp; gender'!EC58)*100, "-")</f>
        <v>69.035283953283866</v>
      </c>
      <c r="DI60" s="452">
        <f>IFERROR(('Attainment 25+ by race &amp; gender'!IX59/'Pop 25+ by race &amp; gender'!FB58)*100, "-")</f>
        <v>73.103688599532845</v>
      </c>
      <c r="DJ60" s="452">
        <f>IFERROR(('Attainment 25+ by race &amp; gender'!ZV59/'Pop 25+ by race &amp; gender'!DU58)*100, "-")</f>
        <v>43.027504809841041</v>
      </c>
      <c r="DK60" s="452">
        <f>IFERROR(('Attainment 25+ by race &amp; gender'!AAU59/'Pop 25+ by race &amp; gender'!ET58)*100, "-")</f>
        <v>47.899165973312925</v>
      </c>
      <c r="DL60" s="452">
        <f>IFERROR(('Attainment 25+ by race &amp; gender'!ZW59/'Pop 25+ by race &amp; gender'!DV58)*100, "-")</f>
        <v>23.452950872381553</v>
      </c>
      <c r="DM60" s="452">
        <f>IFERROR(('Attainment 25+ by race &amp; gender'!AAV59/'Pop 25+ by race &amp; gender'!EU58)*100, "-")</f>
        <v>28.708629444133454</v>
      </c>
      <c r="DN60" s="452">
        <f>IFERROR(('Attainment 25+ by race &amp; gender'!ZX59/'Pop 25+ by race &amp; gender'!DX58)*100, "-")</f>
        <v>17.311196861117416</v>
      </c>
      <c r="DO60" s="452">
        <f>IFERROR(('Attainment 25+ by race &amp; gender'!AAW59/'Pop 25+ by race &amp; gender'!EW58)*100, "-")</f>
        <v>22.778419373176678</v>
      </c>
      <c r="DP60" s="452">
        <f>IFERROR(('Attainment 25+ by race &amp; gender'!ZZ59/'Pop 25+ by race &amp; gender'!DY58)*100, "-")</f>
        <v>68.927217582755091</v>
      </c>
      <c r="DQ60" s="452">
        <f>IFERROR(('Attainment 25+ by race &amp; gender'!AAY59/'Pop 25+ by race &amp; gender'!EX58)*100, "-")</f>
        <v>71.860948919455851</v>
      </c>
      <c r="DR60" s="452" t="str">
        <f>IFERROR(('Attainment 25+ by race &amp; gender'!AAA59/'Pop 25+ by race &amp; gender'!DZ58)*100, "-")</f>
        <v>-</v>
      </c>
      <c r="DS60" s="452" t="str">
        <f>IFERROR(('Attainment 25+ by race &amp; gender'!AAZ59/'Pop 25+ by race &amp; gender'!EY58)*100, "-")</f>
        <v>-</v>
      </c>
      <c r="DT60" s="452">
        <f>IFERROR(('Attainment 25+ by race &amp; gender'!AAB59/'Pop 25+ by race &amp; gender'!EA58)*100, "-")</f>
        <v>19.226718820520535</v>
      </c>
      <c r="DU60" s="452">
        <f>IFERROR(('Attainment 25+ by race &amp; gender'!ABA59/'Pop 25+ by race &amp; gender'!EZ58)*100, "-")</f>
        <v>17.358966021785076</v>
      </c>
      <c r="DV60" s="452">
        <f>IFERROR(('Attainment 25+ by race &amp; gender'!AAC59/'Pop 25+ by race &amp; gender'!EB58)*100, "-")</f>
        <v>35.700843381891687</v>
      </c>
      <c r="DW60" s="452">
        <f>IFERROR(('Attainment 25+ by race &amp; gender'!ABB59/'Pop 25+ by race &amp; gender'!FA58)*100, "-")</f>
        <v>31.738718838750398</v>
      </c>
      <c r="DX60" s="452">
        <f>IFERROR(('Attainment 25+ by race &amp; gender'!AAD59/'Pop 25+ by race &amp; gender'!EC58)*100, "-")</f>
        <v>11.529691284693829</v>
      </c>
      <c r="DY60" s="452">
        <f>IFERROR(('Attainment 25+ by race &amp; gender'!ABC59/'Pop 25+ by race &amp; gender'!FB58)*100, "-")</f>
        <v>17.693788620579014</v>
      </c>
    </row>
    <row r="61" spans="1:129">
      <c r="A61" s="38" t="s">
        <v>57</v>
      </c>
      <c r="B61" s="351">
        <f>('Attainment 25+ by race &amp; gender'!FS60/'Pop 25+ by race &amp; gender'!AT59)*100</f>
        <v>83.990700904030291</v>
      </c>
      <c r="C61" s="444">
        <f>('Attainment 25+ by race &amp; gender'!GR60/'Pop 25+ by race &amp; gender'!CV59)*100</f>
        <v>89.3</v>
      </c>
      <c r="D61" s="352">
        <f>('Attainment 25+ by race &amp; gender'!FT60/'Pop 25+ by race &amp; gender'!AZ59)*100</f>
        <v>70.635527172445322</v>
      </c>
      <c r="E61" s="351">
        <f>IF('Pop 25+ by race &amp; gender'!CW59&gt;0,('Attainment 25+ by race &amp; gender'!GS60/'Pop 25+ by race &amp; gender'!CW59)*100,"—")</f>
        <v>80.800000000000011</v>
      </c>
      <c r="F61" s="352">
        <f>('Attainment 25+ by race &amp; gender'!FU60/'Pop 25+ by race &amp; gender'!BC59)*100</f>
        <v>55.027954419883564</v>
      </c>
      <c r="G61" s="351">
        <f>('Attainment 25+ by race &amp; gender'!GT60/'Pop 25+ by race &amp; gender'!CY59)*100</f>
        <v>64.8</v>
      </c>
      <c r="H61" s="352">
        <f>('Attainment 25+ by race &amp; gender'!XM60/'Pop 25+ by race &amp; gender'!AT59)*100</f>
        <v>30.457739249598582</v>
      </c>
      <c r="I61" s="351">
        <f>('Attainment 25+ by race &amp; gender'!YW60/'Pop 25+ by race &amp; gender'!CV59)*100</f>
        <v>36.000000000000007</v>
      </c>
      <c r="J61" s="352">
        <f>('Attainment 25+ by race &amp; gender'!XS60/'Pop 25+ by race &amp; gender'!AZ59)*100</f>
        <v>15.840274408248384</v>
      </c>
      <c r="K61" s="351">
        <f>IF('Pop 25+ by race &amp; gender'!CW59&gt;0,('Attainment 25+ by race &amp; gender'!YX60/'Pop 25+ by race &amp; gender'!CW59)*100,"—")</f>
        <v>20.7</v>
      </c>
      <c r="L61" s="352">
        <f>('Attainment 25+ by race &amp; gender'!XV60/'Pop 25+ by race &amp; gender'!BC59)*100</f>
        <v>11.485557548861081</v>
      </c>
      <c r="M61" s="437">
        <f>('Attainment 25+ by race &amp; gender'!YY60/'Pop 25+ by race &amp; gender'!CY59)*100</f>
        <v>15.7</v>
      </c>
      <c r="N61" s="351">
        <f>('Attainment 25+ by race &amp; gender'!FS60/'Pop 25+ by race &amp; gender'!AT59)*100</f>
        <v>83.990700904030291</v>
      </c>
      <c r="O61" s="445">
        <f>('Attainment 25+ by race &amp; gender'!GW60/'Pop 25+ by race &amp; gender'!DA59)*100</f>
        <v>91.899774338246004</v>
      </c>
      <c r="P61" s="352">
        <f>('Attainment 25+ by race &amp; gender'!FT60/'Pop 25+ by race &amp; gender'!AZ59)*100</f>
        <v>70.635527172445322</v>
      </c>
      <c r="Q61" s="351">
        <f>('Attainment 25+ by race &amp; gender'!GX60/'Pop 25+ by race &amp; gender'!DB59)*100</f>
        <v>81.0286150007651</v>
      </c>
      <c r="R61" s="352">
        <f>('Attainment 25+ by race &amp; gender'!FU60/'Pop 25+ by race &amp; gender'!BC59)*100</f>
        <v>55.027954419883564</v>
      </c>
      <c r="S61" s="351">
        <f>('Attainment 25+ by race &amp; gender'!GY60/'Pop 25+ by race &amp; gender'!DD59)*100</f>
        <v>65.263243361143964</v>
      </c>
      <c r="T61" s="352">
        <f>('Attainment 25+ by race &amp; gender'!XM60/'Pop 25+ by race &amp; gender'!AT59)*100</f>
        <v>30.457739249598582</v>
      </c>
      <c r="U61" s="351">
        <f>('Attainment 25+ by race &amp; gender'!ZB60/'Pop 25+ by race &amp; gender'!DA59)*100</f>
        <v>38.612302162165705</v>
      </c>
      <c r="V61" s="352">
        <f>('Attainment 25+ by race &amp; gender'!XS60/'Pop 25+ by race &amp; gender'!AZ59)*100</f>
        <v>15.840274408248384</v>
      </c>
      <c r="W61" s="351">
        <f>('Attainment 25+ by race &amp; gender'!ZC60/'Pop 25+ by race &amp; gender'!DB59)*100</f>
        <v>20.743372747149003</v>
      </c>
      <c r="X61" s="352">
        <f>('Attainment 25+ by race &amp; gender'!XV60/'Pop 25+ by race &amp; gender'!BC59)*100</f>
        <v>11.485557548861081</v>
      </c>
      <c r="Y61" s="437">
        <f>('Attainment 25+ by race &amp; gender'!ZD60/'Pop 25+ by race &amp; gender'!DD59)*100</f>
        <v>15.873921068789281</v>
      </c>
      <c r="Z61" s="351">
        <f>('Attainment 25+ by race &amp; gender'!FS60/'Pop 25+ by race &amp; gender'!AT59)*100</f>
        <v>83.990700904030291</v>
      </c>
      <c r="AA61" s="445">
        <f>('Attainment 25+ by race &amp; gender'!HB60/'Pop 25+ by race &amp; gender'!DF59)*100</f>
        <v>92.154370620097893</v>
      </c>
      <c r="AB61" s="352">
        <f>('Attainment 25+ by race &amp; gender'!FT60/'Pop 25+ by race &amp; gender'!AZ59)*100</f>
        <v>70.635527172445322</v>
      </c>
      <c r="AC61" s="351">
        <f>('Attainment 25+ by race &amp; gender'!HC60/'Pop 25+ by race &amp; gender'!DG59)*100</f>
        <v>81.31574596085791</v>
      </c>
      <c r="AD61" s="352">
        <f>('Attainment 25+ by race &amp; gender'!FU60/'Pop 25+ by race &amp; gender'!BC59)*100</f>
        <v>55.027954419883564</v>
      </c>
      <c r="AE61" s="351">
        <f>('Attainment 25+ by race &amp; gender'!HD60/'Pop 25+ by race &amp; gender'!DI59)*100</f>
        <v>66.073208817276239</v>
      </c>
      <c r="AF61" s="352">
        <f>('Attainment 25+ by race &amp; gender'!XM60/'Pop 25+ by race &amp; gender'!AT59)*100</f>
        <v>30.457739249598582</v>
      </c>
      <c r="AG61" s="351">
        <f>('Attainment 25+ by race &amp; gender'!ZG60/'Pop 25+ by race &amp; gender'!DF59)*100</f>
        <v>39.283894620610731</v>
      </c>
      <c r="AH61" s="352">
        <f>('Attainment 25+ by race &amp; gender'!XS60/'Pop 25+ by race &amp; gender'!AZ59)*100</f>
        <v>15.840274408248384</v>
      </c>
      <c r="AI61" s="351">
        <f>('Attainment 25+ by race &amp; gender'!ZH60/'Pop 25+ by race &amp; gender'!DG59)*100</f>
        <v>21.175696090039811</v>
      </c>
      <c r="AJ61" s="352">
        <f>('Attainment 25+ by race &amp; gender'!XV60/'Pop 25+ by race &amp; gender'!BC59)*100</f>
        <v>11.485557548861081</v>
      </c>
      <c r="AK61" s="453">
        <f>('Attainment 25+ by race &amp; gender'!ZI60/'Pop 25+ by race &amp; gender'!DI59)*100</f>
        <v>16.484004537266134</v>
      </c>
      <c r="AL61" s="352">
        <f>('Attainment 25+ by race &amp; gender'!FS60/'Pop 25+ by race &amp; gender'!AT59)*100</f>
        <v>83.990700904030291</v>
      </c>
      <c r="AM61" s="453">
        <f>('Attainment 25+ by race &amp; gender'!HL60/'Pop 25+ by race &amp; gender'!DP59)*100</f>
        <v>92.885157884818526</v>
      </c>
      <c r="AN61" s="352">
        <v>70.635527172445322</v>
      </c>
      <c r="AO61" s="453">
        <f>('Attainment 25+ by race &amp; gender'!HM60/'Pop 25+ by race &amp; gender'!DQ59)*100</f>
        <v>83.146373349944653</v>
      </c>
      <c r="AP61" s="453">
        <f>('Attainment 25+ by race &amp; gender'!FU60/'Pop 25+ by race &amp; gender'!BC59)*100</f>
        <v>55.027954419883564</v>
      </c>
      <c r="AQ61" s="453">
        <f>('Attainment 25+ by race &amp; gender'!HN60/'Pop 25+ by race &amp; gender'!DS59)*100</f>
        <v>67.647685324467417</v>
      </c>
      <c r="AR61" s="453">
        <f>('Attainment 25+ by race &amp; gender'!XM60/'Pop 25+ by race &amp; gender'!AT59)*100</f>
        <v>30.457739249598582</v>
      </c>
      <c r="AS61" s="453">
        <f>('Attainment 25+ by race &amp; gender'!ZQ60/'Pop 25+ by race &amp; gender'!DP59)*100</f>
        <v>40.974387736862035</v>
      </c>
      <c r="AT61" s="453">
        <f>('Attainment 25+ by race &amp; gender'!XS60/'Pop 25+ by race &amp; gender'!AZ59)*100</f>
        <v>15.840274408248384</v>
      </c>
      <c r="AU61" s="453">
        <f>('Attainment 25+ by race &amp; gender'!ZR60/'Pop 25+ by race &amp; gender'!DQ59)*100</f>
        <v>23.308829655963212</v>
      </c>
      <c r="AV61" s="453">
        <f>('Attainment 25+ by race &amp; gender'!XV60/'Pop 25+ by race &amp; gender'!BC59)*100</f>
        <v>11.485557548861081</v>
      </c>
      <c r="AW61" s="453">
        <f>('Attainment 25+ by race &amp; gender'!ZS60/'Pop 25+ by race &amp; gender'!DS59)*100</f>
        <v>17.618237196872041</v>
      </c>
      <c r="AX61" s="352">
        <f>('Attainment 25+ by race &amp; gender'!GR60/'Pop 25+ by race &amp; gender'!CV59)*100</f>
        <v>89.3</v>
      </c>
      <c r="AY61" s="453">
        <f>('Attainment 25+ by race &amp; gender'!HQ60/'Pop 25+ by race &amp; gender'!DU59)*100</f>
        <v>93.048339533784855</v>
      </c>
      <c r="AZ61" s="352">
        <f>('Attainment 25+ by race &amp; gender'!GS60/'Pop 25+ by race &amp; gender'!CW59)*100</f>
        <v>80.800000000000011</v>
      </c>
      <c r="BA61" s="453">
        <f>('Attainment 25+ by race &amp; gender'!HR60/'Pop 25+ by race &amp; gender'!DV59)*100</f>
        <v>83.497466871845816</v>
      </c>
      <c r="BB61" s="453">
        <f>('Attainment 25+ by race &amp; gender'!GT60/'Pop 25+ by race &amp; gender'!CY59)*100</f>
        <v>64.8</v>
      </c>
      <c r="BC61" s="453">
        <f>('Attainment 25+ by race &amp; gender'!HS60/'Pop 25+ by race &amp; gender'!DX59)*100</f>
        <v>68.928942503110719</v>
      </c>
      <c r="BD61" s="453">
        <f>('Attainment 25+ by race &amp; gender'!YW60/'Pop 25+ by race &amp; gender'!CV59)*100</f>
        <v>36.000000000000007</v>
      </c>
      <c r="BE61" s="453">
        <f>('Attainment 25+ by race &amp; gender'!ZV60/'Pop 25+ by race &amp; gender'!DU59)*100</f>
        <v>42.063011846471014</v>
      </c>
      <c r="BF61" s="453">
        <f>('Attainment 25+ by race &amp; gender'!YX60/'Pop 25+ by race &amp; gender'!CW59)*100</f>
        <v>20.7</v>
      </c>
      <c r="BG61" s="453">
        <f>('Attainment 25+ by race &amp; gender'!ZW60/'Pop 25+ by race &amp; gender'!DV59)*100</f>
        <v>23.53809859939815</v>
      </c>
      <c r="BH61" s="453">
        <f>('Attainment 25+ by race &amp; gender'!YY60/'Pop 25+ by race &amp; gender'!CY59)*100</f>
        <v>15.7</v>
      </c>
      <c r="BI61" s="453">
        <f>('Attainment 25+ by race &amp; gender'!ZX60/'Pop 25+ by race &amp; gender'!DX59)*100</f>
        <v>18.135377311511686</v>
      </c>
      <c r="BJ61" s="352">
        <f>('Attainment 25+ by race &amp; gender'!GW60/'Pop 25+ by race &amp; gender'!DA59)*100</f>
        <v>91.899774338246004</v>
      </c>
      <c r="BK61" s="453">
        <f>('Attainment 25+ by race &amp; gender'!IA60/'Pop 25+ by race &amp; gender'!EE59)*100</f>
        <v>93.403968550451125</v>
      </c>
      <c r="BL61" s="352">
        <f>('Attainment 25+ by race &amp; gender'!GX60/'Pop 25+ by race &amp; gender'!DB59)*100</f>
        <v>81.0286150007651</v>
      </c>
      <c r="BM61" s="453">
        <f>('Attainment 25+ by race &amp; gender'!IB60/'Pop 25+ by race &amp; gender'!EF59)*100</f>
        <v>83.414297314607253</v>
      </c>
      <c r="BN61" s="453">
        <f>('Attainment 25+ by race &amp; gender'!GY60/'Pop 25+ by race &amp; gender'!DD59)*100</f>
        <v>65.263243361143964</v>
      </c>
      <c r="BO61" s="453">
        <f>('Attainment 25+ by race &amp; gender'!IC60/'Pop 25+ by race &amp; gender'!EH59)*100</f>
        <v>69.79743753408097</v>
      </c>
      <c r="BP61" s="453">
        <f>('Attainment 25+ by race &amp; gender'!ZB60/'Pop 25+ by race &amp; gender'!DA59)*100</f>
        <v>38.612302162165705</v>
      </c>
      <c r="BQ61" s="453">
        <f>('Attainment 25+ by race &amp; gender'!AAF60/'Pop 25+ by race &amp; gender'!EE59)*100</f>
        <v>42.72135548617679</v>
      </c>
      <c r="BR61" s="453">
        <f>('Attainment 25+ by race &amp; gender'!ZC60/'Pop 25+ by race &amp; gender'!DB59)*100</f>
        <v>20.743372747149003</v>
      </c>
      <c r="BS61" s="453">
        <f>('Attainment 25+ by race &amp; gender'!AAG60/'Pop 25+ by race &amp; gender'!EF59)*100</f>
        <v>23.912966817634231</v>
      </c>
      <c r="BT61" s="453">
        <f>('Attainment 25+ by race &amp; gender'!ZD60/'Pop 25+ by race &amp; gender'!DD59)*100</f>
        <v>15.873921068789281</v>
      </c>
      <c r="BU61" s="453">
        <f>('Attainment 25+ by race &amp; gender'!AAH60/'Pop 25+ by race &amp; gender'!EH59)*100</f>
        <v>18.484163182834607</v>
      </c>
      <c r="BV61" s="352">
        <f>('Attainment 25+ by race &amp; gender'!HN60/'Pop 25+ by race &amp; gender'!DR59)*100</f>
        <v>59.82551764613121</v>
      </c>
      <c r="BW61" s="453" t="e">
        <f>('Attainment 25+ by race &amp; gender'!JB60/'Pop 25+ by race &amp; gender'!EQ59)*100</f>
        <v>#VALUE!</v>
      </c>
      <c r="BX61" s="352">
        <f>('Attainment 25+ by race &amp; gender'!HO60/'Pop 25+ by race &amp; gender'!DS59)*100</f>
        <v>72.015758371634931</v>
      </c>
      <c r="BY61" s="453" t="e">
        <f>('Attainment 25+ by race &amp; gender'!JC60/'Pop 25+ by race &amp; gender'!ER59)*100</f>
        <v>#VALUE!</v>
      </c>
      <c r="BZ61" s="453">
        <f>('Attainment 25+ by race &amp; gender'!HP60/'Pop 25+ by race &amp; gender'!DU59)*100</f>
        <v>147.24286783574237</v>
      </c>
      <c r="CA61" s="453">
        <f>('Attainment 25+ by race &amp; gender'!JD60/'Pop 25+ by race &amp; gender'!ET59)*100</f>
        <v>33.375237253255342</v>
      </c>
      <c r="CB61" s="453">
        <f>('Attainment 25+ by race &amp; gender'!ZS60/'Pop 25+ by race &amp; gender'!DR59)*100</f>
        <v>15.581023286453322</v>
      </c>
      <c r="CC61" s="453">
        <f>('Attainment 25+ by race &amp; gender'!ABB60/'Pop 25+ by race &amp; gender'!EQ59)*100</f>
        <v>16.018876170945948</v>
      </c>
      <c r="CD61" s="453">
        <f>('Attainment 25+ by race &amp; gender'!ZT60/'Pop 25+ by race &amp; gender'!DS59)*100</f>
        <v>31.181460635912661</v>
      </c>
      <c r="CE61" s="453">
        <f>('Attainment 25+ by race &amp; gender'!ABC60/'Pop 25+ by race &amp; gender'!ER59)*100</f>
        <v>10.655587633479859</v>
      </c>
      <c r="CF61" s="453">
        <f>('Attainment 25+ by race &amp; gender'!ZU60/'Pop 25+ by race &amp; gender'!DU59)*100</f>
        <v>60.817340158098709</v>
      </c>
      <c r="CG61" s="453">
        <f>('Attainment 25+ by race &amp; gender'!ABD60/'Pop 25+ by race &amp; gender'!ET59)*100</f>
        <v>18.829645669551986</v>
      </c>
      <c r="CH61" s="352">
        <f>('Attainment 25+ by race &amp; gender'!HG60/'Pop 25+ by race &amp; gender'!DK59)*100</f>
        <v>92.550933207156561</v>
      </c>
      <c r="CI61" s="452">
        <f>('Attainment 25+ by race &amp; gender'!IK60/'Pop 25+ by race &amp; gender'!EO59)*100</f>
        <v>93.726454904948156</v>
      </c>
      <c r="CJ61" s="352">
        <f>('Attainment 25+ by race &amp; gender'!HH60/'Pop 25+ by race &amp; gender'!DL59)*100</f>
        <v>82.780440043818402</v>
      </c>
      <c r="CK61" s="453">
        <f>('Attainment 25+ by race &amp; gender'!IL60/'Pop 25+ by race &amp; gender'!EP59)*100</f>
        <v>85.046217816211168</v>
      </c>
      <c r="CL61" s="453">
        <f>('Attainment 25+ by race &amp; gender'!HI60/'Pop 25+ by race &amp; gender'!DN59)*100</f>
        <v>67.03034997984696</v>
      </c>
      <c r="CM61" s="453">
        <f>('Attainment 25+ by race &amp; gender'!IM60/'Pop 25+ by race &amp; gender'!ER59)*100</f>
        <v>72.622070817433297</v>
      </c>
      <c r="CN61" s="453">
        <f>('Attainment 25+ by race &amp; gender'!ZL60/'Pop 25+ by race &amp; gender'!DK59)*100</f>
        <v>40.522495324168659</v>
      </c>
      <c r="CO61" s="453">
        <f>('Attainment 25+ by race &amp; gender'!AAP60/'Pop 25+ by race &amp; gender'!EO59)*100</f>
        <v>44.500019063444029</v>
      </c>
      <c r="CP61" s="453">
        <f>('Attainment 25+ by race &amp; gender'!ZM60/'Pop 25+ by race &amp; gender'!DL59)*100</f>
        <v>22.881343711446938</v>
      </c>
      <c r="CQ61" s="453">
        <f>('Attainment 25+ by race &amp; gender'!AAQ60/'Pop 25+ by race &amp; gender'!EP59)*100</f>
        <v>24.513014183636248</v>
      </c>
      <c r="CR61" s="453">
        <f>('Attainment 25+ by race &amp; gender'!ZN60/'Pop 25+ by race &amp; gender'!DN59)*100</f>
        <v>17.418559936301126</v>
      </c>
      <c r="CS61" s="453">
        <f>('Attainment 25+ by race &amp; gender'!AAR60/'Pop 25+ by race &amp; gender'!ER59)*100</f>
        <v>21.067101442150392</v>
      </c>
      <c r="CT61" s="350">
        <f>IFERROR(('Attainment 25+ by race &amp; gender'!HQ60/'Pop 25+ by race &amp; gender'!DU59)*100,"-")</f>
        <v>93.048339533784855</v>
      </c>
      <c r="CU61" s="452">
        <f>IFERROR(('Attainment 25+ by race &amp; gender'!IP60/'Pop 25+ by race &amp; gender'!ET59)*100,"-")</f>
        <v>94.378097278545383</v>
      </c>
      <c r="CV61" s="350">
        <f>IFERROR(('Attainment 25+ by race &amp; gender'!HR60/'Pop 25+ by race &amp; gender'!DV59)*100,"-")</f>
        <v>83.497466871845816</v>
      </c>
      <c r="CW61" s="452">
        <f>IFERROR(('Attainment 25+ by race &amp; gender'!IQ60/'Pop 25+ by race &amp; gender'!EU59)*100, "-")</f>
        <v>85.904298199196333</v>
      </c>
      <c r="CX61" s="452">
        <f>IFERROR(('Attainment 25+ by race &amp; gender'!HS60/'Pop 25+ by race &amp; gender'!DX59)*100, "-")</f>
        <v>68.928942503110719</v>
      </c>
      <c r="CY61" s="452">
        <f>IFERROR(('Attainment 25+ by race &amp; gender'!IR60/'Pop 25+ by race &amp; gender'!EW59)*100, "-")</f>
        <v>73.554896446212609</v>
      </c>
      <c r="CZ61" s="452">
        <f>IFERROR(('Attainment 25+ by race &amp; gender'!HU60/'Pop 25+ by race &amp; gender'!DY59)*100, "-")</f>
        <v>78.758947671375353</v>
      </c>
      <c r="DA61" s="452">
        <f>IFERROR(('Attainment 25+ by race &amp; gender'!IT60/'Pop 25+ by race &amp; gender'!EX59)*100, "-")</f>
        <v>79.796983437996047</v>
      </c>
      <c r="DB61" s="452">
        <f>IFERROR(('Attainment 25+ by race &amp; gender'!HV60/'Pop 25+ by race &amp; gender'!DZ59)*100, "-")</f>
        <v>78.955078125</v>
      </c>
      <c r="DC61" s="452" t="str">
        <f>IFERROR(('Attainment 25+ by race &amp; gender'!IU60/'Pop 25+ by race &amp; gender'!EY59)*100, "-")</f>
        <v>-</v>
      </c>
      <c r="DD61" s="452">
        <f>IFERROR(('Attainment 25+ by race &amp; gender'!HW60/'Pop 25+ by race &amp; gender'!EA59)*100, "-")</f>
        <v>73.420109413318244</v>
      </c>
      <c r="DE61" s="452">
        <f>IFERROR(('Attainment 25+ by race &amp; gender'!IV60/'Pop 25+ by race &amp; gender'!EZ59)*100, "-")</f>
        <v>70.696138677428237</v>
      </c>
      <c r="DF61" s="452">
        <f>IFERROR(('Attainment 25+ by race &amp; gender'!HX60/'Pop 25+ by race &amp; gender'!EB59)*100, "-")</f>
        <v>0</v>
      </c>
      <c r="DG61" s="452">
        <f>IFERROR(('Attainment 25+ by race &amp; gender'!IW60/'Pop 25+ by race &amp; gender'!FA59)*100, "-")</f>
        <v>81.929931867451216</v>
      </c>
      <c r="DH61" s="452">
        <f>IFERROR(('Attainment 25+ by race &amp; gender'!HY60/'Pop 25+ by race &amp; gender'!EC59)*100, "-")</f>
        <v>65.134205207863573</v>
      </c>
      <c r="DI61" s="452">
        <f>IFERROR(('Attainment 25+ by race &amp; gender'!IX60/'Pop 25+ by race &amp; gender'!FB59)*100, "-")</f>
        <v>69.315234458220274</v>
      </c>
      <c r="DJ61" s="452">
        <f>IFERROR(('Attainment 25+ by race &amp; gender'!ZV60/'Pop 25+ by race &amp; gender'!DU59)*100, "-")</f>
        <v>42.063011846471014</v>
      </c>
      <c r="DK61" s="452">
        <f>IFERROR(('Attainment 25+ by race &amp; gender'!AAU60/'Pop 25+ by race &amp; gender'!ET59)*100, "-")</f>
        <v>46.609754743664631</v>
      </c>
      <c r="DL61" s="452">
        <f>IFERROR(('Attainment 25+ by race &amp; gender'!ZW60/'Pop 25+ by race &amp; gender'!DV59)*100, "-")</f>
        <v>23.53809859939815</v>
      </c>
      <c r="DM61" s="452">
        <f>IFERROR(('Attainment 25+ by race &amp; gender'!AAV60/'Pop 25+ by race &amp; gender'!EU59)*100, "-")</f>
        <v>27.562248854860847</v>
      </c>
      <c r="DN61" s="452">
        <f>IFERROR(('Attainment 25+ by race &amp; gender'!ZX60/'Pop 25+ by race &amp; gender'!DX59)*100, "-")</f>
        <v>18.135377311511686</v>
      </c>
      <c r="DO61" s="452">
        <f>IFERROR(('Attainment 25+ by race &amp; gender'!AAW60/'Pop 25+ by race &amp; gender'!EW59)*100, "-")</f>
        <v>23.306741914005325</v>
      </c>
      <c r="DP61" s="452">
        <f>IFERROR(('Attainment 25+ by race &amp; gender'!ZZ60/'Pop 25+ by race &amp; gender'!DY59)*100, "-")</f>
        <v>46.149029957131965</v>
      </c>
      <c r="DQ61" s="452">
        <f>IFERROR(('Attainment 25+ by race &amp; gender'!AAY60/'Pop 25+ by race &amp; gender'!EX59)*100, "-")</f>
        <v>49.445061888159799</v>
      </c>
      <c r="DR61" s="452">
        <f>IFERROR(('Attainment 25+ by race &amp; gender'!AAA60/'Pop 25+ by race &amp; gender'!DZ59)*100, "-")</f>
        <v>19.3359375</v>
      </c>
      <c r="DS61" s="452" t="str">
        <f>IFERROR(('Attainment 25+ by race &amp; gender'!AAZ60/'Pop 25+ by race &amp; gender'!EY59)*100, "-")</f>
        <v>-</v>
      </c>
      <c r="DT61" s="452">
        <f>IFERROR(('Attainment 25+ by race &amp; gender'!AAB60/'Pop 25+ by race &amp; gender'!EA59)*100, "-")</f>
        <v>16.076631243580874</v>
      </c>
      <c r="DU61" s="452">
        <f>IFERROR(('Attainment 25+ by race &amp; gender'!ABA60/'Pop 25+ by race &amp; gender'!EZ59)*100, "-")</f>
        <v>19.030148976035431</v>
      </c>
      <c r="DV61" s="452">
        <f>IFERROR(('Attainment 25+ by race &amp; gender'!AAC60/'Pop 25+ by race &amp; gender'!EB59)*100, "-")</f>
        <v>0</v>
      </c>
      <c r="DW61" s="452">
        <f>IFERROR(('Attainment 25+ by race &amp; gender'!ABB60/'Pop 25+ by race &amp; gender'!FA59)*100, "-")</f>
        <v>32.888665221430784</v>
      </c>
      <c r="DX61" s="452">
        <f>IFERROR(('Attainment 25+ by race &amp; gender'!AAD60/'Pop 25+ by race &amp; gender'!EC59)*100, "-")</f>
        <v>13.536974866332988</v>
      </c>
      <c r="DY61" s="452">
        <f>IFERROR(('Attainment 25+ by race &amp; gender'!ABC60/'Pop 25+ by race &amp; gender'!FB59)*100, "-")</f>
        <v>19.061894180110798</v>
      </c>
    </row>
    <row r="62" spans="1:129">
      <c r="A62" s="38" t="s">
        <v>58</v>
      </c>
      <c r="B62" s="351">
        <f>('Attainment 25+ by race &amp; gender'!FS61/'Pop 25+ by race &amp; gender'!AT60)*100</f>
        <v>83.407985054395411</v>
      </c>
      <c r="C62" s="444">
        <f>('Attainment 25+ by race &amp; gender'!GR61/'Pop 25+ by race &amp; gender'!CV60)*100</f>
        <v>89.800000000000011</v>
      </c>
      <c r="D62" s="352">
        <f>('Attainment 25+ by race &amp; gender'!FT61/'Pop 25+ by race &amp; gender'!AZ60)*100</f>
        <v>71.842834326519039</v>
      </c>
      <c r="E62" s="351">
        <f>IF('Pop 25+ by race &amp; gender'!CW60&gt;0,('Attainment 25+ by race &amp; gender'!GS61/'Pop 25+ by race &amp; gender'!CW60)*100,"—")</f>
        <v>82.600000000000009</v>
      </c>
      <c r="F62" s="352">
        <f>('Attainment 25+ by race &amp; gender'!FU61/'Pop 25+ by race &amp; gender'!BC60)*100</f>
        <v>56.875111311325988</v>
      </c>
      <c r="G62" s="351">
        <f>('Attainment 25+ by race &amp; gender'!GT61/'Pop 25+ by race &amp; gender'!CY60)*100</f>
        <v>66.400000000000006</v>
      </c>
      <c r="H62" s="352">
        <f>('Attainment 25+ by race &amp; gender'!XM61/'Pop 25+ by race &amp; gender'!AT60)*100</f>
        <v>23.098670168830285</v>
      </c>
      <c r="I62" s="351">
        <f>('Attainment 25+ by race &amp; gender'!YW61/'Pop 25+ by race &amp; gender'!CV60)*100</f>
        <v>27.900000000000002</v>
      </c>
      <c r="J62" s="352">
        <f>('Attainment 25+ by race &amp; gender'!XS61/'Pop 25+ by race &amp; gender'!AZ60)*100</f>
        <v>11.952192353358914</v>
      </c>
      <c r="K62" s="351">
        <f>IF('Pop 25+ by race &amp; gender'!CW60&gt;0,('Attainment 25+ by race &amp; gender'!YX61/'Pop 25+ by race &amp; gender'!CW60)*100,"—")</f>
        <v>14.800000000000002</v>
      </c>
      <c r="L62" s="352">
        <f>('Attainment 25+ by race &amp; gender'!XV61/'Pop 25+ by race &amp; gender'!BC60)*100</f>
        <v>12.006956303102049</v>
      </c>
      <c r="M62" s="437">
        <f>('Attainment 25+ by race &amp; gender'!YY61/'Pop 25+ by race &amp; gender'!CY60)*100</f>
        <v>13.299999999999997</v>
      </c>
      <c r="N62" s="351">
        <f>('Attainment 25+ by race &amp; gender'!FS61/'Pop 25+ by race &amp; gender'!AT60)*100</f>
        <v>83.407985054395411</v>
      </c>
      <c r="O62" s="445">
        <f>('Attainment 25+ by race &amp; gender'!GW61/'Pop 25+ by race &amp; gender'!DA60)*100</f>
        <v>90.636262725977119</v>
      </c>
      <c r="P62" s="352">
        <f>('Attainment 25+ by race &amp; gender'!FT61/'Pop 25+ by race &amp; gender'!AZ60)*100</f>
        <v>71.842834326519039</v>
      </c>
      <c r="Q62" s="351">
        <f>('Attainment 25+ by race &amp; gender'!GX61/'Pop 25+ by race &amp; gender'!DB60)*100</f>
        <v>82.940912221856195</v>
      </c>
      <c r="R62" s="352">
        <f>('Attainment 25+ by race &amp; gender'!FU61/'Pop 25+ by race &amp; gender'!BC60)*100</f>
        <v>56.875111311325988</v>
      </c>
      <c r="S62" s="351">
        <f>('Attainment 25+ by race &amp; gender'!GY61/'Pop 25+ by race &amp; gender'!DD60)*100</f>
        <v>67.264615062542518</v>
      </c>
      <c r="T62" s="352">
        <f>('Attainment 25+ by race &amp; gender'!XM61/'Pop 25+ by race &amp; gender'!AT60)*100</f>
        <v>23.098670168830285</v>
      </c>
      <c r="U62" s="351">
        <f>('Attainment 25+ by race &amp; gender'!ZB61/'Pop 25+ by race &amp; gender'!DA60)*100</f>
        <v>28.627945678781774</v>
      </c>
      <c r="V62" s="352">
        <f>('Attainment 25+ by race &amp; gender'!XS61/'Pop 25+ by race &amp; gender'!AZ60)*100</f>
        <v>11.952192353358914</v>
      </c>
      <c r="W62" s="351">
        <f>('Attainment 25+ by race &amp; gender'!ZC61/'Pop 25+ by race &amp; gender'!DB60)*100</f>
        <v>15.119403432062532</v>
      </c>
      <c r="X62" s="352">
        <f>('Attainment 25+ by race &amp; gender'!XV61/'Pop 25+ by race &amp; gender'!BC60)*100</f>
        <v>12.006956303102049</v>
      </c>
      <c r="Y62" s="437">
        <f>('Attainment 25+ by race &amp; gender'!ZD61/'Pop 25+ by race &amp; gender'!DD60)*100</f>
        <v>13.34563249071021</v>
      </c>
      <c r="Z62" s="351">
        <f>('Attainment 25+ by race &amp; gender'!FS61/'Pop 25+ by race &amp; gender'!AT60)*100</f>
        <v>83.407985054395411</v>
      </c>
      <c r="AA62" s="445">
        <f>('Attainment 25+ by race &amp; gender'!HB61/'Pop 25+ by race &amp; gender'!DF60)*100</f>
        <v>90.851910971565985</v>
      </c>
      <c r="AB62" s="352">
        <f>('Attainment 25+ by race &amp; gender'!FT61/'Pop 25+ by race &amp; gender'!AZ60)*100</f>
        <v>71.842834326519039</v>
      </c>
      <c r="AC62" s="351">
        <f>('Attainment 25+ by race &amp; gender'!HC61/'Pop 25+ by race &amp; gender'!DG60)*100</f>
        <v>83.778489607237319</v>
      </c>
      <c r="AD62" s="352">
        <f>('Attainment 25+ by race &amp; gender'!FU61/'Pop 25+ by race &amp; gender'!BC60)*100</f>
        <v>56.875111311325988</v>
      </c>
      <c r="AE62" s="351">
        <f>('Attainment 25+ by race &amp; gender'!HD61/'Pop 25+ by race &amp; gender'!DI60)*100</f>
        <v>68.096205877585618</v>
      </c>
      <c r="AF62" s="352">
        <f>('Attainment 25+ by race &amp; gender'!XM61/'Pop 25+ by race &amp; gender'!AT60)*100</f>
        <v>23.098670168830285</v>
      </c>
      <c r="AG62" s="351">
        <f>('Attainment 25+ by race &amp; gender'!ZG61/'Pop 25+ by race &amp; gender'!DF60)*100</f>
        <v>29.136633877568567</v>
      </c>
      <c r="AH62" s="352">
        <f>('Attainment 25+ by race &amp; gender'!XS61/'Pop 25+ by race &amp; gender'!AZ60)*100</f>
        <v>11.952192353358914</v>
      </c>
      <c r="AI62" s="351">
        <f>('Attainment 25+ by race &amp; gender'!ZH61/'Pop 25+ by race &amp; gender'!DG60)*100</f>
        <v>16.000430567450046</v>
      </c>
      <c r="AJ62" s="352">
        <f>('Attainment 25+ by race &amp; gender'!XV61/'Pop 25+ by race &amp; gender'!BC60)*100</f>
        <v>12.006956303102049</v>
      </c>
      <c r="AK62" s="453">
        <f>('Attainment 25+ by race &amp; gender'!ZI61/'Pop 25+ by race &amp; gender'!DI60)*100</f>
        <v>14.19473087041632</v>
      </c>
      <c r="AL62" s="352">
        <f>('Attainment 25+ by race &amp; gender'!FS61/'Pop 25+ by race &amp; gender'!AT60)*100</f>
        <v>83.407985054395411</v>
      </c>
      <c r="AM62" s="453">
        <f>('Attainment 25+ by race &amp; gender'!HL61/'Pop 25+ by race &amp; gender'!DP60)*100</f>
        <v>91.74666153723517</v>
      </c>
      <c r="AN62" s="352">
        <v>71.842834326519039</v>
      </c>
      <c r="AO62" s="453">
        <f>('Attainment 25+ by race &amp; gender'!HM61/'Pop 25+ by race &amp; gender'!DQ60)*100</f>
        <v>84.607009775785571</v>
      </c>
      <c r="AP62" s="453">
        <f>('Attainment 25+ by race &amp; gender'!FU61/'Pop 25+ by race &amp; gender'!BC60)*100</f>
        <v>56.875111311325988</v>
      </c>
      <c r="AQ62" s="453">
        <f>('Attainment 25+ by race &amp; gender'!HN61/'Pop 25+ by race &amp; gender'!DS60)*100</f>
        <v>69.868426295261671</v>
      </c>
      <c r="AR62" s="453">
        <f>('Attainment 25+ by race &amp; gender'!XM61/'Pop 25+ by race &amp; gender'!AT60)*100</f>
        <v>23.098670168830285</v>
      </c>
      <c r="AS62" s="453">
        <f>('Attainment 25+ by race &amp; gender'!ZQ61/'Pop 25+ by race &amp; gender'!DP60)*100</f>
        <v>31.129785014435189</v>
      </c>
      <c r="AT62" s="453">
        <f>('Attainment 25+ by race &amp; gender'!XS61/'Pop 25+ by race &amp; gender'!AZ60)*100</f>
        <v>11.952192353358914</v>
      </c>
      <c r="AU62" s="453">
        <f>('Attainment 25+ by race &amp; gender'!ZR61/'Pop 25+ by race &amp; gender'!DQ60)*100</f>
        <v>17.053302174725086</v>
      </c>
      <c r="AV62" s="453">
        <f>('Attainment 25+ by race &amp; gender'!XV61/'Pop 25+ by race &amp; gender'!BC60)*100</f>
        <v>12.006956303102049</v>
      </c>
      <c r="AW62" s="453">
        <f>('Attainment 25+ by race &amp; gender'!ZS61/'Pop 25+ by race &amp; gender'!DS60)*100</f>
        <v>15.146028218398182</v>
      </c>
      <c r="AX62" s="352">
        <f>('Attainment 25+ by race &amp; gender'!GR61/'Pop 25+ by race &amp; gender'!CV60)*100</f>
        <v>89.800000000000011</v>
      </c>
      <c r="AY62" s="453">
        <f>('Attainment 25+ by race &amp; gender'!HQ61/'Pop 25+ by race &amp; gender'!DU60)*100</f>
        <v>92.214191300510507</v>
      </c>
      <c r="AZ62" s="352">
        <f>('Attainment 25+ by race &amp; gender'!GS61/'Pop 25+ by race &amp; gender'!CW60)*100</f>
        <v>82.600000000000009</v>
      </c>
      <c r="BA62" s="453">
        <f>('Attainment 25+ by race &amp; gender'!HR61/'Pop 25+ by race &amp; gender'!DV60)*100</f>
        <v>85.574061245534978</v>
      </c>
      <c r="BB62" s="453">
        <f>('Attainment 25+ by race &amp; gender'!GT61/'Pop 25+ by race &amp; gender'!CY60)*100</f>
        <v>66.400000000000006</v>
      </c>
      <c r="BC62" s="453">
        <f>('Attainment 25+ by race &amp; gender'!HS61/'Pop 25+ by race &amp; gender'!DX60)*100</f>
        <v>70.313739174570941</v>
      </c>
      <c r="BD62" s="453">
        <f>('Attainment 25+ by race &amp; gender'!YW61/'Pop 25+ by race &amp; gender'!CV60)*100</f>
        <v>27.900000000000002</v>
      </c>
      <c r="BE62" s="453">
        <f>('Attainment 25+ by race &amp; gender'!ZV61/'Pop 25+ by race &amp; gender'!DU60)*100</f>
        <v>32.171490430166941</v>
      </c>
      <c r="BF62" s="453">
        <f>('Attainment 25+ by race &amp; gender'!YX61/'Pop 25+ by race &amp; gender'!CW60)*100</f>
        <v>14.800000000000002</v>
      </c>
      <c r="BG62" s="453">
        <f>('Attainment 25+ by race &amp; gender'!ZW61/'Pop 25+ by race &amp; gender'!DV60)*100</f>
        <v>19.503595709969378</v>
      </c>
      <c r="BH62" s="453">
        <f>('Attainment 25+ by race &amp; gender'!YY61/'Pop 25+ by race &amp; gender'!CY60)*100</f>
        <v>13.299999999999997</v>
      </c>
      <c r="BI62" s="453">
        <f>('Attainment 25+ by race &amp; gender'!ZX61/'Pop 25+ by race &amp; gender'!DX60)*100</f>
        <v>15.486047224777675</v>
      </c>
      <c r="BJ62" s="352">
        <f>('Attainment 25+ by race &amp; gender'!GW61/'Pop 25+ by race &amp; gender'!DA60)*100</f>
        <v>90.636262725977119</v>
      </c>
      <c r="BK62" s="453">
        <f>('Attainment 25+ by race &amp; gender'!IA61/'Pop 25+ by race &amp; gender'!EE60)*100</f>
        <v>92.45808107104358</v>
      </c>
      <c r="BL62" s="352">
        <f>('Attainment 25+ by race &amp; gender'!GX61/'Pop 25+ by race &amp; gender'!DB60)*100</f>
        <v>82.940912221856195</v>
      </c>
      <c r="BM62" s="453">
        <f>('Attainment 25+ by race &amp; gender'!IB61/'Pop 25+ by race &amp; gender'!EF60)*100</f>
        <v>87.233802580175748</v>
      </c>
      <c r="BN62" s="453">
        <f>('Attainment 25+ by race &amp; gender'!GY61/'Pop 25+ by race &amp; gender'!DD60)*100</f>
        <v>67.264615062542518</v>
      </c>
      <c r="BO62" s="453">
        <f>('Attainment 25+ by race &amp; gender'!IC61/'Pop 25+ by race &amp; gender'!EH60)*100</f>
        <v>72.992733037718992</v>
      </c>
      <c r="BP62" s="453">
        <f>('Attainment 25+ by race &amp; gender'!ZB61/'Pop 25+ by race &amp; gender'!DA60)*100</f>
        <v>28.627945678781774</v>
      </c>
      <c r="BQ62" s="453">
        <f>('Attainment 25+ by race &amp; gender'!AAF61/'Pop 25+ by race &amp; gender'!EE60)*100</f>
        <v>32.951423184731546</v>
      </c>
      <c r="BR62" s="453">
        <f>('Attainment 25+ by race &amp; gender'!ZC61/'Pop 25+ by race &amp; gender'!DB60)*100</f>
        <v>15.119403432062532</v>
      </c>
      <c r="BS62" s="453">
        <f>('Attainment 25+ by race &amp; gender'!AAG61/'Pop 25+ by race &amp; gender'!EF60)*100</f>
        <v>19.29868403738789</v>
      </c>
      <c r="BT62" s="453">
        <f>('Attainment 25+ by race &amp; gender'!ZD61/'Pop 25+ by race &amp; gender'!DD60)*100</f>
        <v>13.34563249071021</v>
      </c>
      <c r="BU62" s="453">
        <f>('Attainment 25+ by race &amp; gender'!AAH61/'Pop 25+ by race &amp; gender'!EH60)*100</f>
        <v>16.060952350294944</v>
      </c>
      <c r="BV62" s="352">
        <f>('Attainment 25+ by race &amp; gender'!HN61/'Pop 25+ by race &amp; gender'!DR60)*100</f>
        <v>58.299332669635447</v>
      </c>
      <c r="BW62" s="453" t="e">
        <f>('Attainment 25+ by race &amp; gender'!JB61/'Pop 25+ by race &amp; gender'!EQ60)*100</f>
        <v>#VALUE!</v>
      </c>
      <c r="BX62" s="352">
        <f>('Attainment 25+ by race &amp; gender'!HO61/'Pop 25+ by race &amp; gender'!DS60)*100</f>
        <v>94.730189790199262</v>
      </c>
      <c r="BY62" s="453" t="e">
        <f>('Attainment 25+ by race &amp; gender'!JC61/'Pop 25+ by race &amp; gender'!ER60)*100</f>
        <v>#VALUE!</v>
      </c>
      <c r="BZ62" s="453">
        <f>('Attainment 25+ by race &amp; gender'!HP61/'Pop 25+ by race &amp; gender'!DU60)*100</f>
        <v>111.73518068462285</v>
      </c>
      <c r="CA62" s="453">
        <f>('Attainment 25+ by race &amp; gender'!JD61/'Pop 25+ by race &amp; gender'!ET60)*100</f>
        <v>20.182388347367258</v>
      </c>
      <c r="CB62" s="453">
        <f>('Attainment 25+ by race &amp; gender'!ZS61/'Pop 25+ by race &amp; gender'!DR60)*100</f>
        <v>12.638088254579237</v>
      </c>
      <c r="CC62" s="453">
        <f>('Attainment 25+ by race &amp; gender'!ABB61/'Pop 25+ by race &amp; gender'!EQ60)*100</f>
        <v>19.8748627110126</v>
      </c>
      <c r="CD62" s="453">
        <f>('Attainment 25+ by race &amp; gender'!ZT61/'Pop 25+ by race &amp; gender'!DS60)*100</f>
        <v>43.626954015609989</v>
      </c>
      <c r="CE62" s="453">
        <f>('Attainment 25+ by race &amp; gender'!ABC61/'Pop 25+ by race &amp; gender'!ER60)*100</f>
        <v>8.9771693692865995</v>
      </c>
      <c r="CF62" s="453">
        <f>('Attainment 25+ by race &amp; gender'!ZU61/'Pop 25+ by race &amp; gender'!DU60)*100</f>
        <v>38.178693666273773</v>
      </c>
      <c r="CG62" s="453">
        <f>('Attainment 25+ by race &amp; gender'!ABD61/'Pop 25+ by race &amp; gender'!ET60)*100</f>
        <v>9.7926394684637312</v>
      </c>
      <c r="CH62" s="352">
        <f>('Attainment 25+ by race &amp; gender'!HG61/'Pop 25+ by race &amp; gender'!DK60)*100</f>
        <v>91.526470602915168</v>
      </c>
      <c r="CI62" s="452">
        <f>('Attainment 25+ by race &amp; gender'!IK61/'Pop 25+ by race &amp; gender'!EO60)*100</f>
        <v>93.004287196760316</v>
      </c>
      <c r="CJ62" s="352">
        <f>('Attainment 25+ by race &amp; gender'!HH61/'Pop 25+ by race &amp; gender'!DL60)*100</f>
        <v>85.13089437135298</v>
      </c>
      <c r="CK62" s="453">
        <f>('Attainment 25+ by race &amp; gender'!IL61/'Pop 25+ by race &amp; gender'!EP60)*100</f>
        <v>87.921357361716204</v>
      </c>
      <c r="CL62" s="453">
        <f>('Attainment 25+ by race &amp; gender'!HI61/'Pop 25+ by race &amp; gender'!DN60)*100</f>
        <v>67.358694375413137</v>
      </c>
      <c r="CM62" s="453">
        <f>('Attainment 25+ by race &amp; gender'!IM61/'Pop 25+ by race &amp; gender'!ER60)*100</f>
        <v>72.919288897055452</v>
      </c>
      <c r="CN62" s="453">
        <f>('Attainment 25+ by race &amp; gender'!ZL61/'Pop 25+ by race &amp; gender'!DK60)*100</f>
        <v>30.456291603376016</v>
      </c>
      <c r="CO62" s="453">
        <f>('Attainment 25+ by race &amp; gender'!AAP61/'Pop 25+ by race &amp; gender'!EO60)*100</f>
        <v>33.932012816167656</v>
      </c>
      <c r="CP62" s="453">
        <f>('Attainment 25+ by race &amp; gender'!ZM61/'Pop 25+ by race &amp; gender'!DL60)*100</f>
        <v>16.393733752060889</v>
      </c>
      <c r="CQ62" s="453">
        <f>('Attainment 25+ by race &amp; gender'!AAQ61/'Pop 25+ by race &amp; gender'!EP60)*100</f>
        <v>20.161811533366112</v>
      </c>
      <c r="CR62" s="453">
        <f>('Attainment 25+ by race &amp; gender'!ZN61/'Pop 25+ by race &amp; gender'!DN60)*100</f>
        <v>13.824355168212483</v>
      </c>
      <c r="CS62" s="453">
        <f>('Attainment 25+ by race &amp; gender'!AAR61/'Pop 25+ by race &amp; gender'!ER60)*100</f>
        <v>16.525885433414487</v>
      </c>
      <c r="CT62" s="350">
        <f>IFERROR(('Attainment 25+ by race &amp; gender'!HQ61/'Pop 25+ by race &amp; gender'!DU60)*100,"-")</f>
        <v>92.214191300510507</v>
      </c>
      <c r="CU62" s="452">
        <f>IFERROR(('Attainment 25+ by race &amp; gender'!IP61/'Pop 25+ by race &amp; gender'!ET60)*100,"-")</f>
        <v>94.082252484241451</v>
      </c>
      <c r="CV62" s="350">
        <f>IFERROR(('Attainment 25+ by race &amp; gender'!HR61/'Pop 25+ by race &amp; gender'!DV60)*100,"-")</f>
        <v>85.574061245534978</v>
      </c>
      <c r="CW62" s="452">
        <f>IFERROR(('Attainment 25+ by race &amp; gender'!IQ61/'Pop 25+ by race &amp; gender'!EU60)*100, "-")</f>
        <v>87.954933608148465</v>
      </c>
      <c r="CX62" s="452">
        <f>IFERROR(('Attainment 25+ by race &amp; gender'!HS61/'Pop 25+ by race &amp; gender'!DX60)*100, "-")</f>
        <v>70.313739174570941</v>
      </c>
      <c r="CY62" s="452">
        <f>IFERROR(('Attainment 25+ by race &amp; gender'!IR61/'Pop 25+ by race &amp; gender'!EW60)*100, "-")</f>
        <v>76.146810712811941</v>
      </c>
      <c r="CZ62" s="452">
        <f>IFERROR(('Attainment 25+ by race &amp; gender'!HU61/'Pop 25+ by race &amp; gender'!DY60)*100, "-")</f>
        <v>83.045460679104849</v>
      </c>
      <c r="DA62" s="452">
        <f>IFERROR(('Attainment 25+ by race &amp; gender'!IT61/'Pop 25+ by race &amp; gender'!EX60)*100, "-")</f>
        <v>83.375286356142936</v>
      </c>
      <c r="DB62" s="452" t="str">
        <f>IFERROR(('Attainment 25+ by race &amp; gender'!HV61/'Pop 25+ by race &amp; gender'!DZ60)*100, "-")</f>
        <v>-</v>
      </c>
      <c r="DC62" s="452" t="str">
        <f>IFERROR(('Attainment 25+ by race &amp; gender'!IU61/'Pop 25+ by race &amp; gender'!EY60)*100, "-")</f>
        <v>-</v>
      </c>
      <c r="DD62" s="452">
        <f>IFERROR(('Attainment 25+ by race &amp; gender'!HW61/'Pop 25+ by race &amp; gender'!EA60)*100, "-")</f>
        <v>67.594919962958073</v>
      </c>
      <c r="DE62" s="452">
        <f>IFERROR(('Attainment 25+ by race &amp; gender'!IV61/'Pop 25+ by race &amp; gender'!EZ60)*100, "-")</f>
        <v>75.806131232205516</v>
      </c>
      <c r="DF62" s="452">
        <f>IFERROR(('Attainment 25+ by race &amp; gender'!HX61/'Pop 25+ by race &amp; gender'!EB60)*100, "-")</f>
        <v>87.950922818791938</v>
      </c>
      <c r="DG62" s="452">
        <f>IFERROR(('Attainment 25+ by race &amp; gender'!IW61/'Pop 25+ by race &amp; gender'!FA60)*100, "-")</f>
        <v>86.619892330773979</v>
      </c>
      <c r="DH62" s="452">
        <f>IFERROR(('Attainment 25+ by race &amp; gender'!HY61/'Pop 25+ by race &amp; gender'!EC60)*100, "-")</f>
        <v>66.247462805248063</v>
      </c>
      <c r="DI62" s="452">
        <f>IFERROR(('Attainment 25+ by race &amp; gender'!IX61/'Pop 25+ by race &amp; gender'!FB60)*100, "-")</f>
        <v>71.722882754163052</v>
      </c>
      <c r="DJ62" s="452">
        <f>IFERROR(('Attainment 25+ by race &amp; gender'!ZV61/'Pop 25+ by race &amp; gender'!DU60)*100, "-")</f>
        <v>32.171490430166941</v>
      </c>
      <c r="DK62" s="452">
        <f>IFERROR(('Attainment 25+ by race &amp; gender'!AAU61/'Pop 25+ by race &amp; gender'!ET60)*100, "-")</f>
        <v>36.286865849832878</v>
      </c>
      <c r="DL62" s="452">
        <f>IFERROR(('Attainment 25+ by race &amp; gender'!ZW61/'Pop 25+ by race &amp; gender'!DV60)*100, "-")</f>
        <v>19.503595709969378</v>
      </c>
      <c r="DM62" s="452">
        <f>IFERROR(('Attainment 25+ by race &amp; gender'!AAV61/'Pop 25+ by race &amp; gender'!EU60)*100, "-")</f>
        <v>21.89927457328335</v>
      </c>
      <c r="DN62" s="452">
        <f>IFERROR(('Attainment 25+ by race &amp; gender'!ZX61/'Pop 25+ by race &amp; gender'!DX60)*100, "-")</f>
        <v>15.486047224777675</v>
      </c>
      <c r="DO62" s="452">
        <f>IFERROR(('Attainment 25+ by race &amp; gender'!AAW61/'Pop 25+ by race &amp; gender'!EW60)*100, "-")</f>
        <v>20.028175588372584</v>
      </c>
      <c r="DP62" s="452">
        <f>IFERROR(('Attainment 25+ by race &amp; gender'!ZZ61/'Pop 25+ by race &amp; gender'!DY60)*100, "-")</f>
        <v>55.264447490465407</v>
      </c>
      <c r="DQ62" s="452">
        <f>IFERROR(('Attainment 25+ by race &amp; gender'!AAY61/'Pop 25+ by race &amp; gender'!EX60)*100, "-")</f>
        <v>57.360538058987075</v>
      </c>
      <c r="DR62" s="452" t="str">
        <f>IFERROR(('Attainment 25+ by race &amp; gender'!AAA61/'Pop 25+ by race &amp; gender'!DZ60)*100, "-")</f>
        <v>-</v>
      </c>
      <c r="DS62" s="452" t="str">
        <f>IFERROR(('Attainment 25+ by race &amp; gender'!AAZ61/'Pop 25+ by race &amp; gender'!EY60)*100, "-")</f>
        <v>-</v>
      </c>
      <c r="DT62" s="452">
        <f>IFERROR(('Attainment 25+ by race &amp; gender'!AAB61/'Pop 25+ by race &amp; gender'!EA60)*100, "-")</f>
        <v>13.725360497420294</v>
      </c>
      <c r="DU62" s="452">
        <f>IFERROR(('Attainment 25+ by race &amp; gender'!ABA61/'Pop 25+ by race &amp; gender'!EZ60)*100, "-")</f>
        <v>18.201681785075813</v>
      </c>
      <c r="DV62" s="452">
        <f>IFERROR(('Attainment 25+ by race &amp; gender'!AAC61/'Pop 25+ by race &amp; gender'!EB60)*100, "-")</f>
        <v>29.424528910686632</v>
      </c>
      <c r="DW62" s="452">
        <f>IFERROR(('Attainment 25+ by race &amp; gender'!ABB61/'Pop 25+ by race &amp; gender'!FA60)*100, "-")</f>
        <v>28.706424852175449</v>
      </c>
      <c r="DX62" s="452">
        <f>IFERROR(('Attainment 25+ by race &amp; gender'!AAD61/'Pop 25+ by race &amp; gender'!EC60)*100, "-")</f>
        <v>9.5279945873178633</v>
      </c>
      <c r="DY62" s="452">
        <f>IFERROR(('Attainment 25+ by race &amp; gender'!ABC61/'Pop 25+ by race &amp; gender'!FB60)*100, "-")</f>
        <v>16.620230987736218</v>
      </c>
    </row>
    <row r="63" spans="1:129">
      <c r="A63" s="38" t="s">
        <v>59</v>
      </c>
      <c r="B63" s="351">
        <f>('Attainment 25+ by race &amp; gender'!FS62/'Pop 25+ by race &amp; gender'!AT61)*100</f>
        <v>80.109199168161197</v>
      </c>
      <c r="C63" s="444">
        <f>('Attainment 25+ by race &amp; gender'!GR62/'Pop 25+ by race &amp; gender'!CV61)*100</f>
        <v>86.7</v>
      </c>
      <c r="D63" s="352">
        <f>('Attainment 25+ by race &amp; gender'!FT62/'Pop 25+ by race &amp; gender'!AZ61)*100</f>
        <v>70.954101321947618</v>
      </c>
      <c r="E63" s="351">
        <f>IF('Pop 25+ by race &amp; gender'!CW61&gt;0,('Attainment 25+ by race &amp; gender'!GS62/'Pop 25+ by race &amp; gender'!CW61)*100,"—")</f>
        <v>76.199999999999989</v>
      </c>
      <c r="F63" s="352">
        <f>('Attainment 25+ by race &amp; gender'!FU62/'Pop 25+ by race &amp; gender'!BC61)*100</f>
        <v>50.385604113110539</v>
      </c>
      <c r="G63" s="351">
        <f>('Attainment 25+ by race &amp; gender'!GT62/'Pop 25+ by race &amp; gender'!CY61)*100</f>
        <v>60.5</v>
      </c>
      <c r="H63" s="352">
        <f>('Attainment 25+ by race &amp; gender'!XM62/'Pop 25+ by race &amp; gender'!AT61)*100</f>
        <v>26.838833669635122</v>
      </c>
      <c r="I63" s="351">
        <f>('Attainment 25+ by race &amp; gender'!YW62/'Pop 25+ by race &amp; gender'!CV61)*100</f>
        <v>32.699999999999996</v>
      </c>
      <c r="J63" s="352">
        <f>('Attainment 25+ by race &amp; gender'!XS62/'Pop 25+ by race &amp; gender'!AZ61)*100</f>
        <v>16.692667706708271</v>
      </c>
      <c r="K63" s="351">
        <f>IF('Pop 25+ by race &amp; gender'!CW61&gt;0,('Attainment 25+ by race &amp; gender'!YX62/'Pop 25+ by race &amp; gender'!CW61)*100,"—")</f>
        <v>18</v>
      </c>
      <c r="L63" s="352">
        <f>('Attainment 25+ by race &amp; gender'!XV62/'Pop 25+ by race &amp; gender'!BC61)*100</f>
        <v>8.5837812573031087</v>
      </c>
      <c r="M63" s="437">
        <f>('Attainment 25+ by race &amp; gender'!YY62/'Pop 25+ by race &amp; gender'!CY61)*100</f>
        <v>11.200000000000001</v>
      </c>
      <c r="N63" s="351">
        <f>('Attainment 25+ by race &amp; gender'!FS62/'Pop 25+ by race &amp; gender'!AT61)*100</f>
        <v>80.109199168161197</v>
      </c>
      <c r="O63" s="445">
        <f>('Attainment 25+ by race &amp; gender'!GW62/'Pop 25+ by race &amp; gender'!DA61)*100</f>
        <v>88.411765114711258</v>
      </c>
      <c r="P63" s="352">
        <f>('Attainment 25+ by race &amp; gender'!FT62/'Pop 25+ by race &amp; gender'!AZ61)*100</f>
        <v>70.954101321947618</v>
      </c>
      <c r="Q63" s="351">
        <f>('Attainment 25+ by race &amp; gender'!GX62/'Pop 25+ by race &amp; gender'!DB61)*100</f>
        <v>75.78570265429083</v>
      </c>
      <c r="R63" s="352">
        <f>('Attainment 25+ by race &amp; gender'!FU62/'Pop 25+ by race &amp; gender'!BC61)*100</f>
        <v>50.385604113110539</v>
      </c>
      <c r="S63" s="351">
        <f>('Attainment 25+ by race &amp; gender'!GY62/'Pop 25+ by race &amp; gender'!DD61)*100</f>
        <v>60.635647236064436</v>
      </c>
      <c r="T63" s="352">
        <f>('Attainment 25+ by race &amp; gender'!XM62/'Pop 25+ by race &amp; gender'!AT61)*100</f>
        <v>26.838833669635122</v>
      </c>
      <c r="U63" s="351">
        <f>('Attainment 25+ by race &amp; gender'!ZB62/'Pop 25+ by race &amp; gender'!DA61)*100</f>
        <v>33.888819387974948</v>
      </c>
      <c r="V63" s="352">
        <f>('Attainment 25+ by race &amp; gender'!XS62/'Pop 25+ by race &amp; gender'!AZ61)*100</f>
        <v>16.692667706708271</v>
      </c>
      <c r="W63" s="351">
        <f>('Attainment 25+ by race &amp; gender'!ZC62/'Pop 25+ by race &amp; gender'!DB61)*100</f>
        <v>16.870216577104706</v>
      </c>
      <c r="X63" s="352">
        <f>('Attainment 25+ by race &amp; gender'!XV62/'Pop 25+ by race &amp; gender'!BC61)*100</f>
        <v>8.5837812573031087</v>
      </c>
      <c r="Y63" s="437">
        <f>('Attainment 25+ by race &amp; gender'!ZD62/'Pop 25+ by race &amp; gender'!DD61)*100</f>
        <v>11.207845636806118</v>
      </c>
      <c r="Z63" s="351">
        <f>('Attainment 25+ by race &amp; gender'!FS62/'Pop 25+ by race &amp; gender'!AT61)*100</f>
        <v>80.109199168161197</v>
      </c>
      <c r="AA63" s="445">
        <f>('Attainment 25+ by race &amp; gender'!HB62/'Pop 25+ by race &amp; gender'!DF61)*100</f>
        <v>89.173588379527388</v>
      </c>
      <c r="AB63" s="352">
        <f>('Attainment 25+ by race &amp; gender'!FT62/'Pop 25+ by race &amp; gender'!AZ61)*100</f>
        <v>70.954101321947618</v>
      </c>
      <c r="AC63" s="351">
        <f>('Attainment 25+ by race &amp; gender'!HC62/'Pop 25+ by race &amp; gender'!DG61)*100</f>
        <v>76.316679237431401</v>
      </c>
      <c r="AD63" s="352">
        <f>('Attainment 25+ by race &amp; gender'!FU62/'Pop 25+ by race &amp; gender'!BC61)*100</f>
        <v>50.385604113110539</v>
      </c>
      <c r="AE63" s="351">
        <f>('Attainment 25+ by race &amp; gender'!HD62/'Pop 25+ by race &amp; gender'!DI61)*100</f>
        <v>63.340193484256659</v>
      </c>
      <c r="AF63" s="352">
        <f>('Attainment 25+ by race &amp; gender'!XM62/'Pop 25+ by race &amp; gender'!AT61)*100</f>
        <v>26.838833669635122</v>
      </c>
      <c r="AG63" s="351">
        <f>('Attainment 25+ by race &amp; gender'!ZG62/'Pop 25+ by race &amp; gender'!DF61)*100</f>
        <v>34.699751671043309</v>
      </c>
      <c r="AH63" s="352">
        <f>('Attainment 25+ by race &amp; gender'!XS62/'Pop 25+ by race &amp; gender'!AZ61)*100</f>
        <v>16.692667706708271</v>
      </c>
      <c r="AI63" s="351">
        <f>('Attainment 25+ by race &amp; gender'!ZH62/'Pop 25+ by race &amp; gender'!DG61)*100</f>
        <v>18.218939374236001</v>
      </c>
      <c r="AJ63" s="352">
        <f>('Attainment 25+ by race &amp; gender'!XV62/'Pop 25+ by race &amp; gender'!BC61)*100</f>
        <v>8.5837812573031087</v>
      </c>
      <c r="AK63" s="453">
        <f>('Attainment 25+ by race &amp; gender'!ZI62/'Pop 25+ by race &amp; gender'!DI61)*100</f>
        <v>12.157867473084409</v>
      </c>
      <c r="AL63" s="352">
        <f>('Attainment 25+ by race &amp; gender'!FS62/'Pop 25+ by race &amp; gender'!AT61)*100</f>
        <v>80.109199168161197</v>
      </c>
      <c r="AM63" s="453">
        <f>('Attainment 25+ by race &amp; gender'!HL62/'Pop 25+ by race &amp; gender'!DP61)*100</f>
        <v>90.465928448259319</v>
      </c>
      <c r="AN63" s="352">
        <v>70.954101321947618</v>
      </c>
      <c r="AO63" s="453">
        <f>('Attainment 25+ by race &amp; gender'!HM62/'Pop 25+ by race &amp; gender'!DQ61)*100</f>
        <v>83.22167708514931</v>
      </c>
      <c r="AP63" s="453">
        <f>('Attainment 25+ by race &amp; gender'!FU62/'Pop 25+ by race &amp; gender'!BC61)*100</f>
        <v>50.385604113110539</v>
      </c>
      <c r="AQ63" s="453">
        <f>('Attainment 25+ by race &amp; gender'!HN62/'Pop 25+ by race &amp; gender'!DS61)*100</f>
        <v>70.481690348954615</v>
      </c>
      <c r="AR63" s="453">
        <f>('Attainment 25+ by race &amp; gender'!XM62/'Pop 25+ by race &amp; gender'!AT61)*100</f>
        <v>26.838833669635122</v>
      </c>
      <c r="AS63" s="453">
        <f>('Attainment 25+ by race &amp; gender'!ZQ62/'Pop 25+ by race &amp; gender'!DP61)*100</f>
        <v>35.512420167276041</v>
      </c>
      <c r="AT63" s="453">
        <f>('Attainment 25+ by race &amp; gender'!XS62/'Pop 25+ by race &amp; gender'!AZ61)*100</f>
        <v>16.692667706708271</v>
      </c>
      <c r="AU63" s="453">
        <f>('Attainment 25+ by race &amp; gender'!ZR62/'Pop 25+ by race &amp; gender'!DQ61)*100</f>
        <v>19.179139790302095</v>
      </c>
      <c r="AV63" s="453">
        <f>('Attainment 25+ by race &amp; gender'!XV62/'Pop 25+ by race &amp; gender'!BC61)*100</f>
        <v>8.5837812573031087</v>
      </c>
      <c r="AW63" s="453">
        <f>('Attainment 25+ by race &amp; gender'!ZS62/'Pop 25+ by race &amp; gender'!DS61)*100</f>
        <v>13.831359125273968</v>
      </c>
      <c r="AX63" s="352">
        <f>('Attainment 25+ by race &amp; gender'!GR62/'Pop 25+ by race &amp; gender'!CV61)*100</f>
        <v>86.7</v>
      </c>
      <c r="AY63" s="453">
        <f>('Attainment 25+ by race &amp; gender'!HQ62/'Pop 25+ by race &amp; gender'!DU61)*100</f>
        <v>91.175350648896952</v>
      </c>
      <c r="AZ63" s="352">
        <f>('Attainment 25+ by race &amp; gender'!GS62/'Pop 25+ by race &amp; gender'!CW61)*100</f>
        <v>76.199999999999989</v>
      </c>
      <c r="BA63" s="453">
        <f>('Attainment 25+ by race &amp; gender'!HR62/'Pop 25+ by race &amp; gender'!DV61)*100</f>
        <v>85.064872657376256</v>
      </c>
      <c r="BB63" s="453">
        <f>('Attainment 25+ by race &amp; gender'!GT62/'Pop 25+ by race &amp; gender'!CY61)*100</f>
        <v>60.5</v>
      </c>
      <c r="BC63" s="453">
        <f>('Attainment 25+ by race &amp; gender'!HS62/'Pop 25+ by race &amp; gender'!DX61)*100</f>
        <v>72.129368608532573</v>
      </c>
      <c r="BD63" s="453">
        <f>('Attainment 25+ by race &amp; gender'!YW62/'Pop 25+ by race &amp; gender'!CV61)*100</f>
        <v>32.699999999999996</v>
      </c>
      <c r="BE63" s="453">
        <f>('Attainment 25+ by race &amp; gender'!ZV62/'Pop 25+ by race &amp; gender'!DU61)*100</f>
        <v>37.549038444743324</v>
      </c>
      <c r="BF63" s="453">
        <f>('Attainment 25+ by race &amp; gender'!YX62/'Pop 25+ by race &amp; gender'!CW61)*100</f>
        <v>18</v>
      </c>
      <c r="BG63" s="453">
        <f>('Attainment 25+ by race &amp; gender'!ZW62/'Pop 25+ by race &amp; gender'!DV61)*100</f>
        <v>20.872176838058625</v>
      </c>
      <c r="BH63" s="453">
        <f>('Attainment 25+ by race &amp; gender'!YY62/'Pop 25+ by race &amp; gender'!CY61)*100</f>
        <v>11.200000000000001</v>
      </c>
      <c r="BI63" s="453">
        <f>('Attainment 25+ by race &amp; gender'!ZX62/'Pop 25+ by race &amp; gender'!DX61)*100</f>
        <v>13.230558733678535</v>
      </c>
      <c r="BJ63" s="352">
        <f>('Attainment 25+ by race &amp; gender'!GW62/'Pop 25+ by race &amp; gender'!DA61)*100</f>
        <v>88.411765114711258</v>
      </c>
      <c r="BK63" s="453">
        <f>('Attainment 25+ by race &amp; gender'!IA62/'Pop 25+ by race &amp; gender'!EE61)*100</f>
        <v>90.424849769617538</v>
      </c>
      <c r="BL63" s="352">
        <f>('Attainment 25+ by race &amp; gender'!GX62/'Pop 25+ by race &amp; gender'!DB61)*100</f>
        <v>75.78570265429083</v>
      </c>
      <c r="BM63" s="453">
        <f>('Attainment 25+ by race &amp; gender'!IB62/'Pop 25+ by race &amp; gender'!EF61)*100</f>
        <v>81.744406129274807</v>
      </c>
      <c r="BN63" s="453">
        <f>('Attainment 25+ by race &amp; gender'!GY62/'Pop 25+ by race &amp; gender'!DD61)*100</f>
        <v>60.635647236064436</v>
      </c>
      <c r="BO63" s="453">
        <f>('Attainment 25+ by race &amp; gender'!IC62/'Pop 25+ by race &amp; gender'!EH61)*100</f>
        <v>77.216706032485192</v>
      </c>
      <c r="BP63" s="453">
        <f>('Attainment 25+ by race &amp; gender'!ZB62/'Pop 25+ by race &amp; gender'!DA61)*100</f>
        <v>33.888819387974948</v>
      </c>
      <c r="BQ63" s="453">
        <f>('Attainment 25+ by race &amp; gender'!AAF62/'Pop 25+ by race &amp; gender'!EE61)*100</f>
        <v>36.520086196324392</v>
      </c>
      <c r="BR63" s="453">
        <f>('Attainment 25+ by race &amp; gender'!ZC62/'Pop 25+ by race &amp; gender'!DB61)*100</f>
        <v>16.870216577104706</v>
      </c>
      <c r="BS63" s="453">
        <f>('Attainment 25+ by race &amp; gender'!AAG62/'Pop 25+ by race &amp; gender'!EF61)*100</f>
        <v>21.431719774948792</v>
      </c>
      <c r="BT63" s="453">
        <f>('Attainment 25+ by race &amp; gender'!ZD62/'Pop 25+ by race &amp; gender'!DD61)*100</f>
        <v>11.207845636806118</v>
      </c>
      <c r="BU63" s="453">
        <f>('Attainment 25+ by race &amp; gender'!AAH62/'Pop 25+ by race &amp; gender'!EH61)*100</f>
        <v>13.254900204851511</v>
      </c>
      <c r="BV63" s="352">
        <f>('Attainment 25+ by race &amp; gender'!HN62/'Pop 25+ by race &amp; gender'!DR61)*100</f>
        <v>77.29003510667026</v>
      </c>
      <c r="BW63" s="453" t="e">
        <f>('Attainment 25+ by race &amp; gender'!JB62/'Pop 25+ by race &amp; gender'!EQ61)*100</f>
        <v>#VALUE!</v>
      </c>
      <c r="BX63" s="352">
        <f>('Attainment 25+ by race &amp; gender'!HO62/'Pop 25+ by race &amp; gender'!DS61)*100</f>
        <v>66.546408254734402</v>
      </c>
      <c r="BY63" s="453" t="e">
        <f>('Attainment 25+ by race &amp; gender'!JC62/'Pop 25+ by race &amp; gender'!ER61)*100</f>
        <v>#VALUE!</v>
      </c>
      <c r="BZ63" s="453">
        <f>('Attainment 25+ by race &amp; gender'!HP62/'Pop 25+ by race &amp; gender'!DU61)*100</f>
        <v>113.51103037501528</v>
      </c>
      <c r="CA63" s="453">
        <f>('Attainment 25+ by race &amp; gender'!JD62/'Pop 25+ by race &amp; gender'!ET61)*100</f>
        <v>24.465256018374909</v>
      </c>
      <c r="CB63" s="453">
        <f>('Attainment 25+ by race &amp; gender'!ZS62/'Pop 25+ by race &amp; gender'!DR61)*100</f>
        <v>15.167431812044288</v>
      </c>
      <c r="CC63" s="453">
        <f>('Attainment 25+ by race &amp; gender'!ABB62/'Pop 25+ by race &amp; gender'!EQ61)*100</f>
        <v>19.804857538583303</v>
      </c>
      <c r="CD63" s="453">
        <f>('Attainment 25+ by race &amp; gender'!ZT62/'Pop 25+ by race &amp; gender'!DS61)*100</f>
        <v>24.42559164676041</v>
      </c>
      <c r="CE63" s="453">
        <f>('Attainment 25+ by race &amp; gender'!ABC62/'Pop 25+ by race &amp; gender'!ER61)*100</f>
        <v>9.5499563811771946</v>
      </c>
      <c r="CF63" s="453">
        <f>('Attainment 25+ by race &amp; gender'!ZU62/'Pop 25+ by race &amp; gender'!DU61)*100</f>
        <v>43.71364692319785</v>
      </c>
      <c r="CG63" s="453">
        <f>('Attainment 25+ by race &amp; gender'!ABD62/'Pop 25+ by race &amp; gender'!ET61)*100</f>
        <v>11.787893891179555</v>
      </c>
      <c r="CH63" s="352">
        <f>('Attainment 25+ by race &amp; gender'!HG62/'Pop 25+ by race &amp; gender'!DK61)*100</f>
        <v>89.380595625953447</v>
      </c>
      <c r="CI63" s="452">
        <f>('Attainment 25+ by race &amp; gender'!IK62/'Pop 25+ by race &amp; gender'!EO61)*100</f>
        <v>92.337504446296705</v>
      </c>
      <c r="CJ63" s="352">
        <f>('Attainment 25+ by race &amp; gender'!HH62/'Pop 25+ by race &amp; gender'!DL61)*100</f>
        <v>81.660685558717987</v>
      </c>
      <c r="CK63" s="453">
        <f>('Attainment 25+ by race &amp; gender'!IL62/'Pop 25+ by race &amp; gender'!EP61)*100</f>
        <v>91.105915836552143</v>
      </c>
      <c r="CL63" s="453">
        <f>('Attainment 25+ by race &amp; gender'!HI62/'Pop 25+ by race &amp; gender'!DN61)*100</f>
        <v>64.795631266625747</v>
      </c>
      <c r="CM63" s="453">
        <f>('Attainment 25+ by race &amp; gender'!IM62/'Pop 25+ by race &amp; gender'!ER61)*100</f>
        <v>70.947811361420435</v>
      </c>
      <c r="CN63" s="453">
        <f>('Attainment 25+ by race &amp; gender'!ZL62/'Pop 25+ by race &amp; gender'!DK61)*100</f>
        <v>33.508265045025922</v>
      </c>
      <c r="CO63" s="453">
        <f>('Attainment 25+ by race &amp; gender'!AAP62/'Pop 25+ by race &amp; gender'!EO61)*100</f>
        <v>38.47245596617806</v>
      </c>
      <c r="CP63" s="453">
        <f>('Attainment 25+ by race &amp; gender'!ZM62/'Pop 25+ by race &amp; gender'!DL61)*100</f>
        <v>19.905952233634451</v>
      </c>
      <c r="CQ63" s="453">
        <f>('Attainment 25+ by race &amp; gender'!AAQ62/'Pop 25+ by race &amp; gender'!EP61)*100</f>
        <v>23.3746696483025</v>
      </c>
      <c r="CR63" s="453">
        <f>('Attainment 25+ by race &amp; gender'!ZN62/'Pop 25+ by race &amp; gender'!DN61)*100</f>
        <v>13.024350317167995</v>
      </c>
      <c r="CS63" s="453">
        <f>('Attainment 25+ by race &amp; gender'!AAR62/'Pop 25+ by race &amp; gender'!ER61)*100</f>
        <v>14.3531585159337</v>
      </c>
      <c r="CT63" s="350">
        <f>IFERROR(('Attainment 25+ by race &amp; gender'!HQ62/'Pop 25+ by race &amp; gender'!DU61)*100,"-")</f>
        <v>91.175350648896952</v>
      </c>
      <c r="CU63" s="452">
        <f>IFERROR(('Attainment 25+ by race &amp; gender'!IP62/'Pop 25+ by race &amp; gender'!ET61)*100,"-")</f>
        <v>93.330556649576707</v>
      </c>
      <c r="CV63" s="350">
        <f>IFERROR(('Attainment 25+ by race &amp; gender'!HR62/'Pop 25+ by race &amp; gender'!DV61)*100,"-")</f>
        <v>85.064872657376256</v>
      </c>
      <c r="CW63" s="452">
        <f>IFERROR(('Attainment 25+ by race &amp; gender'!IQ62/'Pop 25+ by race &amp; gender'!EU61)*100, "-")</f>
        <v>82.910111059694586</v>
      </c>
      <c r="CX63" s="452">
        <f>IFERROR(('Attainment 25+ by race &amp; gender'!HS62/'Pop 25+ by race &amp; gender'!DX61)*100, "-")</f>
        <v>72.129368608532573</v>
      </c>
      <c r="CY63" s="452">
        <f>IFERROR(('Attainment 25+ by race &amp; gender'!IR62/'Pop 25+ by race &amp; gender'!EW61)*100, "-")</f>
        <v>70.696437268197656</v>
      </c>
      <c r="CZ63" s="452">
        <f>IFERROR(('Attainment 25+ by race &amp; gender'!HU62/'Pop 25+ by race &amp; gender'!DY61)*100, "-")</f>
        <v>90.900277618648929</v>
      </c>
      <c r="DA63" s="452">
        <f>IFERROR(('Attainment 25+ by race &amp; gender'!IT62/'Pop 25+ by race &amp; gender'!EX61)*100, "-")</f>
        <v>86.3507718696398</v>
      </c>
      <c r="DB63" s="452" t="str">
        <f>IFERROR(('Attainment 25+ by race &amp; gender'!HV62/'Pop 25+ by race &amp; gender'!DZ61)*100, "-")</f>
        <v>-</v>
      </c>
      <c r="DC63" s="452" t="str">
        <f>IFERROR(('Attainment 25+ by race &amp; gender'!IU62/'Pop 25+ by race &amp; gender'!EY61)*100, "-")</f>
        <v>-</v>
      </c>
      <c r="DD63" s="452" t="str">
        <f>IFERROR(('Attainment 25+ by race &amp; gender'!HW62/'Pop 25+ by race &amp; gender'!EA61)*100, "-")</f>
        <v>-</v>
      </c>
      <c r="DE63" s="452" t="str">
        <f>IFERROR(('Attainment 25+ by race &amp; gender'!IV62/'Pop 25+ by race &amp; gender'!EZ61)*100, "-")</f>
        <v>-</v>
      </c>
      <c r="DF63" s="452">
        <f>IFERROR(('Attainment 25+ by race &amp; gender'!HX62/'Pop 25+ by race &amp; gender'!EB61)*100, "-")</f>
        <v>82.951763858891297</v>
      </c>
      <c r="DG63" s="452">
        <f>IFERROR(('Attainment 25+ by race &amp; gender'!IW62/'Pop 25+ by race &amp; gender'!FA61)*100, "-")</f>
        <v>80.318163963862858</v>
      </c>
      <c r="DH63" s="452">
        <f>IFERROR(('Attainment 25+ by race &amp; gender'!HY62/'Pop 25+ by race &amp; gender'!EC61)*100, "-")</f>
        <v>65.456629728696981</v>
      </c>
      <c r="DI63" s="452">
        <f>IFERROR(('Attainment 25+ by race &amp; gender'!IX62/'Pop 25+ by race &amp; gender'!FB61)*100, "-")</f>
        <v>64.714574451823296</v>
      </c>
      <c r="DJ63" s="452">
        <f>IFERROR(('Attainment 25+ by race &amp; gender'!ZV62/'Pop 25+ by race &amp; gender'!DU61)*100, "-")</f>
        <v>37.549038444743324</v>
      </c>
      <c r="DK63" s="452">
        <f>IFERROR(('Attainment 25+ by race &amp; gender'!AAU62/'Pop 25+ by race &amp; gender'!ET61)*100, "-")</f>
        <v>41.126404171299313</v>
      </c>
      <c r="DL63" s="452">
        <f>IFERROR(('Attainment 25+ by race &amp; gender'!ZW62/'Pop 25+ by race &amp; gender'!DV61)*100, "-")</f>
        <v>20.872176838058625</v>
      </c>
      <c r="DM63" s="452">
        <f>IFERROR(('Attainment 25+ by race &amp; gender'!AAV62/'Pop 25+ by race &amp; gender'!EU61)*100, "-")</f>
        <v>22.642873669597407</v>
      </c>
      <c r="DN63" s="452">
        <f>IFERROR(('Attainment 25+ by race &amp; gender'!ZX62/'Pop 25+ by race &amp; gender'!DX61)*100, "-")</f>
        <v>13.230558733678535</v>
      </c>
      <c r="DO63" s="452">
        <f>IFERROR(('Attainment 25+ by race &amp; gender'!AAW62/'Pop 25+ by race &amp; gender'!EW61)*100, "-")</f>
        <v>15.644551005881691</v>
      </c>
      <c r="DP63" s="452">
        <f>IFERROR(('Attainment 25+ by race &amp; gender'!ZZ62/'Pop 25+ by race &amp; gender'!DY61)*100, "-")</f>
        <v>49.988983386947517</v>
      </c>
      <c r="DQ63" s="452">
        <f>IFERROR(('Attainment 25+ by race &amp; gender'!AAY62/'Pop 25+ by race &amp; gender'!EX61)*100, "-")</f>
        <v>46.916809605488851</v>
      </c>
      <c r="DR63" s="452" t="str">
        <f>IFERROR(('Attainment 25+ by race &amp; gender'!AAA62/'Pop 25+ by race &amp; gender'!DZ61)*100, "-")</f>
        <v>-</v>
      </c>
      <c r="DS63" s="452" t="str">
        <f>IFERROR(('Attainment 25+ by race &amp; gender'!AAZ62/'Pop 25+ by race &amp; gender'!EY61)*100, "-")</f>
        <v>-</v>
      </c>
      <c r="DT63" s="452" t="str">
        <f>IFERROR(('Attainment 25+ by race &amp; gender'!AAB62/'Pop 25+ by race &amp; gender'!EA61)*100, "-")</f>
        <v>-</v>
      </c>
      <c r="DU63" s="452" t="str">
        <f>IFERROR(('Attainment 25+ by race &amp; gender'!ABA62/'Pop 25+ by race &amp; gender'!EZ61)*100, "-")</f>
        <v>-</v>
      </c>
      <c r="DV63" s="452">
        <f>IFERROR(('Attainment 25+ by race &amp; gender'!AAC62/'Pop 25+ by race &amp; gender'!EB61)*100, "-")</f>
        <v>27.372210223182147</v>
      </c>
      <c r="DW63" s="452">
        <f>IFERROR(('Attainment 25+ by race &amp; gender'!ABB62/'Pop 25+ by race &amp; gender'!FA61)*100, "-")</f>
        <v>22.466472139610573</v>
      </c>
      <c r="DX63" s="452">
        <f>IFERROR(('Attainment 25+ by race &amp; gender'!AAD62/'Pop 25+ by race &amp; gender'!EC61)*100, "-")</f>
        <v>12.548132036095353</v>
      </c>
      <c r="DY63" s="452">
        <f>IFERROR(('Attainment 25+ by race &amp; gender'!ABC62/'Pop 25+ by race &amp; gender'!FB61)*100, "-")</f>
        <v>15.804134042155679</v>
      </c>
    </row>
    <row r="64" spans="1:129" s="465" customFormat="1" ht="14.45">
      <c r="A64" s="455" t="s">
        <v>60</v>
      </c>
      <c r="B64" s="456">
        <f>('Attainment 25+ by race &amp; gender'!FS63/'Pop 25+ by race &amp; gender'!AT62)*100</f>
        <v>86.584286138304918</v>
      </c>
      <c r="C64" s="477">
        <f>('Attainment 25+ by race &amp; gender'!GR63/'Pop 25+ by race &amp; gender'!CV62)*100</f>
        <v>91.600000000000009</v>
      </c>
      <c r="D64" s="458">
        <f>('Attainment 25+ by race &amp; gender'!FT63/'Pop 25+ by race &amp; gender'!AZ62)*100</f>
        <v>84.156862745098039</v>
      </c>
      <c r="E64" s="456" t="str">
        <f>IF('Pop 25+ by race &amp; gender'!CW62&gt;0,('Attainment 25+ by race &amp; gender'!GS63/'Pop 25+ by race &amp; gender'!CW62)*100,"—")</f>
        <v>—</v>
      </c>
      <c r="F64" s="458">
        <f>('Attainment 25+ by race &amp; gender'!FU63/'Pop 25+ by race &amp; gender'!BC62)*100</f>
        <v>85.614307931570764</v>
      </c>
      <c r="G64" s="456" t="str">
        <f>IF('Pop 25+ by race &amp; gender'!CY62&gt;0,('Attainment 25+ by race &amp; gender'!GT63/'Pop 25+ by race &amp; gender'!CY62)*100,"—")</f>
        <v>—</v>
      </c>
      <c r="H64" s="458">
        <f>('Attainment 25+ by race &amp; gender'!XM63/'Pop 25+ by race &amp; gender'!AT62)*100</f>
        <v>29.456070342248729</v>
      </c>
      <c r="I64" s="456">
        <f>('Attainment 25+ by race &amp; gender'!YW63/'Pop 25+ by race &amp; gender'!CV62)*100</f>
        <v>34</v>
      </c>
      <c r="J64" s="458">
        <f>('Attainment 25+ by race &amp; gender'!XS63/'Pop 25+ by race &amp; gender'!AZ62)*100</f>
        <v>34.823529411764703</v>
      </c>
      <c r="K64" s="456" t="str">
        <f>IF('Pop 25+ by race &amp; gender'!CW62&gt;0,('Attainment 25+ by race &amp; gender'!YX63/'Pop 25+ by race &amp; gender'!CW62)*100,"—")</f>
        <v>—</v>
      </c>
      <c r="L64" s="458">
        <f>('Attainment 25+ by race &amp; gender'!XV63/'Pop 25+ by race &amp; gender'!BC62)*100</f>
        <v>36.819595645412129</v>
      </c>
      <c r="M64" s="466" t="str">
        <f>IF('Pop 25+ by race &amp; gender'!CY62&gt;0,('Attainment 25+ by race &amp; gender'!YY63/'Pop 25+ by race &amp; gender'!CY62)*100,"—")</f>
        <v>—</v>
      </c>
      <c r="N64" s="467">
        <f>('Attainment 25+ by race &amp; gender'!FS63/'Pop 25+ by race &amp; gender'!AT62)*100</f>
        <v>86.584286138304918</v>
      </c>
      <c r="O64" s="475">
        <f>('Attainment 25+ by race &amp; gender'!GW63/'Pop 25+ by race &amp; gender'!DA62)*100</f>
        <v>91.729578768039289</v>
      </c>
      <c r="P64" s="468">
        <f>('Attainment 25+ by race &amp; gender'!FT63/'Pop 25+ by race &amp; gender'!AZ62)*100</f>
        <v>84.156862745098039</v>
      </c>
      <c r="Q64" s="469">
        <f>('Attainment 25+ by race &amp; gender'!GX63/'Pop 25+ by race &amp; gender'!DB62)*100</f>
        <v>86.305622628492586</v>
      </c>
      <c r="R64" s="468">
        <f>('Attainment 25+ by race &amp; gender'!FU63/'Pop 25+ by race &amp; gender'!BC62)*100</f>
        <v>85.614307931570764</v>
      </c>
      <c r="S64" s="469">
        <f>('Attainment 25+ by race &amp; gender'!GY63/'Pop 25+ by race &amp; gender'!DD62)*100</f>
        <v>90.406852248394003</v>
      </c>
      <c r="T64" s="468">
        <f>('Attainment 25+ by race &amp; gender'!XM63/'Pop 25+ by race &amp; gender'!AT62)*100</f>
        <v>29.456070342248729</v>
      </c>
      <c r="U64" s="470">
        <f>('Attainment 25+ by race &amp; gender'!ZB63/'Pop 25+ by race &amp; gender'!DA62)*100</f>
        <v>34.618322542090667</v>
      </c>
      <c r="V64" s="468">
        <f>('Attainment 25+ by race &amp; gender'!XS63/'Pop 25+ by race &amp; gender'!AZ62)*100</f>
        <v>34.823529411764703</v>
      </c>
      <c r="W64" s="470">
        <f>('Attainment 25+ by race &amp; gender'!ZC63/'Pop 25+ by race &amp; gender'!DB62)*100</f>
        <v>38.151086581579854</v>
      </c>
      <c r="X64" s="468">
        <f>('Attainment 25+ by race &amp; gender'!XV63/'Pop 25+ by race &amp; gender'!BC62)*100</f>
        <v>36.819595645412129</v>
      </c>
      <c r="Y64" s="495">
        <f>('Attainment 25+ by race &amp; gender'!ZD63/'Pop 25+ by race &amp; gender'!DD62)*100</f>
        <v>43.147751605995715</v>
      </c>
      <c r="Z64" s="515">
        <f>('Attainment 25+ by race &amp; gender'!FS63/'Pop 25+ by race &amp; gender'!AT62)*100</f>
        <v>86.584286138304918</v>
      </c>
      <c r="AA64" s="492">
        <f>('Attainment 25+ by race &amp; gender'!HB63/'Pop 25+ by race &amp; gender'!DF62)*100</f>
        <v>91.986494551615266</v>
      </c>
      <c r="AB64" s="354">
        <f>('Attainment 25+ by race &amp; gender'!FT63/'Pop 25+ by race &amp; gender'!AZ62)*100</f>
        <v>84.156862745098039</v>
      </c>
      <c r="AC64" s="431">
        <f>('Attainment 25+ by race &amp; gender'!HC63/'Pop 25+ by race &amp; gender'!DG62)*100</f>
        <v>82.752179327521787</v>
      </c>
      <c r="AD64" s="354">
        <f>('Attainment 25+ by race &amp; gender'!FU63/'Pop 25+ by race &amp; gender'!BC62)*100</f>
        <v>85.614307931570764</v>
      </c>
      <c r="AE64" s="353">
        <f>('Attainment 25+ by race &amp; gender'!HD63/'Pop 25+ by race &amp; gender'!DI62)*100</f>
        <v>88.206106870229007</v>
      </c>
      <c r="AF64" s="354">
        <f>('Attainment 25+ by race &amp; gender'!XM63/'Pop 25+ by race &amp; gender'!AT62)*100</f>
        <v>29.456070342248729</v>
      </c>
      <c r="AG64" s="431">
        <f>('Attainment 25+ by race &amp; gender'!ZG63/'Pop 25+ by race &amp; gender'!DF62)*100</f>
        <v>35.562502406530363</v>
      </c>
      <c r="AH64" s="354">
        <f>('Attainment 25+ by race &amp; gender'!XS63/'Pop 25+ by race &amp; gender'!AZ62)*100</f>
        <v>34.823529411764703</v>
      </c>
      <c r="AI64" s="431">
        <f>('Attainment 25+ by race &amp; gender'!ZH63/'Pop 25+ by race &amp; gender'!DG62)*100</f>
        <v>36.581569115815697</v>
      </c>
      <c r="AJ64" s="354">
        <f>('Attainment 25+ by race &amp; gender'!XV63/'Pop 25+ by race &amp; gender'!BC62)*100</f>
        <v>36.819595645412129</v>
      </c>
      <c r="AK64" s="431">
        <f>('Attainment 25+ by race &amp; gender'!ZI63/'Pop 25+ by race &amp; gender'!DI62)*100</f>
        <v>41.240458015267173</v>
      </c>
      <c r="AL64" s="354">
        <f>('Attainment 25+ by race &amp; gender'!FS63/'Pop 25+ by race &amp; gender'!AT62)*100</f>
        <v>86.584286138304918</v>
      </c>
      <c r="AM64" s="431">
        <f>('Attainment 25+ by race &amp; gender'!HL63/'Pop 25+ by race &amp; gender'!DP62)*100</f>
        <v>92.398755841009176</v>
      </c>
      <c r="AN64" s="354">
        <v>84.156862745098039</v>
      </c>
      <c r="AO64" s="431">
        <f>('Attainment 25+ by race &amp; gender'!HM63/'Pop 25+ by race &amp; gender'!DQ62)*100</f>
        <v>90.414378432351469</v>
      </c>
      <c r="AP64" s="431">
        <f>('Attainment 25+ by race &amp; gender'!FU63/'Pop 25+ by race &amp; gender'!BC62)*100</f>
        <v>85.614307931570764</v>
      </c>
      <c r="AQ64" s="431">
        <f>('Attainment 25+ by race &amp; gender'!HN63/'Pop 25+ by race &amp; gender'!DS62)*100</f>
        <v>86.773727896066404</v>
      </c>
      <c r="AR64" s="431">
        <f>('Attainment 25+ by race &amp; gender'!XM63/'Pop 25+ by race &amp; gender'!AT62)*100</f>
        <v>29.456070342248729</v>
      </c>
      <c r="AS64" s="431">
        <f>('Attainment 25+ by race &amp; gender'!ZQ63/'Pop 25+ by race &amp; gender'!DP62)*100</f>
        <v>37.12982904832414</v>
      </c>
      <c r="AT64" s="431">
        <f>('Attainment 25+ by race &amp; gender'!XS63/'Pop 25+ by race &amp; gender'!AZ62)*100</f>
        <v>34.823529411764703</v>
      </c>
      <c r="AU64" s="431">
        <f>('Attainment 25+ by race &amp; gender'!ZR63/'Pop 25+ by race &amp; gender'!DQ62)*100</f>
        <v>37.643534697953065</v>
      </c>
      <c r="AV64" s="431">
        <f>('Attainment 25+ by race &amp; gender'!XV63/'Pop 25+ by race &amp; gender'!BC62)*100</f>
        <v>36.819595645412129</v>
      </c>
      <c r="AW64" s="431">
        <f>('Attainment 25+ by race &amp; gender'!ZS63/'Pop 25+ by race &amp; gender'!DS62)*100</f>
        <v>36.75568386863948</v>
      </c>
      <c r="AX64" s="354">
        <f>('Attainment 25+ by race &amp; gender'!GR63/'Pop 25+ by race &amp; gender'!CV62)*100</f>
        <v>91.600000000000009</v>
      </c>
      <c r="AY64" s="431">
        <f>('Attainment 25+ by race &amp; gender'!HQ63/'Pop 25+ by race &amp; gender'!DU62)*100</f>
        <v>92.377963603433486</v>
      </c>
      <c r="AZ64" s="354" t="str">
        <f>IF('Pop 25+ by race &amp; gender'!CW62&gt;0,('Attainment 25+ by race &amp; gender'!GS63/'Pop 25+ by race &amp; gender'!CW62)*100,"—")</f>
        <v>—</v>
      </c>
      <c r="BA64" s="431" t="str">
        <f>IF('Pop 25+ by race &amp; gender'!DV62&gt;0,('Attainment 25+ by race &amp; gender'!HR63/'Pop 25+ by race &amp; gender'!DV62)*100,"—")</f>
        <v>—</v>
      </c>
      <c r="BB64" s="431" t="str">
        <f>IF('Pop 25+ by race &amp; gender'!CY62&gt;0, ('Attainment 25+ by race &amp; gender'!GT63/'Pop 25+ by race &amp; gender'!CY62)*100,"—")</f>
        <v>—</v>
      </c>
      <c r="BC64" s="431">
        <f>('Attainment 25+ by race &amp; gender'!HS63/'Pop 25+ by race &amp; gender'!DX62)*100</f>
        <v>87.446163662466105</v>
      </c>
      <c r="BD64" s="431">
        <f>('Attainment 25+ by race &amp; gender'!YW63/'Pop 25+ by race &amp; gender'!CV62)*100</f>
        <v>34</v>
      </c>
      <c r="BE64" s="431">
        <f>('Attainment 25+ by race &amp; gender'!ZV63/'Pop 25+ by race &amp; gender'!DU62)*100</f>
        <v>36.455573645725956</v>
      </c>
      <c r="BF64" s="431" t="str">
        <f>IF('Pop 25+ by race &amp; gender'!CW62&gt;0,('Attainment 25+ by race &amp; gender'!YX63/'Pop 25+ by race &amp; gender'!CW62)*100,"—")</f>
        <v>—</v>
      </c>
      <c r="BG64" s="431" t="str">
        <f>IF('Pop 25+ by race &amp; gender'!DV62&gt;0,('Attainment 25+ by race &amp; gender'!ZW63/'Pop 25+ by race &amp; gender'!DV62)*100,"—")</f>
        <v>—</v>
      </c>
      <c r="BH64" s="431" t="str">
        <f>IF('Pop 25+ by race &amp; gender'!CY62&gt;0,('Attainment 25+ by race &amp; gender'!YY63/'Pop 25+ by race &amp; gender'!CY62)*100,"—")</f>
        <v>—</v>
      </c>
      <c r="BI64" s="431">
        <f>('Attainment 25+ by race &amp; gender'!ZX63/'Pop 25+ by race &amp; gender'!DX62)*100</f>
        <v>35.508055511245814</v>
      </c>
      <c r="BJ64" s="354">
        <f>('Attainment 25+ by race &amp; gender'!GW63/'Pop 25+ by race &amp; gender'!DA62)*100</f>
        <v>91.729578768039289</v>
      </c>
      <c r="BK64" s="431">
        <f>('Attainment 25+ by race &amp; gender'!IA63/'Pop 25+ by race &amp; gender'!EE62)*100</f>
        <v>93.216898590180804</v>
      </c>
      <c r="BL64" s="354">
        <f>IF('Pop 25+ by race &amp; gender'!DB62&gt;0,('Attainment 25+ by race &amp; gender'!GX63/'Pop 25+ by race &amp; gender'!DB62)*100,"—")</f>
        <v>86.305622628492586</v>
      </c>
      <c r="BM64" s="431" t="str">
        <f>IF('Pop 25+ by race &amp; gender'!EF62&gt;0,('Attainment 25+ by race &amp; gender'!IB63/'Pop 25+ by race &amp; gender'!EF62)*100,"—")</f>
        <v>—</v>
      </c>
      <c r="BN64" s="431">
        <f>IF('Pop 25+ by race &amp; gender'!DD62&gt;0, ('Attainment 25+ by race &amp; gender'!GY63/'Pop 25+ by race &amp; gender'!DD62)*100,"—")</f>
        <v>90.406852248394003</v>
      </c>
      <c r="BO64" s="431">
        <f>('Attainment 25+ by race &amp; gender'!IC63/'Pop 25+ by race &amp; gender'!EH62)*100</f>
        <v>85.428115582343551</v>
      </c>
      <c r="BP64" s="431">
        <f>('Attainment 25+ by race &amp; gender'!ZB63/'Pop 25+ by race &amp; gender'!DA62)*100</f>
        <v>34.618322542090667</v>
      </c>
      <c r="BQ64" s="431">
        <f>('Attainment 25+ by race &amp; gender'!AAF63/'Pop 25+ by race &amp; gender'!EE62)*100</f>
        <v>38.206292478559298</v>
      </c>
      <c r="BR64" s="431">
        <f>IF('Pop 25+ by race &amp; gender'!DB62&gt;0,('Attainment 25+ by race &amp; gender'!ZC63/'Pop 25+ by race &amp; gender'!DB62)*100,"—")</f>
        <v>38.151086581579854</v>
      </c>
      <c r="BS64" s="431" t="str">
        <f>IF('Pop 25+ by race &amp; gender'!EF62&gt;0,('Attainment 25+ by race &amp; gender'!AAG63/'Pop 25+ by race &amp; gender'!EF62)*100,"—")</f>
        <v>—</v>
      </c>
      <c r="BT64" s="431">
        <f>IF('Pop 25+ by race &amp; gender'!DD62&gt;0,('Attainment 25+ by race &amp; gender'!ZD63/'Pop 25+ by race &amp; gender'!DD62)*100,"—")</f>
        <v>43.147751605995715</v>
      </c>
      <c r="BU64" s="431">
        <f>('Attainment 25+ by race &amp; gender'!AAH63/'Pop 25+ by race &amp; gender'!EH62)*100</f>
        <v>46.232937422442824</v>
      </c>
      <c r="BV64" s="354">
        <f>('Attainment 25+ by race &amp; gender'!HN63/'Pop 25+ by race &amp; gender'!DR62)*100</f>
        <v>43.877737226277375</v>
      </c>
      <c r="BW64" s="431" t="e">
        <f>('Attainment 25+ by race &amp; gender'!JB63/'Pop 25+ by race &amp; gender'!EQ62)*100</f>
        <v>#VALUE!</v>
      </c>
      <c r="BX64" s="354">
        <f>IF('Pop 25+ by race &amp; gender'!DS62&gt;0,('Attainment 25+ by race &amp; gender'!HO63/'Pop 25+ by race &amp; gender'!DS62)*100,"—")</f>
        <v>68.044027426921687</v>
      </c>
      <c r="BY64" s="431" t="e">
        <f>IF('Pop 25+ by race &amp; gender'!ER62&gt;0,('Attainment 25+ by race &amp; gender'!JC63/'Pop 25+ by race &amp; gender'!ER62)*100,"—")</f>
        <v>#VALUE!</v>
      </c>
      <c r="BZ64" s="431">
        <f>IF('Pop 25+ by race &amp; gender'!DU62&gt;0, ('Attainment 25+ by race &amp; gender'!HP63/'Pop 25+ by race &amp; gender'!DU62)*100,"—")</f>
        <v>97.540726967948288</v>
      </c>
      <c r="CA64" s="431">
        <f>('Attainment 25+ by race &amp; gender'!JD63/'Pop 25+ by race &amp; gender'!ET62)*100</f>
        <v>18.321232082039</v>
      </c>
      <c r="CB64" s="431">
        <f>('Attainment 25+ by race &amp; gender'!ZS63/'Pop 25+ by race &amp; gender'!DR62)*100</f>
        <v>18.585766423357665</v>
      </c>
      <c r="CC64" s="431">
        <f>('Attainment 25+ by race &amp; gender'!ABB63/'Pop 25+ by race &amp; gender'!EQ62)*100</f>
        <v>108.15574848724022</v>
      </c>
      <c r="CD64" s="431">
        <f>IF('Pop 25+ by race &amp; gender'!DS62&gt;0,('Attainment 25+ by race &amp; gender'!ZT63/'Pop 25+ by race &amp; gender'!DS62)*100,"—")</f>
        <v>38.108985925658608</v>
      </c>
      <c r="CE64" s="431">
        <f>IF('Pop 25+ by race &amp; gender'!ER62&gt;0,('Attainment 25+ by race &amp; gender'!ABC63/'Pop 25+ by race &amp; gender'!ER62)*100,"—")</f>
        <v>0</v>
      </c>
      <c r="CF64" s="431">
        <f>IF('Pop 25+ by race &amp; gender'!DU62&gt;0,('Attainment 25+ by race &amp; gender'!ZU63/'Pop 25+ by race &amp; gender'!DU62)*100,"—")</f>
        <v>38.500351634377317</v>
      </c>
      <c r="CG64" s="431">
        <f>('Attainment 25+ by race &amp; gender'!ABD63/'Pop 25+ by race &amp; gender'!ET62)*100</f>
        <v>10.503059620494778</v>
      </c>
      <c r="CH64" s="354">
        <f>('Attainment 25+ by race &amp; gender'!HG63/'Pop 25+ by race &amp; gender'!DK62)*100</f>
        <v>92.693996753959269</v>
      </c>
      <c r="CI64" s="452">
        <f>('Attainment 25+ by race &amp; gender'!IK63/'Pop 25+ by race &amp; gender'!EO62)*100</f>
        <v>93.826105022841958</v>
      </c>
      <c r="CJ64" s="354">
        <f>IF('Pop 25+ by race &amp; gender'!DL62&gt;0,('Attainment 25+ by race &amp; gender'!HH63/'Pop 25+ by race &amp; gender'!DL62)*100,"—")</f>
        <v>74.897379223239653</v>
      </c>
      <c r="CK64" s="431">
        <f>IF('Attainment 25+ by race &amp; gender'!IL63="—","—",('Attainment 25+ by race &amp; gender'!IL63/'Pop 25+ by race &amp; gender'!EP62)*100)</f>
        <v>82.939541348158443</v>
      </c>
      <c r="CL64" s="431">
        <f>IF('Pop 25+ by race &amp; gender'!DN62&gt;0, ('Attainment 25+ by race &amp; gender'!HI63/'Pop 25+ by race &amp; gender'!DN62)*100,"—")</f>
        <v>86.518678938819704</v>
      </c>
      <c r="CM64" s="699">
        <f>('Attainment 25+ by race &amp; gender'!IM63/'Pop 25+ by race &amp; gender'!ER62)*100</f>
        <v>88.612983327421063</v>
      </c>
      <c r="CN64" s="431">
        <f>('Attainment 25+ by race &amp; gender'!ZL63/'Pop 25+ by race &amp; gender'!DK62)*100</f>
        <v>35.088590866229843</v>
      </c>
      <c r="CO64" s="431">
        <f>('Attainment 25+ by race &amp; gender'!AAP63/'Pop 25+ by race &amp; gender'!EO62)*100</f>
        <v>38.859263469350232</v>
      </c>
      <c r="CP64" s="431">
        <f>IF('Pop 25+ by race &amp; gender'!DL62&gt;0,('Attainment 25+ by race &amp; gender'!ZM63/'Pop 25+ by race &amp; gender'!DL62)*100,"—")</f>
        <v>37.038206504578461</v>
      </c>
      <c r="CQ64" s="699">
        <f>IF('Attainment 25+ by race &amp; gender'!AAQ63="—","—",('Attainment 25+ by race &amp; gender'!AAQ63/'Pop 25+ by race &amp; gender'!EP62)*100)</f>
        <v>26.268241834607366</v>
      </c>
      <c r="CR64" s="431">
        <f>IF('Pop 25+ by race &amp; gender'!DN62&gt;0,('Attainment 25+ by race &amp; gender'!ZN63/'Pop 25+ by race &amp; gender'!DN62)*100,"—")</f>
        <v>31.492510377188232</v>
      </c>
      <c r="CS64" s="431">
        <f>('Attainment 25+ by race &amp; gender'!AAR63/'Pop 25+ by race &amp; gender'!ER62)*100</f>
        <v>32.70663355799929</v>
      </c>
      <c r="CT64" s="350">
        <f>IFERROR(('Attainment 25+ by race &amp; gender'!HQ63/'Pop 25+ by race &amp; gender'!DU62)*100,"-")</f>
        <v>92.377963603433486</v>
      </c>
      <c r="CU64" s="452">
        <f>IFERROR(('Attainment 25+ by race &amp; gender'!IP63/'Pop 25+ by race &amp; gender'!ET62)*100,"-")</f>
        <v>94.800516486395452</v>
      </c>
      <c r="CV64" s="350" t="str">
        <f>IFERROR(('Attainment 25+ by race &amp; gender'!HR63/'Pop 25+ by race &amp; gender'!DV62)*100,"-")</f>
        <v>-</v>
      </c>
      <c r="CW64" s="452">
        <f>IFERROR(('Attainment 25+ by race &amp; gender'!IQ63/'Pop 25+ by race &amp; gender'!EU62)*100, "-")</f>
        <v>83.682795698924721</v>
      </c>
      <c r="CX64" s="452">
        <f>IFERROR(('Attainment 25+ by race &amp; gender'!HS63/'Pop 25+ by race &amp; gender'!DX62)*100, "-")</f>
        <v>87.446163662466105</v>
      </c>
      <c r="CY64" s="452">
        <f>IFERROR(('Attainment 25+ by race &amp; gender'!IR63/'Pop 25+ by race &amp; gender'!EW62)*100, "-")</f>
        <v>94.669310626385155</v>
      </c>
      <c r="CZ64" s="452">
        <f>IFERROR(('Attainment 25+ by race &amp; gender'!HU63/'Pop 25+ by race &amp; gender'!DY62)*100, "-")</f>
        <v>83.13389391979301</v>
      </c>
      <c r="DA64" s="452">
        <f>IFERROR(('Attainment 25+ by race &amp; gender'!IT63/'Pop 25+ by race &amp; gender'!EX62)*100, "-")</f>
        <v>83.523965141612194</v>
      </c>
      <c r="DB64" s="452" t="str">
        <f>IFERROR(('Attainment 25+ by race &amp; gender'!HV63/'Pop 25+ by race &amp; gender'!DZ62)*100, "-")</f>
        <v>-</v>
      </c>
      <c r="DC64" s="452" t="str">
        <f>IFERROR(('Attainment 25+ by race &amp; gender'!IU63/'Pop 25+ by race &amp; gender'!EY62)*100, "-")</f>
        <v>-</v>
      </c>
      <c r="DD64" s="452" t="str">
        <f>IFERROR(('Attainment 25+ by race &amp; gender'!HW63/'Pop 25+ by race &amp; gender'!EA62)*100, "-")</f>
        <v>-</v>
      </c>
      <c r="DE64" s="452" t="str">
        <f>IFERROR(('Attainment 25+ by race &amp; gender'!IV63/'Pop 25+ by race &amp; gender'!EZ62)*100, "-")</f>
        <v>-</v>
      </c>
      <c r="DF64" s="452">
        <f>IFERROR(('Attainment 25+ by race &amp; gender'!HX63/'Pop 25+ by race &amp; gender'!EB62)*100, "-")</f>
        <v>0</v>
      </c>
      <c r="DG64" s="452">
        <f>IFERROR(('Attainment 25+ by race &amp; gender'!IW63/'Pop 25+ by race &amp; gender'!FA62)*100, "-")</f>
        <v>95.472300159542272</v>
      </c>
      <c r="DH64" s="452" t="str">
        <f>IFERROR(('Attainment 25+ by race &amp; gender'!HY63/'Pop 25+ by race &amp; gender'!EC62)*100, "-")</f>
        <v>-</v>
      </c>
      <c r="DI64" s="452" t="str">
        <f>IFERROR(('Attainment 25+ by race &amp; gender'!IX63/'Pop 25+ by race &amp; gender'!FB62)*100, "-")</f>
        <v>-</v>
      </c>
      <c r="DJ64" s="452">
        <f>IFERROR(('Attainment 25+ by race &amp; gender'!ZV63/'Pop 25+ by race &amp; gender'!DU62)*100, "-")</f>
        <v>36.455573645725956</v>
      </c>
      <c r="DK64" s="452">
        <f>IFERROR(('Attainment 25+ by race &amp; gender'!AAU63/'Pop 25+ by race &amp; gender'!ET62)*100, "-")</f>
        <v>44.375725139413902</v>
      </c>
      <c r="DL64" s="452" t="str">
        <f>IFERROR(('Attainment 25+ by race &amp; gender'!ZW63/'Pop 25+ by race &amp; gender'!DV62)*100, "-")</f>
        <v>-</v>
      </c>
      <c r="DM64" s="452">
        <f>IFERROR(('Attainment 25+ by race &amp; gender'!AAV63/'Pop 25+ by race &amp; gender'!EU62)*100, "-")</f>
        <v>35.725806451612904</v>
      </c>
      <c r="DN64" s="452">
        <f>IFERROR(('Attainment 25+ by race &amp; gender'!ZX63/'Pop 25+ by race &amp; gender'!DX62)*100, "-")</f>
        <v>35.508055511245814</v>
      </c>
      <c r="DO64" s="452">
        <f>IFERROR(('Attainment 25+ by race &amp; gender'!AAW63/'Pop 25+ by race &amp; gender'!EW62)*100, "-")</f>
        <v>57.984369532252423</v>
      </c>
      <c r="DP64" s="452">
        <f>IFERROR(('Attainment 25+ by race &amp; gender'!ZZ63/'Pop 25+ by race &amp; gender'!DY62)*100, "-")</f>
        <v>50.598318240620955</v>
      </c>
      <c r="DQ64" s="452">
        <f>IFERROR(('Attainment 25+ by race &amp; gender'!AAY63/'Pop 25+ by race &amp; gender'!EX62)*100, "-")</f>
        <v>0</v>
      </c>
      <c r="DR64" s="452" t="str">
        <f>IFERROR(('Attainment 25+ by race &amp; gender'!AAA63/'Pop 25+ by race &amp; gender'!DZ62)*100, "-")</f>
        <v>-</v>
      </c>
      <c r="DS64" s="452" t="str">
        <f>IFERROR(('Attainment 25+ by race &amp; gender'!AAZ63/'Pop 25+ by race &amp; gender'!EY62)*100, "-")</f>
        <v>-</v>
      </c>
      <c r="DT64" s="452" t="str">
        <f>IFERROR(('Attainment 25+ by race &amp; gender'!AAB63/'Pop 25+ by race &amp; gender'!EA62)*100, "-")</f>
        <v>-</v>
      </c>
      <c r="DU64" s="452" t="str">
        <f>IFERROR(('Attainment 25+ by race &amp; gender'!ABA63/'Pop 25+ by race &amp; gender'!EZ62)*100, "-")</f>
        <v>-</v>
      </c>
      <c r="DV64" s="452">
        <f>IFERROR(('Attainment 25+ by race &amp; gender'!AAC63/'Pop 25+ by race &amp; gender'!EB62)*100, "-")</f>
        <v>0</v>
      </c>
      <c r="DW64" s="452">
        <f>IFERROR(('Attainment 25+ by race &amp; gender'!ABB63/'Pop 25+ by race &amp; gender'!FA62)*100, "-")</f>
        <v>45.232986741486492</v>
      </c>
      <c r="DX64" s="452" t="str">
        <f>IFERROR(('Attainment 25+ by race &amp; gender'!AAD63/'Pop 25+ by race &amp; gender'!EC62)*100, "-")</f>
        <v>-</v>
      </c>
      <c r="DY64" s="452" t="str">
        <f>IFERROR(('Attainment 25+ by race &amp; gender'!ABC63/'Pop 25+ by race &amp; gender'!FB62)*100, "-")</f>
        <v>-</v>
      </c>
    </row>
    <row r="65" spans="1:129" s="465" customFormat="1" ht="14.45">
      <c r="A65" s="454" t="s">
        <v>61</v>
      </c>
      <c r="B65" s="471">
        <f>('Attainment 25+ by race &amp; gender'!FS64/'Pop 25+ by race &amp; gender'!AT63)*100</f>
        <v>94.428578080618379</v>
      </c>
      <c r="C65" s="477">
        <f>('Attainment 25+ by race &amp; gender'!GR64/'Pop 25+ by race &amp; gender'!CV63)*100</f>
        <v>95</v>
      </c>
      <c r="D65" s="472">
        <f>('Attainment 25+ by race &amp; gender'!FT64/'Pop 25+ by race &amp; gender'!AZ63)*100</f>
        <v>70.367053006825145</v>
      </c>
      <c r="E65" s="471">
        <f>IF('Pop 25+ by race &amp; gender'!CW63&gt;0,('Attainment 25+ by race &amp; gender'!GS64/'Pop 25+ by race &amp; gender'!CW63)*100,"—")</f>
        <v>81.7</v>
      </c>
      <c r="F65" s="472">
        <f>('Attainment 25+ by race &amp; gender'!FU64/'Pop 25+ by race &amp; gender'!BC63)*100</f>
        <v>47.821973280853804</v>
      </c>
      <c r="G65" s="471">
        <f>('Attainment 25+ by race &amp; gender'!GT64/'Pop 25+ by race &amp; gender'!CY63)*100</f>
        <v>62.900000000000013</v>
      </c>
      <c r="H65" s="472">
        <f>('Attainment 25+ by race &amp; gender'!XM64/'Pop 25+ by race &amp; gender'!AT63)*100</f>
        <v>77.303770158473924</v>
      </c>
      <c r="I65" s="471">
        <f>('Attainment 25+ by race &amp; gender'!YW64/'Pop 25+ by race &amp; gender'!CV63)*100</f>
        <v>82.399999999999991</v>
      </c>
      <c r="J65" s="472">
        <f>('Attainment 25+ by race &amp; gender'!XS64/'Pop 25+ by race &amp; gender'!AZ63)*100</f>
        <v>17.497268151120508</v>
      </c>
      <c r="K65" s="471">
        <f>IF('Pop 25+ by race &amp; gender'!CW63&gt;0,('Attainment 25+ by race &amp; gender'!YX64/'Pop 25+ by race &amp; gender'!CW63)*100,"—")</f>
        <v>22.1</v>
      </c>
      <c r="L65" s="472">
        <f>('Attainment 25+ by race &amp; gender'!XV64/'Pop 25+ by race &amp; gender'!BC63)*100</f>
        <v>24.75494834046096</v>
      </c>
      <c r="M65" s="473">
        <f>('Attainment 25+ by race &amp; gender'!YY64/'Pop 25+ by race &amp; gender'!CY63)*100</f>
        <v>36.9</v>
      </c>
      <c r="N65" s="467">
        <f>('Attainment 25+ by race &amp; gender'!FS64/'Pop 25+ by race &amp; gender'!AT63)*100</f>
        <v>94.428578080618379</v>
      </c>
      <c r="O65" s="475">
        <f>('Attainment 25+ by race &amp; gender'!GW64/'Pop 25+ by race &amp; gender'!DA63)*100</f>
        <v>99.599377770095927</v>
      </c>
      <c r="P65" s="468">
        <f>('Attainment 25+ by race &amp; gender'!FT64/'Pop 25+ by race &amp; gender'!AZ63)*100</f>
        <v>70.367053006825145</v>
      </c>
      <c r="Q65" s="469">
        <f>('Attainment 25+ by race &amp; gender'!GX64/'Pop 25+ by race &amp; gender'!DB63)*100</f>
        <v>81.958451815982968</v>
      </c>
      <c r="R65" s="468">
        <f>('Attainment 25+ by race &amp; gender'!FU64/'Pop 25+ by race &amp; gender'!BC63)*100</f>
        <v>47.821973280853804</v>
      </c>
      <c r="S65" s="469">
        <f>('Attainment 25+ by race &amp; gender'!GY64/'Pop 25+ by race &amp; gender'!DD63)*100</f>
        <v>64.914200314910204</v>
      </c>
      <c r="T65" s="468">
        <f>('Attainment 25+ by race &amp; gender'!XM64/'Pop 25+ by race &amp; gender'!AT63)*100</f>
        <v>77.303770158473924</v>
      </c>
      <c r="U65" s="470">
        <f>('Attainment 25+ by race &amp; gender'!ZB64/'Pop 25+ by race &amp; gender'!DA63)*100</f>
        <v>88.772083605970437</v>
      </c>
      <c r="V65" s="468">
        <f>('Attainment 25+ by race &amp; gender'!XS64/'Pop 25+ by race &amp; gender'!AZ63)*100</f>
        <v>17.497268151120508</v>
      </c>
      <c r="W65" s="470">
        <f>('Attainment 25+ by race &amp; gender'!ZC64/'Pop 25+ by race &amp; gender'!DB63)*100</f>
        <v>22.908952219105601</v>
      </c>
      <c r="X65" s="468">
        <f>('Attainment 25+ by race &amp; gender'!XV64/'Pop 25+ by race &amp; gender'!BC63)*100</f>
        <v>24.75494834046096</v>
      </c>
      <c r="Y65" s="470">
        <f>('Attainment 25+ by race &amp; gender'!ZD64/'Pop 25+ by race &amp; gender'!DD63)*100</f>
        <v>35.739638653892342</v>
      </c>
      <c r="Z65" s="515">
        <f>('Attainment 25+ by race &amp; gender'!FS64/'Pop 25+ by race &amp; gender'!AT63)*100</f>
        <v>94.428578080618379</v>
      </c>
      <c r="AA65" s="492">
        <f>('Attainment 25+ by race &amp; gender'!HB64/'Pop 25+ by race &amp; gender'!DF63)*100</f>
        <v>99.567520117044623</v>
      </c>
      <c r="AB65" s="354">
        <f>('Attainment 25+ by race &amp; gender'!FT64/'Pop 25+ by race &amp; gender'!AZ63)*100</f>
        <v>70.367053006825145</v>
      </c>
      <c r="AC65" s="431">
        <f>('Attainment 25+ by race &amp; gender'!HC64/'Pop 25+ by race &amp; gender'!DG63)*100</f>
        <v>82.678538909069999</v>
      </c>
      <c r="AD65" s="354">
        <f>('Attainment 25+ by race &amp; gender'!FU64/'Pop 25+ by race &amp; gender'!BC63)*100</f>
        <v>47.821973280853804</v>
      </c>
      <c r="AE65" s="353">
        <f>('Attainment 25+ by race &amp; gender'!HD64/'Pop 25+ by race &amp; gender'!DI63)*100</f>
        <v>70.032223415682054</v>
      </c>
      <c r="AF65" s="354">
        <f>('Attainment 25+ by race &amp; gender'!XM64/'Pop 25+ by race &amp; gender'!AT63)*100</f>
        <v>77.303770158473924</v>
      </c>
      <c r="AG65" s="431">
        <f>('Attainment 25+ by race &amp; gender'!ZG64/'Pop 25+ by race &amp; gender'!DF63)*100</f>
        <v>90.133723482077542</v>
      </c>
      <c r="AH65" s="354">
        <f>('Attainment 25+ by race &amp; gender'!XS64/'Pop 25+ by race &amp; gender'!AZ63)*100</f>
        <v>17.497268151120508</v>
      </c>
      <c r="AI65" s="431">
        <f>('Attainment 25+ by race &amp; gender'!ZH64/'Pop 25+ by race &amp; gender'!DG63)*100</f>
        <v>23.489212425598804</v>
      </c>
      <c r="AJ65" s="354">
        <f>('Attainment 25+ by race &amp; gender'!XV64/'Pop 25+ by race &amp; gender'!BC63)*100</f>
        <v>24.75494834046096</v>
      </c>
      <c r="AK65" s="431">
        <f>('Attainment 25+ by race &amp; gender'!ZI64/'Pop 25+ by race &amp; gender'!DI63)*100</f>
        <v>40.129393250568278</v>
      </c>
      <c r="AL65" s="354">
        <f>('Attainment 25+ by race &amp; gender'!FS64/'Pop 25+ by race &amp; gender'!AT63)*100</f>
        <v>94.428578080618379</v>
      </c>
      <c r="AM65" s="431">
        <f>('Attainment 25+ by race &amp; gender'!HL64/'Pop 25+ by race &amp; gender'!DP63)*100</f>
        <v>99.573306764279053</v>
      </c>
      <c r="AN65" s="354">
        <v>70.367053006825145</v>
      </c>
      <c r="AO65" s="431">
        <f>('Attainment 25+ by race &amp; gender'!HM64/'Pop 25+ by race &amp; gender'!DQ63)*100</f>
        <v>84.555610875098296</v>
      </c>
      <c r="AP65" s="431">
        <f>('Attainment 25+ by race &amp; gender'!FU64/'Pop 25+ by race &amp; gender'!BC63)*100</f>
        <v>47.821973280853804</v>
      </c>
      <c r="AQ65" s="431">
        <f>('Attainment 25+ by race &amp; gender'!HN64/'Pop 25+ by race &amp; gender'!DS63)*100</f>
        <v>71.900355247576869</v>
      </c>
      <c r="AR65" s="431">
        <f>('Attainment 25+ by race &amp; gender'!XM64/'Pop 25+ by race &amp; gender'!AT63)*100</f>
        <v>77.303770158473924</v>
      </c>
      <c r="AS65" s="431">
        <f>('Attainment 25+ by race &amp; gender'!ZQ64/'Pop 25+ by race &amp; gender'!DP63)*100</f>
        <v>91.623167060148575</v>
      </c>
      <c r="AT65" s="431">
        <f>('Attainment 25+ by race &amp; gender'!XS64/'Pop 25+ by race &amp; gender'!AZ63)*100</f>
        <v>17.497268151120508</v>
      </c>
      <c r="AU65" s="431">
        <f>('Attainment 25+ by race &amp; gender'!ZR64/'Pop 25+ by race &amp; gender'!DQ63)*100</f>
        <v>26.185479705741393</v>
      </c>
      <c r="AV65" s="431">
        <f>('Attainment 25+ by race &amp; gender'!XV64/'Pop 25+ by race &amp; gender'!BC63)*100</f>
        <v>24.75494834046096</v>
      </c>
      <c r="AW65" s="431">
        <f>('Attainment 25+ by race &amp; gender'!ZS64/'Pop 25+ by race &amp; gender'!DS63)*100</f>
        <v>44.261216613306438</v>
      </c>
      <c r="AX65" s="354">
        <f>('Attainment 25+ by race &amp; gender'!GR64/'Pop 25+ by race &amp; gender'!CV63)*100</f>
        <v>95</v>
      </c>
      <c r="AY65" s="431">
        <f>('Attainment 25+ by race &amp; gender'!HQ64/'Pop 25+ by race &amp; gender'!DU63)*100</f>
        <v>99.43583404646445</v>
      </c>
      <c r="AZ65" s="354">
        <f>('Attainment 25+ by race &amp; gender'!GS64/'Pop 25+ by race &amp; gender'!CW63)*100</f>
        <v>81.7</v>
      </c>
      <c r="BA65" s="431">
        <f>('Attainment 25+ by race &amp; gender'!HR64/'Pop 25+ by race &amp; gender'!DV63)*100</f>
        <v>86.389373122795078</v>
      </c>
      <c r="BB65" s="431">
        <f>('Attainment 25+ by race &amp; gender'!GT64/'Pop 25+ by race &amp; gender'!CY63)*100</f>
        <v>62.900000000000013</v>
      </c>
      <c r="BC65" s="431">
        <f>('Attainment 25+ by race &amp; gender'!HS64/'Pop 25+ by race &amp; gender'!DX63)*100</f>
        <v>67.815580286168526</v>
      </c>
      <c r="BD65" s="431">
        <f>('Attainment 25+ by race &amp; gender'!YW64/'Pop 25+ by race &amp; gender'!CV63)*100</f>
        <v>82.399999999999991</v>
      </c>
      <c r="BE65" s="431">
        <f>('Attainment 25+ by race &amp; gender'!ZV64/'Pop 25+ by race &amp; gender'!DU63)*100</f>
        <v>92.031948274222685</v>
      </c>
      <c r="BF65" s="431">
        <f>('Attainment 25+ by race &amp; gender'!YX64/'Pop 25+ by race &amp; gender'!CW63)*100</f>
        <v>22.1</v>
      </c>
      <c r="BG65" s="431">
        <f>('Attainment 25+ by race &amp; gender'!ZW64/'Pop 25+ by race &amp; gender'!DV63)*100</f>
        <v>25.61415935716224</v>
      </c>
      <c r="BH65" s="431">
        <f>('Attainment 25+ by race &amp; gender'!YY64/'Pop 25+ by race &amp; gender'!CY63)*100</f>
        <v>36.9</v>
      </c>
      <c r="BI65" s="431">
        <f>('Attainment 25+ by race &amp; gender'!ZX64/'Pop 25+ by race &amp; gender'!DX63)*100</f>
        <v>41.532591414944356</v>
      </c>
      <c r="BJ65" s="354">
        <f>('Attainment 25+ by race &amp; gender'!GW64/'Pop 25+ by race &amp; gender'!DA63)*100</f>
        <v>99.599377770095927</v>
      </c>
      <c r="BK65" s="431">
        <f>('Attainment 25+ by race &amp; gender'!IA64/'Pop 25+ by race &amp; gender'!EE63)*100</f>
        <v>99.260856798598667</v>
      </c>
      <c r="BL65" s="354">
        <f>('Attainment 25+ by race &amp; gender'!GX64/'Pop 25+ by race &amp; gender'!DB63)*100</f>
        <v>81.958451815982968</v>
      </c>
      <c r="BM65" s="431">
        <f>('Attainment 25+ by race &amp; gender'!IB64/'Pop 25+ by race &amp; gender'!EF63)*100</f>
        <v>86.532363536241192</v>
      </c>
      <c r="BN65" s="431">
        <f>('Attainment 25+ by race &amp; gender'!GY64/'Pop 25+ by race &amp; gender'!DD63)*100</f>
        <v>64.914200314910204</v>
      </c>
      <c r="BO65" s="431">
        <f>('Attainment 25+ by race &amp; gender'!IC64/'Pop 25+ by race &amp; gender'!EH63)*100</f>
        <v>67.47291301207305</v>
      </c>
      <c r="BP65" s="431">
        <f>('Attainment 25+ by race &amp; gender'!ZB64/'Pop 25+ by race &amp; gender'!DA63)*100</f>
        <v>88.772083605970437</v>
      </c>
      <c r="BQ65" s="431">
        <f>('Attainment 25+ by race &amp; gender'!AAF64/'Pop 25+ by race &amp; gender'!EE63)*100</f>
        <v>90.799185929953524</v>
      </c>
      <c r="BR65" s="431">
        <f>('Attainment 25+ by race &amp; gender'!ZC64/'Pop 25+ by race &amp; gender'!DB63)*100</f>
        <v>22.908952219105601</v>
      </c>
      <c r="BS65" s="431">
        <f>('Attainment 25+ by race &amp; gender'!AAG64/'Pop 25+ by race &amp; gender'!EF63)*100</f>
        <v>26.692517724800958</v>
      </c>
      <c r="BT65" s="431">
        <f>('Attainment 25+ by race &amp; gender'!ZD64/'Pop 25+ by race &amp; gender'!DD63)*100</f>
        <v>35.739638653892342</v>
      </c>
      <c r="BU65" s="431">
        <f>('Attainment 25+ by race &amp; gender'!AAH64/'Pop 25+ by race &amp; gender'!EH63)*100</f>
        <v>43.595088226189247</v>
      </c>
      <c r="BV65" s="354">
        <f>('Attainment 25+ by race &amp; gender'!HN64/'Pop 25+ by race &amp; gender'!DR63)*100</f>
        <v>61.090719382906968</v>
      </c>
      <c r="BW65" s="431" t="e">
        <f>('Attainment 25+ by race &amp; gender'!JB64/'Pop 25+ by race &amp; gender'!EQ63)*100</f>
        <v>#VALUE!</v>
      </c>
      <c r="BX65" s="354">
        <f>('Attainment 25+ by race &amp; gender'!HO64/'Pop 25+ by race &amp; gender'!DS63)*100</f>
        <v>91.603438445682201</v>
      </c>
      <c r="BY65" s="431" t="e">
        <f>('Attainment 25+ by race &amp; gender'!JC64/'Pop 25+ by race &amp; gender'!ER63)*100</f>
        <v>#VALUE!</v>
      </c>
      <c r="BZ65" s="431">
        <f>('Attainment 25+ by race &amp; gender'!HP64/'Pop 25+ by race &amp; gender'!DU63)*100</f>
        <v>229.47767107223225</v>
      </c>
      <c r="CA65" s="431">
        <f>('Attainment 25+ by race &amp; gender'!JD64/'Pop 25+ by race &amp; gender'!ET63)*100</f>
        <v>40.322691565054093</v>
      </c>
      <c r="CB65" s="431">
        <f>('Attainment 25+ by race &amp; gender'!ZS64/'Pop 25+ by race &amp; gender'!DR63)*100</f>
        <v>37.606901306105719</v>
      </c>
      <c r="CC65" s="431">
        <f>('Attainment 25+ by race &amp; gender'!ABB64/'Pop 25+ by race &amp; gender'!EQ63)*100</f>
        <v>69.344427634896618</v>
      </c>
      <c r="CD65" s="431">
        <f>('Attainment 25+ by race &amp; gender'!ZT64/'Pop 25+ by race &amp; gender'!DS63)*100</f>
        <v>64.089294329196093</v>
      </c>
      <c r="CE65" s="431">
        <f>('Attainment 25+ by race &amp; gender'!ABC64/'Pop 25+ by race &amp; gender'!ER63)*100</f>
        <v>13.697373406992282</v>
      </c>
      <c r="CF65" s="431">
        <f>('Attainment 25+ by race &amp; gender'!ZU64/'Pop 25+ by race &amp; gender'!DU63)*100</f>
        <v>144.14492937360674</v>
      </c>
      <c r="CG65" s="431">
        <f>('Attainment 25+ by race &amp; gender'!ABD64/'Pop 25+ by race &amp; gender'!ET63)*100</f>
        <v>42.71219615415135</v>
      </c>
      <c r="CH65" s="354">
        <f>('Attainment 25+ by race &amp; gender'!HG64/'Pop 25+ by race &amp; gender'!DK63)*100</f>
        <v>99.193427682892349</v>
      </c>
      <c r="CI65" s="452">
        <f>('Attainment 25+ by race &amp; gender'!IK64/'Pop 25+ by race &amp; gender'!EO63)*100</f>
        <v>99.515580764295024</v>
      </c>
      <c r="CJ65" s="354">
        <f>('Attainment 25+ by race &amp; gender'!HH64/'Pop 25+ by race &amp; gender'!DL63)*100</f>
        <v>86.604113336635351</v>
      </c>
      <c r="CK65" s="431">
        <f>('Attainment 25+ by race &amp; gender'!IL64/'Pop 25+ by race &amp; gender'!EP63)*100</f>
        <v>86.469639589033648</v>
      </c>
      <c r="CL65" s="431">
        <f>('Attainment 25+ by race &amp; gender'!HI64/'Pop 25+ by race &amp; gender'!DN63)*100</f>
        <v>68.045762634763236</v>
      </c>
      <c r="CM65" s="431">
        <f>('Attainment 25+ by race &amp; gender'!IM64/'Pop 25+ by race &amp; gender'!ER63)*100</f>
        <v>80.770227957160813</v>
      </c>
      <c r="CN65" s="431">
        <f>('Attainment 25+ by race &amp; gender'!ZL64/'Pop 25+ by race &amp; gender'!DK63)*100</f>
        <v>90.282328028249438</v>
      </c>
      <c r="CO65" s="431">
        <f>('Attainment 25+ by race &amp; gender'!AAP64/'Pop 25+ by race &amp; gender'!EO63)*100</f>
        <v>92.083737424202354</v>
      </c>
      <c r="CP65" s="431">
        <f>('Attainment 25+ by race &amp; gender'!ZM64/'Pop 25+ by race &amp; gender'!DL63)*100</f>
        <v>25.086446727059791</v>
      </c>
      <c r="CQ65" s="431">
        <f>('Attainment 25+ by race &amp; gender'!AAQ64/'Pop 25+ by race &amp; gender'!EP63)*100</f>
        <v>28.095384782648086</v>
      </c>
      <c r="CR65" s="431">
        <f>('Attainment 25+ by race &amp; gender'!ZN64/'Pop 25+ by race &amp; gender'!DN63)*100</f>
        <v>41.948323704680888</v>
      </c>
      <c r="CS65" s="431">
        <f>('Attainment 25+ by race &amp; gender'!AAR64/'Pop 25+ by race &amp; gender'!ER63)*100</f>
        <v>51.981412416984107</v>
      </c>
      <c r="CT65" s="350">
        <f>IFERROR(('Attainment 25+ by race &amp; gender'!HQ64/'Pop 25+ by race &amp; gender'!DU63)*100,"-")</f>
        <v>99.43583404646445</v>
      </c>
      <c r="CU65" s="452">
        <f>IFERROR(('Attainment 25+ by race &amp; gender'!IP64/'Pop 25+ by race &amp; gender'!ET63)*100,"-")</f>
        <v>99.427090221387573</v>
      </c>
      <c r="CV65" s="350">
        <f>IFERROR(('Attainment 25+ by race &amp; gender'!HR64/'Pop 25+ by race &amp; gender'!DV63)*100,"-")</f>
        <v>86.389373122795078</v>
      </c>
      <c r="CW65" s="452">
        <f>IFERROR(('Attainment 25+ by race &amp; gender'!IQ64/'Pop 25+ by race &amp; gender'!EU63)*100, "-")</f>
        <v>89.459322280907173</v>
      </c>
      <c r="CX65" s="452">
        <f>IFERROR(('Attainment 25+ by race &amp; gender'!HS64/'Pop 25+ by race &amp; gender'!DX63)*100, "-")</f>
        <v>67.815580286168526</v>
      </c>
      <c r="CY65" s="452">
        <f>IFERROR(('Attainment 25+ by race &amp; gender'!IR64/'Pop 25+ by race &amp; gender'!EW63)*100, "-")</f>
        <v>79.626874922523854</v>
      </c>
      <c r="CZ65" s="452">
        <f>IFERROR(('Attainment 25+ by race &amp; gender'!HU64/'Pop 25+ by race &amp; gender'!DY63)*100, "-")</f>
        <v>96.543951915852745</v>
      </c>
      <c r="DA65" s="452">
        <f>IFERROR(('Attainment 25+ by race &amp; gender'!IT64/'Pop 25+ by race &amp; gender'!EX63)*100, "-")</f>
        <v>94.071146245059296</v>
      </c>
      <c r="DB65" s="452" t="str">
        <f>IFERROR(('Attainment 25+ by race &amp; gender'!HV64/'Pop 25+ by race &amp; gender'!DZ63)*100, "-")</f>
        <v>-</v>
      </c>
      <c r="DC65" s="452" t="str">
        <f>IFERROR(('Attainment 25+ by race &amp; gender'!IU64/'Pop 25+ by race &amp; gender'!EY63)*100, "-")</f>
        <v>-</v>
      </c>
      <c r="DD65" s="452" t="str">
        <f>IFERROR(('Attainment 25+ by race &amp; gender'!HW64/'Pop 25+ by race &amp; gender'!EA63)*100, "-")</f>
        <v>-</v>
      </c>
      <c r="DE65" s="452" t="str">
        <f>IFERROR(('Attainment 25+ by race &amp; gender'!IV64/'Pop 25+ by race &amp; gender'!EZ63)*100, "-")</f>
        <v>-</v>
      </c>
      <c r="DF65" s="452">
        <f>IFERROR(('Attainment 25+ by race &amp; gender'!HX64/'Pop 25+ by race &amp; gender'!EB63)*100, "-")</f>
        <v>96.094698502630521</v>
      </c>
      <c r="DG65" s="452">
        <f>IFERROR(('Attainment 25+ by race &amp; gender'!IW64/'Pop 25+ by race &amp; gender'!FA63)*100, "-")</f>
        <v>93.180486375622621</v>
      </c>
      <c r="DH65" s="452">
        <f>IFERROR(('Attainment 25+ by race &amp; gender'!HY64/'Pop 25+ by race &amp; gender'!EC63)*100, "-")</f>
        <v>56.882600453137279</v>
      </c>
      <c r="DI65" s="452">
        <f>IFERROR(('Attainment 25+ by race &amp; gender'!IX64/'Pop 25+ by race &amp; gender'!FB63)*100, "-")</f>
        <v>61.82634730538922</v>
      </c>
      <c r="DJ65" s="452">
        <f>IFERROR(('Attainment 25+ by race &amp; gender'!ZV64/'Pop 25+ by race &amp; gender'!DU63)*100, "-")</f>
        <v>92.031948274222685</v>
      </c>
      <c r="DK65" s="452">
        <f>IFERROR(('Attainment 25+ by race &amp; gender'!AAU64/'Pop 25+ by race &amp; gender'!ET63)*100, "-")</f>
        <v>93.00076705372021</v>
      </c>
      <c r="DL65" s="452">
        <f>IFERROR(('Attainment 25+ by race &amp; gender'!ZW64/'Pop 25+ by race &amp; gender'!DV63)*100, "-")</f>
        <v>25.61415935716224</v>
      </c>
      <c r="DM65" s="452">
        <f>IFERROR(('Attainment 25+ by race &amp; gender'!AAV64/'Pop 25+ by race &amp; gender'!EU63)*100, "-")</f>
        <v>33.714590107090267</v>
      </c>
      <c r="DN65" s="452">
        <f>IFERROR(('Attainment 25+ by race &amp; gender'!ZX64/'Pop 25+ by race &amp; gender'!DX63)*100, "-")</f>
        <v>41.532591414944356</v>
      </c>
      <c r="DO65" s="452">
        <f>IFERROR(('Attainment 25+ by race &amp; gender'!AAW64/'Pop 25+ by race &amp; gender'!EW63)*100, "-")</f>
        <v>57.396388578984336</v>
      </c>
      <c r="DP65" s="452">
        <f>IFERROR(('Attainment 25+ by race &amp; gender'!ZZ64/'Pop 25+ by race &amp; gender'!DY63)*100, "-")</f>
        <v>85.57976458802905</v>
      </c>
      <c r="DQ65" s="452">
        <f>IFERROR(('Attainment 25+ by race &amp; gender'!AAY64/'Pop 25+ by race &amp; gender'!EX63)*100, "-")</f>
        <v>0</v>
      </c>
      <c r="DR65" s="452" t="str">
        <f>IFERROR(('Attainment 25+ by race &amp; gender'!AAA64/'Pop 25+ by race &amp; gender'!DZ63)*100, "-")</f>
        <v>-</v>
      </c>
      <c r="DS65" s="452" t="str">
        <f>IFERROR(('Attainment 25+ by race &amp; gender'!AAZ64/'Pop 25+ by race &amp; gender'!EY63)*100, "-")</f>
        <v>-</v>
      </c>
      <c r="DT65" s="452" t="str">
        <f>IFERROR(('Attainment 25+ by race &amp; gender'!AAB64/'Pop 25+ by race &amp; gender'!EA63)*100, "-")</f>
        <v>-</v>
      </c>
      <c r="DU65" s="452" t="str">
        <f>IFERROR(('Attainment 25+ by race &amp; gender'!ABA64/'Pop 25+ by race &amp; gender'!EZ63)*100, "-")</f>
        <v>-</v>
      </c>
      <c r="DV65" s="452">
        <f>IFERROR(('Attainment 25+ by race &amp; gender'!AAC64/'Pop 25+ by race &amp; gender'!EB63)*100, "-")</f>
        <v>74.433427762039656</v>
      </c>
      <c r="DW65" s="452">
        <f>IFERROR(('Attainment 25+ by race &amp; gender'!ABB64/'Pop 25+ by race &amp; gender'!FA63)*100, "-")</f>
        <v>67.150112315655832</v>
      </c>
      <c r="DX65" s="452">
        <f>IFERROR(('Attainment 25+ by race &amp; gender'!AAD64/'Pop 25+ by race &amp; gender'!EC63)*100, "-")</f>
        <v>24.090257548434828</v>
      </c>
      <c r="DY65" s="452">
        <f>IFERROR(('Attainment 25+ by race &amp; gender'!ABC64/'Pop 25+ by race &amp; gender'!FB63)*100, "-")</f>
        <v>35.453231468098281</v>
      </c>
    </row>
    <row r="66" spans="1:129">
      <c r="C66" s="476"/>
      <c r="O66" s="474"/>
    </row>
    <row r="67" spans="1:129">
      <c r="A67" s="45"/>
      <c r="B67" s="355"/>
      <c r="C67" s="446"/>
      <c r="D67" s="355"/>
      <c r="E67" s="355"/>
      <c r="F67" s="355"/>
      <c r="G67" s="355"/>
      <c r="H67" s="355"/>
      <c r="I67" s="355"/>
      <c r="J67" s="355"/>
      <c r="K67" s="355"/>
      <c r="L67" s="355"/>
      <c r="M67" s="355"/>
    </row>
  </sheetData>
  <conditionalFormatting sqref="DD4">
    <cfRule type="containsText" dxfId="0" priority="1" operator="containsText" text="2015">
      <formula>NOT(ISERROR(SEARCH("2015",DD4)))</formula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9" tint="-0.249977111117893"/>
  </sheetPr>
  <dimension ref="A1:AW69"/>
  <sheetViews>
    <sheetView topLeftCell="X1" workbookViewId="0">
      <selection activeCell="H8" sqref="H8"/>
    </sheetView>
  </sheetViews>
  <sheetFormatPr defaultColWidth="8.88671875" defaultRowHeight="12.6"/>
  <cols>
    <col min="1" max="1" width="16.33203125" style="1" customWidth="1"/>
    <col min="2" max="8" width="4.44140625" style="15" customWidth="1"/>
    <col min="9" max="9" width="4.44140625" style="1" customWidth="1"/>
    <col min="10" max="10" width="4.6640625" style="96" customWidth="1"/>
    <col min="11" max="16" width="3.88671875" style="96" bestFit="1" customWidth="1"/>
    <col min="17" max="17" width="3.88671875" style="96" customWidth="1"/>
    <col min="18" max="25" width="4.33203125" style="96" customWidth="1"/>
    <col min="26" max="49" width="5.44140625" style="96" customWidth="1"/>
    <col min="50" max="16384" width="8.88671875" style="96"/>
  </cols>
  <sheetData>
    <row r="1" spans="1:49">
      <c r="A1" s="2" t="s">
        <v>251</v>
      </c>
    </row>
    <row r="2" spans="1:49" ht="12.75" customHeight="1">
      <c r="A2" s="96"/>
      <c r="B2" s="690" t="s">
        <v>252</v>
      </c>
      <c r="C2" s="691"/>
      <c r="D2" s="691"/>
      <c r="E2" s="691"/>
      <c r="F2" s="691"/>
      <c r="G2" s="691"/>
      <c r="H2" s="691"/>
      <c r="I2" s="605"/>
      <c r="J2" s="94"/>
      <c r="K2" s="95"/>
      <c r="L2" s="95"/>
      <c r="M2" s="95"/>
      <c r="N2" s="95"/>
      <c r="O2" s="95"/>
      <c r="P2" s="95"/>
      <c r="Q2" s="95"/>
      <c r="R2" s="94" t="s">
        <v>73</v>
      </c>
      <c r="S2" s="605"/>
      <c r="T2" s="605"/>
      <c r="U2" s="605"/>
      <c r="V2" s="605"/>
      <c r="W2" s="605"/>
      <c r="X2" s="605"/>
      <c r="Y2" s="605"/>
      <c r="Z2" s="93" t="s">
        <v>4</v>
      </c>
      <c r="AA2" s="95"/>
      <c r="AB2" s="95"/>
      <c r="AC2" s="95"/>
      <c r="AD2" s="95"/>
      <c r="AE2" s="95"/>
      <c r="AF2" s="95"/>
      <c r="AG2" s="95"/>
      <c r="AH2" s="94" t="s">
        <v>74</v>
      </c>
      <c r="AI2" s="605"/>
      <c r="AJ2" s="605"/>
      <c r="AK2" s="605"/>
      <c r="AL2" s="605"/>
      <c r="AM2" s="605"/>
      <c r="AN2" s="605"/>
      <c r="AO2" s="605"/>
      <c r="AP2" s="93" t="s">
        <v>4</v>
      </c>
      <c r="AQ2" s="95"/>
      <c r="AR2" s="95"/>
      <c r="AS2" s="95"/>
      <c r="AT2" s="95"/>
      <c r="AU2" s="95"/>
      <c r="AV2" s="95"/>
      <c r="AW2" s="95"/>
    </row>
    <row r="3" spans="1:49" ht="12.75" customHeight="1">
      <c r="B3" s="692" t="s">
        <v>253</v>
      </c>
      <c r="C3" s="692"/>
      <c r="D3" s="692"/>
      <c r="E3" s="692"/>
      <c r="F3" s="692"/>
      <c r="G3" s="692"/>
      <c r="H3" s="692"/>
      <c r="I3" s="97"/>
      <c r="J3" s="98" t="s">
        <v>254</v>
      </c>
      <c r="K3" s="97"/>
      <c r="L3" s="97"/>
      <c r="M3" s="97"/>
      <c r="N3" s="97"/>
      <c r="O3" s="97"/>
      <c r="P3" s="97"/>
      <c r="Q3" s="97"/>
      <c r="R3" s="98" t="s">
        <v>253</v>
      </c>
      <c r="S3" s="97"/>
      <c r="T3" s="97"/>
      <c r="U3" s="97"/>
      <c r="V3" s="97"/>
      <c r="W3" s="97"/>
      <c r="X3" s="97"/>
      <c r="Y3" s="97"/>
      <c r="Z3" s="98" t="s">
        <v>254</v>
      </c>
      <c r="AA3" s="97"/>
      <c r="AB3" s="97"/>
      <c r="AC3" s="97"/>
      <c r="AD3" s="97"/>
      <c r="AE3" s="97"/>
      <c r="AF3" s="97"/>
      <c r="AG3" s="97"/>
      <c r="AH3" s="98" t="s">
        <v>253</v>
      </c>
      <c r="AI3" s="97"/>
      <c r="AJ3" s="97"/>
      <c r="AK3" s="97"/>
      <c r="AL3" s="97"/>
      <c r="AM3" s="97"/>
      <c r="AN3" s="97"/>
      <c r="AO3" s="97"/>
      <c r="AP3" s="98" t="s">
        <v>254</v>
      </c>
      <c r="AQ3" s="97"/>
      <c r="AR3" s="97"/>
      <c r="AS3" s="97"/>
      <c r="AT3" s="97"/>
      <c r="AU3" s="97"/>
      <c r="AV3" s="97"/>
      <c r="AW3" s="97"/>
    </row>
    <row r="4" spans="1:49" ht="12.75" customHeight="1">
      <c r="A4" s="2"/>
      <c r="B4" s="691">
        <v>1940</v>
      </c>
      <c r="C4" s="691">
        <v>1950</v>
      </c>
      <c r="D4" s="691">
        <v>1960</v>
      </c>
      <c r="E4" s="691">
        <v>1970</v>
      </c>
      <c r="F4" s="691">
        <v>1980</v>
      </c>
      <c r="G4" s="691">
        <v>1990</v>
      </c>
      <c r="H4" s="691">
        <v>2000</v>
      </c>
      <c r="I4" s="606">
        <v>2010</v>
      </c>
      <c r="J4" s="607">
        <v>1940</v>
      </c>
      <c r="K4" s="606">
        <v>1950</v>
      </c>
      <c r="L4" s="606">
        <v>1960</v>
      </c>
      <c r="M4" s="606">
        <v>1970</v>
      </c>
      <c r="N4" s="606">
        <v>1980</v>
      </c>
      <c r="O4" s="606">
        <v>1990</v>
      </c>
      <c r="P4" s="606">
        <v>2000</v>
      </c>
      <c r="Q4" s="606">
        <v>2010</v>
      </c>
      <c r="R4" s="607">
        <v>1940</v>
      </c>
      <c r="S4" s="606">
        <v>1950</v>
      </c>
      <c r="T4" s="606">
        <v>1960</v>
      </c>
      <c r="U4" s="606">
        <v>1970</v>
      </c>
      <c r="V4" s="606">
        <v>1980</v>
      </c>
      <c r="W4" s="606">
        <v>1990</v>
      </c>
      <c r="X4" s="606">
        <v>2000</v>
      </c>
      <c r="Y4" s="606">
        <v>2010</v>
      </c>
      <c r="Z4" s="607">
        <v>1940</v>
      </c>
      <c r="AA4" s="606">
        <v>1950</v>
      </c>
      <c r="AB4" s="606">
        <v>1960</v>
      </c>
      <c r="AC4" s="606">
        <v>1970</v>
      </c>
      <c r="AD4" s="606">
        <v>1980</v>
      </c>
      <c r="AE4" s="606">
        <v>1990</v>
      </c>
      <c r="AF4" s="606">
        <v>2000</v>
      </c>
      <c r="AG4" s="606">
        <v>2010</v>
      </c>
      <c r="AH4" s="607">
        <v>1940</v>
      </c>
      <c r="AI4" s="606">
        <v>1950</v>
      </c>
      <c r="AJ4" s="606">
        <v>1960</v>
      </c>
      <c r="AK4" s="606">
        <v>1970</v>
      </c>
      <c r="AL4" s="606">
        <v>1980</v>
      </c>
      <c r="AM4" s="606">
        <v>1990</v>
      </c>
      <c r="AN4" s="606">
        <v>2000</v>
      </c>
      <c r="AO4" s="606">
        <v>2010</v>
      </c>
      <c r="AP4" s="607">
        <v>1940</v>
      </c>
      <c r="AQ4" s="606">
        <v>1950</v>
      </c>
      <c r="AR4" s="606">
        <v>1960</v>
      </c>
      <c r="AS4" s="606">
        <v>1970</v>
      </c>
      <c r="AT4" s="606">
        <v>1980</v>
      </c>
      <c r="AU4" s="606">
        <v>1990</v>
      </c>
      <c r="AV4" s="606">
        <v>2000</v>
      </c>
      <c r="AW4" s="606">
        <v>2010</v>
      </c>
    </row>
    <row r="5" spans="1:49" ht="12.75" customHeight="1">
      <c r="A5" s="140" t="s">
        <v>5</v>
      </c>
      <c r="B5" s="693">
        <v>24.458496452634126</v>
      </c>
      <c r="C5" s="693">
        <v>34.299999999999997</v>
      </c>
      <c r="D5" s="693">
        <v>41.1</v>
      </c>
      <c r="E5" s="693">
        <v>52.344297112779337</v>
      </c>
      <c r="F5" s="693">
        <v>66.5</v>
      </c>
      <c r="G5" s="693">
        <v>75.2</v>
      </c>
      <c r="H5" s="693">
        <v>80.400000000000006</v>
      </c>
      <c r="I5" s="294"/>
      <c r="J5" s="107">
        <v>4.6211207750859016</v>
      </c>
      <c r="K5" s="105">
        <v>6.2120152391610235</v>
      </c>
      <c r="L5" s="105">
        <v>7.7</v>
      </c>
      <c r="M5" s="105">
        <v>10.661814688109327</v>
      </c>
      <c r="N5" s="105">
        <v>16.2</v>
      </c>
      <c r="O5" s="105">
        <v>20.3</v>
      </c>
      <c r="P5" s="105">
        <v>24.4</v>
      </c>
      <c r="Q5" s="294"/>
      <c r="R5" s="107">
        <v>26.1242637428225</v>
      </c>
      <c r="S5" s="106">
        <v>36.432975156778866</v>
      </c>
      <c r="T5" s="105">
        <v>43.2</v>
      </c>
      <c r="U5" s="105">
        <v>54.5</v>
      </c>
      <c r="V5" s="105">
        <v>68.8</v>
      </c>
      <c r="W5" s="105">
        <v>77.900000000000006</v>
      </c>
      <c r="X5" s="105">
        <v>83.58</v>
      </c>
      <c r="Y5" s="294"/>
      <c r="Z5" s="107">
        <v>4.9490945946975398</v>
      </c>
      <c r="AA5" s="105">
        <v>6.6</v>
      </c>
      <c r="AB5" s="105">
        <v>8.1</v>
      </c>
      <c r="AC5" s="105">
        <v>11.3</v>
      </c>
      <c r="AD5" s="105">
        <v>17.100000000000001</v>
      </c>
      <c r="AE5" s="105">
        <v>21.5</v>
      </c>
      <c r="AF5" s="105">
        <v>26.06</v>
      </c>
      <c r="AG5" s="294"/>
      <c r="AH5" s="107">
        <v>7.6697843442305524</v>
      </c>
      <c r="AI5" s="106">
        <v>13.7</v>
      </c>
      <c r="AJ5" s="105">
        <v>21.653946317862292</v>
      </c>
      <c r="AK5" s="105">
        <v>31.4</v>
      </c>
      <c r="AL5" s="105">
        <v>51.2</v>
      </c>
      <c r="AM5" s="105">
        <v>63.1</v>
      </c>
      <c r="AN5" s="105">
        <v>72.260000000000005</v>
      </c>
      <c r="AO5" s="294"/>
      <c r="AP5" s="107">
        <v>1.3155646599895141</v>
      </c>
      <c r="AQ5" s="105">
        <v>2.1711645320743229</v>
      </c>
      <c r="AR5" s="105">
        <v>3.5247252942352119</v>
      </c>
      <c r="AS5" s="105">
        <v>4.4000000000000004</v>
      </c>
      <c r="AT5" s="105">
        <v>8.4</v>
      </c>
      <c r="AU5" s="105">
        <v>11.4</v>
      </c>
      <c r="AV5" s="105">
        <v>14.26</v>
      </c>
      <c r="AW5" s="105"/>
    </row>
    <row r="6" spans="1:49" ht="12.75" customHeight="1">
      <c r="A6" s="38" t="s">
        <v>6</v>
      </c>
      <c r="B6" s="694">
        <v>20.311517054038468</v>
      </c>
      <c r="C6" s="694">
        <v>26.697016769645327</v>
      </c>
      <c r="D6" s="694">
        <v>35.263465195926109</v>
      </c>
      <c r="E6" s="694">
        <v>45.07</v>
      </c>
      <c r="F6" s="694">
        <v>60.2</v>
      </c>
      <c r="G6" s="694">
        <v>71.3</v>
      </c>
      <c r="H6" s="694">
        <v>77.732064644869055</v>
      </c>
      <c r="I6" s="293"/>
      <c r="J6" s="101">
        <v>4.0066721209396983</v>
      </c>
      <c r="K6" s="99">
        <v>5.4450311750335425</v>
      </c>
      <c r="L6" s="99">
        <v>7.0600986018678658</v>
      </c>
      <c r="M6" s="99">
        <v>9.7953112771439343</v>
      </c>
      <c r="N6" s="99">
        <v>14.963090627775182</v>
      </c>
      <c r="O6" s="99">
        <v>18.7</v>
      </c>
      <c r="P6" s="99">
        <v>22.543925449203424</v>
      </c>
      <c r="Q6" s="293"/>
      <c r="R6" s="101">
        <v>24.61018696134132</v>
      </c>
      <c r="S6" s="99">
        <v>31.145761703109915</v>
      </c>
      <c r="T6" s="99">
        <v>39.756068763080094</v>
      </c>
      <c r="U6" s="99">
        <v>49.057984983421207</v>
      </c>
      <c r="V6" s="99">
        <v>63.5</v>
      </c>
      <c r="W6" s="99">
        <v>74.362041990025389</v>
      </c>
      <c r="X6" s="99">
        <v>80.605591864676626</v>
      </c>
      <c r="Y6" s="293"/>
      <c r="Z6" s="101">
        <v>4.8488573188726365</v>
      </c>
      <c r="AA6" s="99">
        <v>6.3088779735645781</v>
      </c>
      <c r="AB6" s="99">
        <v>7.9246468506359191</v>
      </c>
      <c r="AC6" s="99">
        <v>10.801675990419231</v>
      </c>
      <c r="AD6" s="99">
        <v>16.3</v>
      </c>
      <c r="AE6" s="99">
        <v>18.96925784479004</v>
      </c>
      <c r="AF6" s="99">
        <v>24.563505910399247</v>
      </c>
      <c r="AG6" s="293"/>
      <c r="AH6" s="101">
        <v>5.3892398662157008</v>
      </c>
      <c r="AI6" s="99">
        <v>8.8518746384706102</v>
      </c>
      <c r="AJ6" s="99">
        <v>15.012794033733975</v>
      </c>
      <c r="AK6" s="99">
        <v>24.424152308450058</v>
      </c>
      <c r="AL6" s="99">
        <v>44.9</v>
      </c>
      <c r="AM6" s="99">
        <v>59.1</v>
      </c>
      <c r="AN6" s="99">
        <v>70.311533799595722</v>
      </c>
      <c r="AO6" s="293"/>
      <c r="AP6" s="101">
        <v>1.0831379354436448</v>
      </c>
      <c r="AQ6" s="99">
        <v>1.9799035649097276</v>
      </c>
      <c r="AR6" s="99">
        <v>3.1630972243922599</v>
      </c>
      <c r="AS6" s="99">
        <v>4.4437868193580359</v>
      </c>
      <c r="AT6" s="99">
        <v>8</v>
      </c>
      <c r="AU6" s="99">
        <v>10.7</v>
      </c>
      <c r="AV6" s="99">
        <v>13.738347476097157</v>
      </c>
      <c r="AW6" s="99"/>
    </row>
    <row r="7" spans="1:49" ht="12.75" customHeight="1">
      <c r="A7" s="38" t="s">
        <v>150</v>
      </c>
      <c r="B7" s="694"/>
      <c r="C7" s="694"/>
      <c r="D7" s="694"/>
      <c r="E7" s="694"/>
      <c r="F7" s="694"/>
      <c r="G7" s="694"/>
      <c r="H7" s="694"/>
      <c r="I7" s="293"/>
      <c r="J7" s="102"/>
      <c r="Q7" s="293"/>
      <c r="R7" s="102"/>
      <c r="Y7" s="293"/>
      <c r="Z7" s="102"/>
      <c r="AG7" s="293"/>
      <c r="AH7" s="102"/>
      <c r="AO7" s="293"/>
      <c r="AP7" s="102"/>
    </row>
    <row r="8" spans="1:49" ht="12.75" customHeight="1">
      <c r="A8" s="38" t="s">
        <v>8</v>
      </c>
      <c r="B8" s="694">
        <v>15.924272250305311</v>
      </c>
      <c r="C8" s="694">
        <v>21.883798816451129</v>
      </c>
      <c r="D8" s="694">
        <v>30.3</v>
      </c>
      <c r="E8" s="694">
        <v>41.3</v>
      </c>
      <c r="F8" s="694">
        <v>56.5</v>
      </c>
      <c r="G8" s="694">
        <v>66.900000000000006</v>
      </c>
      <c r="H8" s="694">
        <v>75.27</v>
      </c>
      <c r="I8" s="293"/>
      <c r="J8" s="101">
        <v>2.9172135818156359</v>
      </c>
      <c r="K8" s="99">
        <v>3.8717262228193752</v>
      </c>
      <c r="L8" s="99">
        <v>5.7</v>
      </c>
      <c r="M8" s="99">
        <v>7.8</v>
      </c>
      <c r="N8" s="99">
        <v>12.2</v>
      </c>
      <c r="O8" s="99">
        <v>15.7</v>
      </c>
      <c r="P8" s="99">
        <v>19.03</v>
      </c>
      <c r="Q8" s="293"/>
      <c r="R8" s="101">
        <v>21.843760618036804</v>
      </c>
      <c r="S8" s="100">
        <v>27.942059756114595</v>
      </c>
      <c r="T8" s="99">
        <v>36.5</v>
      </c>
      <c r="U8" s="99">
        <v>47</v>
      </c>
      <c r="V8" s="99">
        <v>60.6</v>
      </c>
      <c r="W8" s="99">
        <v>70.3</v>
      </c>
      <c r="X8" s="99">
        <v>77.95</v>
      </c>
      <c r="Y8" s="293"/>
      <c r="Z8" s="101">
        <v>4.0739730681879145</v>
      </c>
      <c r="AA8" s="99">
        <v>4.8832953862915733</v>
      </c>
      <c r="AB8" s="99">
        <v>6.7</v>
      </c>
      <c r="AC8" s="99">
        <v>8.9</v>
      </c>
      <c r="AD8" s="99">
        <v>13.5</v>
      </c>
      <c r="AE8" s="99">
        <v>17.3</v>
      </c>
      <c r="AF8" s="99">
        <v>21.19</v>
      </c>
      <c r="AG8" s="293"/>
      <c r="AH8" s="101">
        <v>3.9142254330402868</v>
      </c>
      <c r="AI8" s="100">
        <v>7.246034424569693</v>
      </c>
      <c r="AJ8" s="99">
        <v>12.830743145199069</v>
      </c>
      <c r="AK8" s="99">
        <v>21.4</v>
      </c>
      <c r="AL8" s="99">
        <v>41.4</v>
      </c>
      <c r="AM8" s="99">
        <v>54.6</v>
      </c>
      <c r="AN8" s="99">
        <v>66.930000000000007</v>
      </c>
      <c r="AO8" s="293"/>
      <c r="AP8" s="101">
        <v>0.57004385476826924</v>
      </c>
      <c r="AQ8" s="99">
        <v>1.4276071549105636</v>
      </c>
      <c r="AR8" s="99">
        <v>2.9297575711873276</v>
      </c>
      <c r="AS8" s="99">
        <v>4</v>
      </c>
      <c r="AT8" s="99">
        <v>7.2</v>
      </c>
      <c r="AU8" s="99">
        <v>9.3000000000000007</v>
      </c>
      <c r="AV8" s="99">
        <v>11.5</v>
      </c>
      <c r="AW8" s="99"/>
    </row>
    <row r="9" spans="1:49" ht="12.75" customHeight="1">
      <c r="A9" s="38" t="s">
        <v>9</v>
      </c>
      <c r="B9" s="694">
        <v>15.114812987186779</v>
      </c>
      <c r="C9" s="694">
        <v>21.535360751097052</v>
      </c>
      <c r="D9" s="694">
        <v>28.9</v>
      </c>
      <c r="E9" s="694">
        <v>39.9</v>
      </c>
      <c r="F9" s="694">
        <v>55.5</v>
      </c>
      <c r="G9" s="694">
        <v>66.3</v>
      </c>
      <c r="H9" s="694">
        <v>75.31</v>
      </c>
      <c r="I9" s="293"/>
      <c r="J9" s="101">
        <v>2.2565320665083135</v>
      </c>
      <c r="K9" s="99">
        <v>3.1814470864373918</v>
      </c>
      <c r="L9" s="99">
        <v>4.8</v>
      </c>
      <c r="M9" s="99">
        <v>6.7</v>
      </c>
      <c r="N9" s="99">
        <v>10.8</v>
      </c>
      <c r="O9" s="99">
        <v>13.3</v>
      </c>
      <c r="P9" s="99">
        <v>16.66</v>
      </c>
      <c r="Q9" s="293"/>
      <c r="R9" s="101">
        <v>18.833724074496704</v>
      </c>
      <c r="S9" s="100">
        <v>25.589054162047898</v>
      </c>
      <c r="T9" s="99">
        <v>33.200000000000003</v>
      </c>
      <c r="U9" s="99">
        <v>43.9</v>
      </c>
      <c r="V9" s="99">
        <v>58.4</v>
      </c>
      <c r="W9" s="99">
        <v>68.599999999999994</v>
      </c>
      <c r="X9" s="99">
        <v>77.45</v>
      </c>
      <c r="Y9" s="293"/>
      <c r="Z9" s="101">
        <v>2.8131980608173062</v>
      </c>
      <c r="AA9" s="99">
        <v>3.7076899280761002</v>
      </c>
      <c r="AB9" s="99">
        <v>5.4</v>
      </c>
      <c r="AC9" s="99">
        <v>7.3</v>
      </c>
      <c r="AD9" s="99">
        <v>11.5</v>
      </c>
      <c r="AE9" s="99">
        <v>14.1</v>
      </c>
      <c r="AF9" s="99">
        <v>17.77</v>
      </c>
      <c r="AG9" s="293"/>
      <c r="AH9" s="101">
        <v>3.6012966380761111</v>
      </c>
      <c r="AI9" s="100">
        <v>6.1250490003920026</v>
      </c>
      <c r="AJ9" s="99">
        <v>9.7311716010962481</v>
      </c>
      <c r="AK9" s="99">
        <v>17.2</v>
      </c>
      <c r="AL9" s="99">
        <v>36.299999999999997</v>
      </c>
      <c r="AM9" s="99">
        <v>51.5</v>
      </c>
      <c r="AN9" s="99">
        <v>65.77</v>
      </c>
      <c r="AO9" s="293"/>
      <c r="AP9" s="101">
        <v>0.53312893155823526</v>
      </c>
      <c r="AQ9" s="99">
        <v>1.1809094472755781</v>
      </c>
      <c r="AR9" s="99">
        <v>2.1204634855962681</v>
      </c>
      <c r="AS9" s="99">
        <v>3.2</v>
      </c>
      <c r="AT9" s="99">
        <v>6</v>
      </c>
      <c r="AU9" s="99">
        <v>8.4</v>
      </c>
      <c r="AV9" s="99">
        <v>10.220000000000001</v>
      </c>
      <c r="AW9" s="99"/>
    </row>
    <row r="10" spans="1:49" ht="12.75" customHeight="1">
      <c r="A10" s="38" t="s">
        <v>10</v>
      </c>
      <c r="B10" s="694">
        <v>23.92077622770379</v>
      </c>
      <c r="C10" s="694">
        <v>34.796460176991154</v>
      </c>
      <c r="D10" s="694">
        <v>43.3</v>
      </c>
      <c r="E10" s="694">
        <v>54.6</v>
      </c>
      <c r="F10" s="694">
        <v>68.599999999999994</v>
      </c>
      <c r="G10" s="694">
        <v>77.5</v>
      </c>
      <c r="H10" s="694">
        <v>82.6</v>
      </c>
      <c r="I10" s="293"/>
      <c r="J10" s="101">
        <v>5.2833063271854002</v>
      </c>
      <c r="K10" s="99">
        <v>7.5316541865214433</v>
      </c>
      <c r="L10" s="99">
        <v>10.1</v>
      </c>
      <c r="M10" s="99">
        <v>13.1</v>
      </c>
      <c r="N10" s="99">
        <v>17.5</v>
      </c>
      <c r="O10" s="99">
        <v>21.4</v>
      </c>
      <c r="P10" s="99">
        <v>25.05</v>
      </c>
      <c r="Q10" s="293"/>
      <c r="R10" s="101">
        <v>26.455375403859264</v>
      </c>
      <c r="S10" s="100">
        <v>38.156497845500532</v>
      </c>
      <c r="T10" s="99">
        <v>47</v>
      </c>
      <c r="U10" s="99">
        <v>58.2</v>
      </c>
      <c r="V10" s="99">
        <v>71.7</v>
      </c>
      <c r="W10" s="99">
        <v>80.3</v>
      </c>
      <c r="X10" s="99">
        <v>85.03</v>
      </c>
      <c r="Y10" s="293"/>
      <c r="Z10" s="101">
        <v>5.8311349556866352</v>
      </c>
      <c r="AA10" s="99">
        <v>8.3088740398426264</v>
      </c>
      <c r="AB10" s="99">
        <v>11.1</v>
      </c>
      <c r="AC10" s="99">
        <v>14.1</v>
      </c>
      <c r="AD10" s="99">
        <v>18.600000000000001</v>
      </c>
      <c r="AE10" s="99">
        <v>23</v>
      </c>
      <c r="AF10" s="99">
        <v>26.75</v>
      </c>
      <c r="AG10" s="293"/>
      <c r="AH10" s="101">
        <v>6.7802555750438493</v>
      </c>
      <c r="AI10" s="100">
        <v>11.907783417935702</v>
      </c>
      <c r="AJ10" s="99">
        <v>18.10792719854652</v>
      </c>
      <c r="AK10" s="99">
        <v>28.7</v>
      </c>
      <c r="AL10" s="99">
        <v>50.1</v>
      </c>
      <c r="AM10" s="99">
        <v>63.2</v>
      </c>
      <c r="AN10" s="99">
        <v>74.19</v>
      </c>
      <c r="AO10" s="293"/>
      <c r="AP10" s="101">
        <v>1.5785517414181909</v>
      </c>
      <c r="AQ10" s="99">
        <v>2.1362098138747885</v>
      </c>
      <c r="AR10" s="99">
        <v>3.117330188378542</v>
      </c>
      <c r="AS10" s="99">
        <v>4.5999999999999996</v>
      </c>
      <c r="AT10" s="99">
        <v>8.6</v>
      </c>
      <c r="AU10" s="99">
        <v>10.6</v>
      </c>
      <c r="AV10" s="99">
        <v>14.45</v>
      </c>
      <c r="AW10" s="99"/>
    </row>
    <row r="11" spans="1:49" ht="12.75" customHeight="1">
      <c r="A11" s="38" t="s">
        <v>11</v>
      </c>
      <c r="B11" s="694">
        <v>26.635048273838851</v>
      </c>
      <c r="C11" s="694">
        <v>35.849883361704812</v>
      </c>
      <c r="D11" s="694">
        <v>42.6</v>
      </c>
      <c r="E11" s="694">
        <v>52.6</v>
      </c>
      <c r="F11" s="694">
        <v>66.7</v>
      </c>
      <c r="G11" s="694">
        <v>74.400000000000006</v>
      </c>
      <c r="H11" s="694">
        <v>79.86</v>
      </c>
      <c r="I11" s="293"/>
      <c r="J11" s="101">
        <v>4.9937189473407075</v>
      </c>
      <c r="K11" s="99">
        <v>6.4734253830149431</v>
      </c>
      <c r="L11" s="99">
        <v>7.8</v>
      </c>
      <c r="M11" s="99">
        <v>10.3</v>
      </c>
      <c r="N11" s="99">
        <v>14.9</v>
      </c>
      <c r="O11" s="99">
        <v>18.3</v>
      </c>
      <c r="P11" s="99">
        <v>22.33</v>
      </c>
      <c r="Q11" s="293"/>
      <c r="R11" s="101">
        <v>34.088374984583709</v>
      </c>
      <c r="S11" s="100">
        <v>42.545832434658145</v>
      </c>
      <c r="T11" s="99">
        <v>47.4</v>
      </c>
      <c r="U11" s="99">
        <v>56.3</v>
      </c>
      <c r="V11" s="99">
        <v>69.5</v>
      </c>
      <c r="W11" s="99">
        <v>77</v>
      </c>
      <c r="X11" s="99">
        <v>82.53</v>
      </c>
      <c r="Y11" s="293"/>
      <c r="Z11" s="101">
        <v>6.4209792427518275</v>
      </c>
      <c r="AA11" s="99">
        <v>7.6339679614125213</v>
      </c>
      <c r="AB11" s="99">
        <v>8.6</v>
      </c>
      <c r="AC11" s="99">
        <v>11.1</v>
      </c>
      <c r="AD11" s="99">
        <v>15.8</v>
      </c>
      <c r="AE11" s="99">
        <v>19.3</v>
      </c>
      <c r="AF11" s="99">
        <v>23.82</v>
      </c>
      <c r="AG11" s="293"/>
      <c r="AH11" s="101">
        <v>4.6102297491279352</v>
      </c>
      <c r="AI11" s="100">
        <v>8.4047255485011654</v>
      </c>
      <c r="AJ11" s="99">
        <v>14.498819232644633</v>
      </c>
      <c r="AK11" s="99">
        <v>24.4</v>
      </c>
      <c r="AL11" s="99">
        <v>44.6</v>
      </c>
      <c r="AM11" s="99">
        <v>56.4</v>
      </c>
      <c r="AN11" s="99">
        <v>67.05</v>
      </c>
      <c r="AO11" s="293"/>
      <c r="AP11" s="101">
        <v>0.77611918096555621</v>
      </c>
      <c r="AQ11" s="99">
        <v>1.7166278228722978</v>
      </c>
      <c r="AR11" s="99">
        <v>2.7860373065119082</v>
      </c>
      <c r="AS11" s="99">
        <v>4.0999999999999996</v>
      </c>
      <c r="AT11" s="99">
        <v>7.3</v>
      </c>
      <c r="AU11" s="99">
        <v>9.8000000000000007</v>
      </c>
      <c r="AV11" s="99">
        <v>12.43</v>
      </c>
      <c r="AW11" s="99"/>
    </row>
    <row r="12" spans="1:49" ht="12.75" customHeight="1">
      <c r="A12" s="38" t="s">
        <v>12</v>
      </c>
      <c r="B12" s="694">
        <v>17.437832483858436</v>
      </c>
      <c r="C12" s="694">
        <v>20.775903725350332</v>
      </c>
      <c r="D12" s="694">
        <v>32</v>
      </c>
      <c r="E12" s="694">
        <v>40.6</v>
      </c>
      <c r="F12" s="694">
        <v>56.4</v>
      </c>
      <c r="G12" s="694">
        <v>70.900000000000006</v>
      </c>
      <c r="H12" s="694">
        <v>78.569999999999993</v>
      </c>
      <c r="I12" s="293"/>
      <c r="J12" s="101">
        <v>3.3309879077594897</v>
      </c>
      <c r="K12" s="99">
        <v>4.5491152580593202</v>
      </c>
      <c r="L12" s="99">
        <v>6.2</v>
      </c>
      <c r="M12" s="99">
        <v>9.1999999999999993</v>
      </c>
      <c r="N12" s="99">
        <v>14.6</v>
      </c>
      <c r="O12" s="99">
        <v>19.3</v>
      </c>
      <c r="P12" s="99">
        <v>24.3</v>
      </c>
      <c r="Q12" s="293"/>
      <c r="R12" s="101">
        <v>23.963794412456341</v>
      </c>
      <c r="S12" s="100">
        <v>26.594068377644753</v>
      </c>
      <c r="T12" s="99">
        <v>38.799999999999997</v>
      </c>
      <c r="U12" s="99">
        <v>46.3</v>
      </c>
      <c r="V12" s="99">
        <v>60.7</v>
      </c>
      <c r="W12" s="99">
        <v>74.900000000000006</v>
      </c>
      <c r="X12" s="99">
        <v>81.819999999999993</v>
      </c>
      <c r="Y12" s="293"/>
      <c r="Z12" s="101">
        <v>4.598898978400495</v>
      </c>
      <c r="AA12" s="99">
        <v>5.7856773412346785</v>
      </c>
      <c r="AB12" s="99">
        <v>7.5</v>
      </c>
      <c r="AC12" s="99">
        <v>10.7</v>
      </c>
      <c r="AD12" s="99">
        <v>16.600000000000001</v>
      </c>
      <c r="AE12" s="99">
        <v>21.8</v>
      </c>
      <c r="AF12" s="99">
        <v>27.39</v>
      </c>
      <c r="AG12" s="293"/>
      <c r="AH12" s="101">
        <v>3.6742484817917522</v>
      </c>
      <c r="AI12" s="100">
        <v>6.0083653053539994</v>
      </c>
      <c r="AJ12" s="99">
        <v>11.545030284976665</v>
      </c>
      <c r="AK12" s="99">
        <v>20.6</v>
      </c>
      <c r="AL12" s="99">
        <v>41.7</v>
      </c>
      <c r="AM12" s="99">
        <v>58.6</v>
      </c>
      <c r="AN12" s="99">
        <v>72.489999999999995</v>
      </c>
      <c r="AO12" s="293"/>
      <c r="AP12" s="101">
        <v>0.65689928774403072</v>
      </c>
      <c r="AQ12" s="99">
        <v>1.4105003918056644</v>
      </c>
      <c r="AR12" s="99">
        <v>2.5089861979942412</v>
      </c>
      <c r="AS12" s="99">
        <v>4</v>
      </c>
      <c r="AT12" s="99">
        <v>7.5</v>
      </c>
      <c r="AU12" s="99">
        <v>11</v>
      </c>
      <c r="AV12" s="99">
        <v>15.49</v>
      </c>
      <c r="AW12" s="99"/>
    </row>
    <row r="13" spans="1:49" ht="12.75" customHeight="1">
      <c r="A13" s="38" t="s">
        <v>13</v>
      </c>
      <c r="B13" s="694">
        <v>15.654214793409549</v>
      </c>
      <c r="C13" s="694">
        <v>22.335172241473405</v>
      </c>
      <c r="D13" s="694">
        <v>27.6</v>
      </c>
      <c r="E13" s="694">
        <v>38.5</v>
      </c>
      <c r="F13" s="694">
        <v>53.1</v>
      </c>
      <c r="G13" s="694">
        <v>64.599999999999994</v>
      </c>
      <c r="H13" s="694">
        <v>74.12</v>
      </c>
      <c r="I13" s="293"/>
      <c r="J13" s="101">
        <v>2.9828049571598272</v>
      </c>
      <c r="K13" s="99">
        <v>3.8761728792830232</v>
      </c>
      <c r="L13" s="99">
        <v>4.9000000000000004</v>
      </c>
      <c r="M13" s="99">
        <v>7.2</v>
      </c>
      <c r="N13" s="99">
        <v>11.1</v>
      </c>
      <c r="O13" s="99">
        <v>13.6</v>
      </c>
      <c r="P13" s="99">
        <v>17.14</v>
      </c>
      <c r="Q13" s="293"/>
      <c r="R13" s="101">
        <v>16.378470241034453</v>
      </c>
      <c r="S13" s="100">
        <v>23.08707546397914</v>
      </c>
      <c r="T13" s="99">
        <v>28.3</v>
      </c>
      <c r="U13" s="99">
        <v>39.1</v>
      </c>
      <c r="V13" s="99">
        <v>53.3</v>
      </c>
      <c r="W13" s="99">
        <v>64.7</v>
      </c>
      <c r="X13" s="99">
        <v>74.19</v>
      </c>
      <c r="Y13" s="293"/>
      <c r="Z13" s="101">
        <v>3.1058710054454877</v>
      </c>
      <c r="AA13" s="99">
        <v>4.0063891626141501</v>
      </c>
      <c r="AB13" s="99">
        <v>5.0999999999999996</v>
      </c>
      <c r="AC13" s="99">
        <v>7.5</v>
      </c>
      <c r="AD13" s="99">
        <v>11.3</v>
      </c>
      <c r="AE13" s="99">
        <v>13.9</v>
      </c>
      <c r="AF13" s="99">
        <v>17.36</v>
      </c>
      <c r="AG13" s="293"/>
      <c r="AH13" s="101">
        <v>7.9355076318697053</v>
      </c>
      <c r="AI13" s="100">
        <v>13.171471927162367</v>
      </c>
      <c r="AJ13" s="99">
        <v>18.201459904279858</v>
      </c>
      <c r="AK13" s="99">
        <v>29.2</v>
      </c>
      <c r="AL13" s="99">
        <v>49.7</v>
      </c>
      <c r="AM13" s="99">
        <v>61.7</v>
      </c>
      <c r="AN13" s="99">
        <v>73.180000000000007</v>
      </c>
      <c r="AO13" s="293"/>
      <c r="AP13" s="101">
        <v>1.6712362401276752</v>
      </c>
      <c r="AQ13" s="99">
        <v>2.2891827444179493</v>
      </c>
      <c r="AR13" s="99">
        <v>2.6211135213304413</v>
      </c>
      <c r="AS13" s="99">
        <v>3.3</v>
      </c>
      <c r="AT13" s="99">
        <v>6.5</v>
      </c>
      <c r="AU13" s="99">
        <v>7.7</v>
      </c>
      <c r="AV13" s="99">
        <v>10.66</v>
      </c>
      <c r="AW13" s="99"/>
    </row>
    <row r="14" spans="1:49" ht="12.75" customHeight="1">
      <c r="A14" s="38" t="s">
        <v>14</v>
      </c>
      <c r="B14" s="694">
        <v>17.687815293157222</v>
      </c>
      <c r="C14" s="694">
        <v>22.512272281007963</v>
      </c>
      <c r="D14" s="694">
        <v>32.299999999999997</v>
      </c>
      <c r="E14" s="694">
        <v>42.2</v>
      </c>
      <c r="F14" s="694">
        <v>57.7</v>
      </c>
      <c r="G14" s="694">
        <v>68.3</v>
      </c>
      <c r="H14" s="694">
        <v>74.81</v>
      </c>
      <c r="I14" s="293"/>
      <c r="J14" s="101">
        <v>3.5430891926401942</v>
      </c>
      <c r="K14" s="99">
        <v>5.0099996363768593</v>
      </c>
      <c r="L14" s="99">
        <v>6.7</v>
      </c>
      <c r="M14" s="99">
        <v>9</v>
      </c>
      <c r="N14" s="99">
        <v>13.9</v>
      </c>
      <c r="O14" s="99">
        <v>16.100000000000001</v>
      </c>
      <c r="P14" s="99">
        <v>18.73</v>
      </c>
      <c r="Q14" s="293"/>
      <c r="R14" s="101">
        <v>25.269627902641567</v>
      </c>
      <c r="S14" s="100">
        <v>30.041188738269032</v>
      </c>
      <c r="T14" s="99">
        <v>41</v>
      </c>
      <c r="U14" s="99">
        <v>49.9</v>
      </c>
      <c r="V14" s="99">
        <v>63.7</v>
      </c>
      <c r="W14" s="99">
        <v>74.2</v>
      </c>
      <c r="X14" s="99">
        <v>79.989999999999995</v>
      </c>
      <c r="Y14" s="293"/>
      <c r="Z14" s="101">
        <v>5.080636203107983</v>
      </c>
      <c r="AA14" s="99">
        <v>6.6392075078206467</v>
      </c>
      <c r="AB14" s="99">
        <v>8.4</v>
      </c>
      <c r="AC14" s="99">
        <v>10.7</v>
      </c>
      <c r="AD14" s="99">
        <v>16</v>
      </c>
      <c r="AE14" s="99">
        <v>18.7</v>
      </c>
      <c r="AF14" s="99">
        <v>21.77</v>
      </c>
      <c r="AG14" s="293"/>
      <c r="AH14" s="101">
        <v>3.2438612067183148</v>
      </c>
      <c r="AI14" s="100">
        <v>5.1580338901574336</v>
      </c>
      <c r="AJ14" s="99">
        <v>10.428955637847478</v>
      </c>
      <c r="AK14" s="99">
        <v>20.2</v>
      </c>
      <c r="AL14" s="99">
        <v>40.5</v>
      </c>
      <c r="AM14" s="99">
        <v>53.1</v>
      </c>
      <c r="AN14" s="99">
        <v>63.14</v>
      </c>
      <c r="AO14" s="293"/>
      <c r="AP14" s="101">
        <v>0.61394013840409611</v>
      </c>
      <c r="AQ14" s="99">
        <v>1.2546568922004568</v>
      </c>
      <c r="AR14" s="99">
        <v>2.542159034294452</v>
      </c>
      <c r="AS14" s="99">
        <v>4.2</v>
      </c>
      <c r="AT14" s="99">
        <v>7.5</v>
      </c>
      <c r="AU14" s="99">
        <v>9.1</v>
      </c>
      <c r="AV14" s="99">
        <v>10.89</v>
      </c>
      <c r="AW14" s="99"/>
    </row>
    <row r="15" spans="1:49" ht="12.75" customHeight="1">
      <c r="A15" s="38" t="s">
        <v>15</v>
      </c>
      <c r="B15" s="694">
        <v>21.072313627926416</v>
      </c>
      <c r="C15" s="694">
        <v>32.11538020765687</v>
      </c>
      <c r="D15" s="694">
        <v>40</v>
      </c>
      <c r="E15" s="694">
        <v>52.3</v>
      </c>
      <c r="F15" s="694">
        <v>67.400000000000006</v>
      </c>
      <c r="G15" s="694">
        <v>78.400000000000006</v>
      </c>
      <c r="H15" s="694">
        <v>83.83</v>
      </c>
      <c r="I15" s="293"/>
      <c r="J15" s="101">
        <v>4.8951884857967523</v>
      </c>
      <c r="K15" s="99">
        <v>7.2290261213700164</v>
      </c>
      <c r="L15" s="99">
        <v>9.3000000000000007</v>
      </c>
      <c r="M15" s="99">
        <v>13.9</v>
      </c>
      <c r="N15" s="99">
        <v>20.399999999999999</v>
      </c>
      <c r="O15" s="99">
        <v>26.5</v>
      </c>
      <c r="P15" s="99">
        <v>31.45</v>
      </c>
      <c r="Q15" s="293"/>
      <c r="R15" s="101">
        <v>23.730547578558905</v>
      </c>
      <c r="S15" s="100">
        <v>35.542596303318383</v>
      </c>
      <c r="T15" s="99">
        <v>43.7</v>
      </c>
      <c r="U15" s="99">
        <v>55.9</v>
      </c>
      <c r="V15" s="99">
        <v>69.900000000000006</v>
      </c>
      <c r="W15" s="99">
        <v>80.8</v>
      </c>
      <c r="X15" s="99">
        <v>86.31</v>
      </c>
      <c r="Y15" s="293"/>
      <c r="Z15" s="101">
        <v>5.5375602676290354</v>
      </c>
      <c r="AA15" s="99">
        <v>8.0884004708461763</v>
      </c>
      <c r="AB15" s="99">
        <v>10.3</v>
      </c>
      <c r="AC15" s="99">
        <v>15.3</v>
      </c>
      <c r="AD15" s="99">
        <v>22.1</v>
      </c>
      <c r="AE15" s="99">
        <v>28.9</v>
      </c>
      <c r="AF15" s="99">
        <v>34.729999999999997</v>
      </c>
      <c r="AG15" s="293"/>
      <c r="AH15" s="101">
        <v>6.4276361152053045</v>
      </c>
      <c r="AI15" s="100">
        <v>12.655612244897959</v>
      </c>
      <c r="AJ15" s="99">
        <v>19.568263011651528</v>
      </c>
      <c r="AK15" s="99">
        <v>32.1</v>
      </c>
      <c r="AL15" s="99">
        <v>56.6</v>
      </c>
      <c r="AM15" s="99">
        <v>70.599999999999994</v>
      </c>
      <c r="AN15" s="99">
        <v>78.95</v>
      </c>
      <c r="AO15" s="293"/>
      <c r="AP15" s="101">
        <v>1.3562495651018769</v>
      </c>
      <c r="AQ15" s="99">
        <v>2.3494897959183674</v>
      </c>
      <c r="AR15" s="99">
        <v>3.5627836022446902</v>
      </c>
      <c r="AS15" s="99">
        <v>5.9</v>
      </c>
      <c r="AT15" s="99">
        <v>11.3</v>
      </c>
      <c r="AU15" s="99">
        <v>16.100000000000001</v>
      </c>
      <c r="AV15" s="99">
        <v>20.29</v>
      </c>
      <c r="AW15" s="99"/>
    </row>
    <row r="16" spans="1:49" ht="12.75" customHeight="1">
      <c r="A16" s="38" t="s">
        <v>16</v>
      </c>
      <c r="B16" s="694">
        <v>16.168753506202084</v>
      </c>
      <c r="C16" s="694">
        <v>21.987344181178038</v>
      </c>
      <c r="D16" s="694">
        <v>29.8</v>
      </c>
      <c r="E16" s="694">
        <v>41</v>
      </c>
      <c r="F16" s="694">
        <v>54.8</v>
      </c>
      <c r="G16" s="694">
        <v>64.3</v>
      </c>
      <c r="H16" s="694">
        <v>72.86</v>
      </c>
      <c r="I16" s="293"/>
      <c r="J16" s="101">
        <v>3.0600378669824844</v>
      </c>
      <c r="K16" s="99">
        <v>3.9266343134456179</v>
      </c>
      <c r="L16" s="99">
        <v>5.6</v>
      </c>
      <c r="M16" s="99">
        <v>8.1</v>
      </c>
      <c r="N16" s="99">
        <v>12.3</v>
      </c>
      <c r="O16" s="99">
        <v>14.7</v>
      </c>
      <c r="P16" s="99">
        <v>16.899999999999999</v>
      </c>
      <c r="Q16" s="293"/>
      <c r="R16" s="101">
        <v>28.130261839195448</v>
      </c>
      <c r="S16" s="100">
        <v>34.44728620684073</v>
      </c>
      <c r="T16" s="99">
        <v>42.2</v>
      </c>
      <c r="U16" s="99">
        <v>52.6</v>
      </c>
      <c r="V16" s="99">
        <v>63.9</v>
      </c>
      <c r="W16" s="99">
        <v>71.7</v>
      </c>
      <c r="X16" s="99">
        <v>78.900000000000006</v>
      </c>
      <c r="Y16" s="293"/>
      <c r="Z16" s="101">
        <v>5.449501917393591</v>
      </c>
      <c r="AA16" s="99">
        <v>6.2329022127976437</v>
      </c>
      <c r="AB16" s="99">
        <v>7.7</v>
      </c>
      <c r="AC16" s="99">
        <v>10</v>
      </c>
      <c r="AD16" s="99">
        <v>14.4</v>
      </c>
      <c r="AE16" s="99">
        <v>17.2</v>
      </c>
      <c r="AF16" s="99">
        <v>20.03</v>
      </c>
      <c r="AG16" s="293"/>
      <c r="AH16" s="101">
        <v>2.5948157743175613</v>
      </c>
      <c r="AI16" s="100">
        <v>4.2158243483480708</v>
      </c>
      <c r="AJ16" s="99">
        <v>7.575381771566275</v>
      </c>
      <c r="AK16" s="99">
        <v>14.9</v>
      </c>
      <c r="AL16" s="99">
        <v>32.700000000000003</v>
      </c>
      <c r="AM16" s="99">
        <v>47.3</v>
      </c>
      <c r="AN16" s="99">
        <v>60.45</v>
      </c>
      <c r="AO16" s="293"/>
      <c r="AP16" s="101">
        <v>0.34847045174328789</v>
      </c>
      <c r="AQ16" s="99">
        <v>0.63722208113037659</v>
      </c>
      <c r="AR16" s="99">
        <v>1.7623238655203295</v>
      </c>
      <c r="AS16" s="99">
        <v>3.7</v>
      </c>
      <c r="AT16" s="99">
        <v>7.1</v>
      </c>
      <c r="AU16" s="99">
        <v>8.8000000000000007</v>
      </c>
      <c r="AV16" s="99">
        <v>10.09</v>
      </c>
      <c r="AW16" s="99"/>
    </row>
    <row r="17" spans="1:49" ht="12.75" customHeight="1">
      <c r="A17" s="38" t="s">
        <v>17</v>
      </c>
      <c r="B17" s="694">
        <v>19.02770801039166</v>
      </c>
      <c r="C17" s="694">
        <v>20.872860006159346</v>
      </c>
      <c r="D17" s="694">
        <v>32.299999999999997</v>
      </c>
      <c r="E17" s="694">
        <v>38.5</v>
      </c>
      <c r="F17" s="694">
        <v>54.8</v>
      </c>
      <c r="G17" s="694">
        <v>70</v>
      </c>
      <c r="H17" s="694">
        <v>78.14</v>
      </c>
      <c r="I17" s="293"/>
      <c r="J17" s="101">
        <v>4.1317632846519627</v>
      </c>
      <c r="K17" s="99">
        <v>5.0996349830618</v>
      </c>
      <c r="L17" s="99">
        <v>6.3</v>
      </c>
      <c r="M17" s="99">
        <v>8.5</v>
      </c>
      <c r="N17" s="99">
        <v>13.2</v>
      </c>
      <c r="O17" s="99">
        <v>17.399999999999999</v>
      </c>
      <c r="P17" s="99">
        <v>22.46</v>
      </c>
      <c r="Q17" s="293"/>
      <c r="R17" s="101">
        <v>23.49314452630372</v>
      </c>
      <c r="S17" s="100">
        <v>24.784096571615258</v>
      </c>
      <c r="T17" s="99">
        <v>37.1</v>
      </c>
      <c r="U17" s="99">
        <v>42.2</v>
      </c>
      <c r="V17" s="99">
        <v>57.8</v>
      </c>
      <c r="W17" s="99">
        <v>73.099999999999994</v>
      </c>
      <c r="X17" s="99">
        <v>81.150000000000006</v>
      </c>
      <c r="Y17" s="293"/>
      <c r="Z17" s="101">
        <v>4.9999051345316081</v>
      </c>
      <c r="AA17" s="99">
        <v>5.8463051391120988</v>
      </c>
      <c r="AB17" s="99">
        <v>7</v>
      </c>
      <c r="AC17" s="99">
        <v>9.4</v>
      </c>
      <c r="AD17" s="99">
        <v>14.7</v>
      </c>
      <c r="AE17" s="99">
        <v>19.3</v>
      </c>
      <c r="AF17" s="99">
        <v>25.02</v>
      </c>
      <c r="AG17" s="293"/>
      <c r="AH17" s="101">
        <v>5.8316187727321482</v>
      </c>
      <c r="AI17" s="100">
        <v>8.1445922871226522</v>
      </c>
      <c r="AJ17" s="99">
        <v>14.69553112579046</v>
      </c>
      <c r="AK17" s="99">
        <v>22.9</v>
      </c>
      <c r="AL17" s="99">
        <v>43</v>
      </c>
      <c r="AM17" s="99">
        <v>58.1</v>
      </c>
      <c r="AN17" s="99">
        <v>70.73</v>
      </c>
      <c r="AO17" s="293"/>
      <c r="AP17" s="101">
        <v>1.5662632980020088</v>
      </c>
      <c r="AQ17" s="99">
        <v>2.669759549813675</v>
      </c>
      <c r="AR17" s="99">
        <v>3.511359034950412</v>
      </c>
      <c r="AS17" s="99">
        <v>4.3</v>
      </c>
      <c r="AT17" s="99">
        <v>7.3</v>
      </c>
      <c r="AU17" s="99">
        <v>9.5</v>
      </c>
      <c r="AV17" s="99">
        <v>13.15</v>
      </c>
      <c r="AW17" s="99"/>
    </row>
    <row r="18" spans="1:49" ht="12.75" customHeight="1">
      <c r="A18" s="38" t="s">
        <v>18</v>
      </c>
      <c r="B18" s="694">
        <v>24.486247893637238</v>
      </c>
      <c r="C18" s="694">
        <v>33.80546476987724</v>
      </c>
      <c r="D18" s="694">
        <v>40.5</v>
      </c>
      <c r="E18" s="694">
        <v>51.6</v>
      </c>
      <c r="F18" s="694">
        <v>66</v>
      </c>
      <c r="G18" s="694">
        <v>74.599999999999994</v>
      </c>
      <c r="H18" s="694">
        <v>80.61</v>
      </c>
      <c r="I18" s="293"/>
      <c r="J18" s="101">
        <v>4.7791262581812051</v>
      </c>
      <c r="K18" s="99">
        <v>6.3609656933431946</v>
      </c>
      <c r="L18" s="99">
        <v>7.9</v>
      </c>
      <c r="M18" s="99">
        <v>10</v>
      </c>
      <c r="N18" s="99">
        <v>15.1</v>
      </c>
      <c r="O18" s="99">
        <v>17.8</v>
      </c>
      <c r="P18" s="99">
        <v>20.28</v>
      </c>
      <c r="Q18" s="293"/>
      <c r="R18" s="101">
        <v>25.785406777790044</v>
      </c>
      <c r="S18" s="100">
        <v>35.306174737381504</v>
      </c>
      <c r="T18" s="99">
        <v>42</v>
      </c>
      <c r="U18" s="99">
        <v>53.1</v>
      </c>
      <c r="V18" s="99">
        <v>67.099999999999994</v>
      </c>
      <c r="W18" s="99">
        <v>75.7</v>
      </c>
      <c r="X18" s="99">
        <v>82.09</v>
      </c>
      <c r="Y18" s="293"/>
      <c r="Z18" s="101">
        <v>5.0201457114471797</v>
      </c>
      <c r="AA18" s="99">
        <v>6.6426635381690193</v>
      </c>
      <c r="AB18" s="99">
        <v>8.1999999999999993</v>
      </c>
      <c r="AC18" s="99">
        <v>10.5</v>
      </c>
      <c r="AD18" s="99">
        <v>15.7</v>
      </c>
      <c r="AE18" s="99">
        <v>18.7</v>
      </c>
      <c r="AF18" s="99">
        <v>21.55</v>
      </c>
      <c r="AG18" s="293"/>
      <c r="AH18" s="101" t="s">
        <v>255</v>
      </c>
      <c r="AI18" s="100" t="s">
        <v>255</v>
      </c>
      <c r="AJ18" s="99" t="s">
        <v>255</v>
      </c>
      <c r="AK18" s="99">
        <v>35.200000000000003</v>
      </c>
      <c r="AL18" s="99">
        <v>57.2</v>
      </c>
      <c r="AM18" s="99">
        <v>70.099999999999994</v>
      </c>
      <c r="AN18" s="99">
        <v>78.5</v>
      </c>
      <c r="AO18" s="293"/>
      <c r="AP18" s="101" t="s">
        <v>255</v>
      </c>
      <c r="AQ18" s="99" t="s">
        <v>255</v>
      </c>
      <c r="AR18" s="99" t="s">
        <v>255</v>
      </c>
      <c r="AS18" s="99">
        <v>5.0999999999999996</v>
      </c>
      <c r="AT18" s="99">
        <v>9.6999999999999993</v>
      </c>
      <c r="AU18" s="99">
        <v>12</v>
      </c>
      <c r="AV18" s="99">
        <v>13.69</v>
      </c>
      <c r="AW18" s="99"/>
    </row>
    <row r="19" spans="1:49" ht="12.75" customHeight="1">
      <c r="A19" s="38" t="s">
        <v>19</v>
      </c>
      <c r="B19" s="694">
        <v>18.396193459013432</v>
      </c>
      <c r="C19" s="694">
        <v>18.965123883979498</v>
      </c>
      <c r="D19" s="694">
        <v>30.4</v>
      </c>
      <c r="E19" s="694">
        <v>37.799999999999997</v>
      </c>
      <c r="F19" s="694">
        <v>53.7</v>
      </c>
      <c r="G19" s="694">
        <v>68.3</v>
      </c>
      <c r="H19" s="694">
        <v>76.34</v>
      </c>
      <c r="I19" s="293"/>
      <c r="J19" s="101">
        <v>4.7460097572727822</v>
      </c>
      <c r="K19" s="99">
        <v>5.4932797947688368</v>
      </c>
      <c r="L19" s="99">
        <v>6.9</v>
      </c>
      <c r="M19" s="99">
        <v>9</v>
      </c>
      <c r="N19" s="99">
        <v>13.4</v>
      </c>
      <c r="O19" s="99">
        <v>16.600000000000001</v>
      </c>
      <c r="P19" s="99">
        <v>20.420000000000002</v>
      </c>
      <c r="Q19" s="293"/>
      <c r="R19" s="101">
        <v>27.346908017282022</v>
      </c>
      <c r="S19" s="100">
        <v>25.922365650462325</v>
      </c>
      <c r="T19" s="99">
        <v>38.9</v>
      </c>
      <c r="U19" s="99">
        <v>44.8</v>
      </c>
      <c r="V19" s="99">
        <v>58.9</v>
      </c>
      <c r="W19" s="99">
        <v>73.599999999999994</v>
      </c>
      <c r="X19" s="99">
        <v>80.86</v>
      </c>
      <c r="Y19" s="293"/>
      <c r="Z19" s="101">
        <v>7.0324153868746286</v>
      </c>
      <c r="AA19" s="99">
        <v>7.3644297964539653</v>
      </c>
      <c r="AB19" s="99">
        <v>8.5</v>
      </c>
      <c r="AC19" s="99">
        <v>10.7</v>
      </c>
      <c r="AD19" s="99">
        <v>15.9</v>
      </c>
      <c r="AE19" s="99">
        <v>19.8</v>
      </c>
      <c r="AF19" s="99">
        <v>24.23</v>
      </c>
      <c r="AG19" s="293"/>
      <c r="AH19" s="101">
        <v>3.578488762643226</v>
      </c>
      <c r="AI19" s="100">
        <v>5.1824982997052818</v>
      </c>
      <c r="AJ19" s="99">
        <v>9.8990116866036946</v>
      </c>
      <c r="AK19" s="99">
        <v>17.5</v>
      </c>
      <c r="AL19" s="99">
        <v>38.9</v>
      </c>
      <c r="AM19" s="99">
        <v>53.3</v>
      </c>
      <c r="AN19" s="99">
        <v>64.92</v>
      </c>
      <c r="AO19" s="293"/>
      <c r="AP19" s="101">
        <v>0.96091715768125952</v>
      </c>
      <c r="AQ19" s="99">
        <v>1.7864429834504647</v>
      </c>
      <c r="AR19" s="99">
        <v>3.035041836303666</v>
      </c>
      <c r="AS19" s="99">
        <v>3.9</v>
      </c>
      <c r="AT19" s="99">
        <v>6.4</v>
      </c>
      <c r="AU19" s="99">
        <v>7.6</v>
      </c>
      <c r="AV19" s="99">
        <v>9.8699999999999992</v>
      </c>
      <c r="AW19" s="99"/>
    </row>
    <row r="20" spans="1:49" ht="12.75" customHeight="1">
      <c r="A20" s="38" t="s">
        <v>20</v>
      </c>
      <c r="B20" s="694">
        <v>18.138708687144074</v>
      </c>
      <c r="C20" s="694">
        <v>24.618743995108744</v>
      </c>
      <c r="D20" s="694">
        <v>30.4</v>
      </c>
      <c r="E20" s="694">
        <v>41.8</v>
      </c>
      <c r="F20" s="694">
        <v>56.2</v>
      </c>
      <c r="G20" s="694">
        <v>67.099999999999994</v>
      </c>
      <c r="H20" s="694">
        <v>75.92</v>
      </c>
      <c r="I20" s="293"/>
      <c r="J20" s="101">
        <v>3.1047442081874479</v>
      </c>
      <c r="K20" s="99">
        <v>4.1380615483157186</v>
      </c>
      <c r="L20" s="99">
        <v>5.5</v>
      </c>
      <c r="M20" s="99">
        <v>7.9</v>
      </c>
      <c r="N20" s="99">
        <v>12.6</v>
      </c>
      <c r="O20" s="99">
        <v>16</v>
      </c>
      <c r="P20" s="99">
        <v>19.559999999999999</v>
      </c>
      <c r="Q20" s="293"/>
      <c r="R20" s="101">
        <v>20.851440787282762</v>
      </c>
      <c r="S20" s="100">
        <v>27.532283398896318</v>
      </c>
      <c r="T20" s="99">
        <v>33.200000000000003</v>
      </c>
      <c r="U20" s="99">
        <v>44.5</v>
      </c>
      <c r="V20" s="99">
        <v>57.9</v>
      </c>
      <c r="W20" s="99">
        <v>68.2</v>
      </c>
      <c r="X20" s="99">
        <v>76.989999999999995</v>
      </c>
      <c r="Y20" s="293"/>
      <c r="Z20" s="101">
        <v>3.5443094459552924</v>
      </c>
      <c r="AA20" s="99">
        <v>4.5728444141727245</v>
      </c>
      <c r="AB20" s="99">
        <v>6</v>
      </c>
      <c r="AC20" s="99">
        <v>8.4</v>
      </c>
      <c r="AD20" s="99">
        <v>13.2</v>
      </c>
      <c r="AE20" s="99">
        <v>16.7</v>
      </c>
      <c r="AF20" s="99">
        <v>20.48</v>
      </c>
      <c r="AG20" s="293"/>
      <c r="AH20" s="101">
        <v>5.9242226364688326</v>
      </c>
      <c r="AI20" s="100">
        <v>9.5680896133271105</v>
      </c>
      <c r="AJ20" s="99">
        <v>14.163223537383129</v>
      </c>
      <c r="AK20" s="99">
        <v>24.1</v>
      </c>
      <c r="AL20" s="99">
        <v>44.7</v>
      </c>
      <c r="AM20" s="99">
        <v>59.4</v>
      </c>
      <c r="AN20" s="99">
        <v>70.83</v>
      </c>
      <c r="AO20" s="293"/>
      <c r="AP20" s="101">
        <v>1.1255353269261537</v>
      </c>
      <c r="AQ20" s="99">
        <v>1.8920762574947041</v>
      </c>
      <c r="AR20" s="99">
        <v>2.8216779186851029</v>
      </c>
      <c r="AS20" s="99">
        <v>4.4000000000000004</v>
      </c>
      <c r="AT20" s="99">
        <v>7.9</v>
      </c>
      <c r="AU20" s="99">
        <v>10.199999999999999</v>
      </c>
      <c r="AV20" s="99">
        <v>12.94</v>
      </c>
      <c r="AW20" s="99"/>
    </row>
    <row r="21" spans="1:49" ht="12.75" customHeight="1">
      <c r="A21" s="141" t="s">
        <v>21</v>
      </c>
      <c r="B21" s="694">
        <v>24.676621738692216</v>
      </c>
      <c r="C21" s="694">
        <v>30.693767585784464</v>
      </c>
      <c r="D21" s="694">
        <v>39.5</v>
      </c>
      <c r="E21" s="694">
        <v>47.4</v>
      </c>
      <c r="F21" s="694">
        <v>62.6</v>
      </c>
      <c r="G21" s="694">
        <v>72.099999999999994</v>
      </c>
      <c r="H21" s="694">
        <v>75.650000000000006</v>
      </c>
      <c r="I21" s="295"/>
      <c r="J21" s="101">
        <v>4.4459689406718423</v>
      </c>
      <c r="K21" s="99">
        <v>6.177018231867577</v>
      </c>
      <c r="L21" s="99">
        <v>8</v>
      </c>
      <c r="M21" s="99">
        <v>10.9</v>
      </c>
      <c r="N21" s="99">
        <v>16.899999999999999</v>
      </c>
      <c r="O21" s="99">
        <v>20.3</v>
      </c>
      <c r="P21" s="99">
        <v>23.24</v>
      </c>
      <c r="Q21" s="295"/>
      <c r="R21" s="101">
        <v>27.309235016964518</v>
      </c>
      <c r="S21" s="100">
        <v>33.342713455832161</v>
      </c>
      <c r="T21" s="99">
        <v>42</v>
      </c>
      <c r="U21" s="99">
        <v>49.5</v>
      </c>
      <c r="V21" s="99">
        <v>65.7</v>
      </c>
      <c r="W21" s="99">
        <v>76.2</v>
      </c>
      <c r="X21" s="99">
        <v>79.53</v>
      </c>
      <c r="Y21" s="295"/>
      <c r="Z21" s="101">
        <v>4.8986249811123779</v>
      </c>
      <c r="AA21" s="99">
        <v>6.6897454829137821</v>
      </c>
      <c r="AB21" s="99">
        <v>8.6</v>
      </c>
      <c r="AC21" s="99">
        <v>11.6</v>
      </c>
      <c r="AD21" s="99">
        <v>18.5</v>
      </c>
      <c r="AE21" s="99">
        <v>22.6</v>
      </c>
      <c r="AF21" s="99">
        <v>25.79</v>
      </c>
      <c r="AG21" s="295"/>
      <c r="AH21" s="101">
        <v>8.4110781295418899</v>
      </c>
      <c r="AI21" s="100">
        <v>12.001101018442059</v>
      </c>
      <c r="AJ21" s="99">
        <v>20.84805954207302</v>
      </c>
      <c r="AK21" s="99">
        <v>30.1</v>
      </c>
      <c r="AL21" s="99">
        <v>53</v>
      </c>
      <c r="AM21" s="99">
        <v>66.099999999999994</v>
      </c>
      <c r="AN21" s="99">
        <v>75.81</v>
      </c>
      <c r="AO21" s="295"/>
      <c r="AP21" s="101">
        <v>1.6492434867294565</v>
      </c>
      <c r="AQ21" s="99">
        <v>2.5588848256065435</v>
      </c>
      <c r="AR21" s="99">
        <v>3.9557516404344559</v>
      </c>
      <c r="AS21" s="99">
        <v>4.7</v>
      </c>
      <c r="AT21" s="99">
        <v>9.1</v>
      </c>
      <c r="AU21" s="99">
        <v>12</v>
      </c>
      <c r="AV21" s="99">
        <v>15.35</v>
      </c>
      <c r="AW21" s="99"/>
    </row>
    <row r="22" spans="1:49" ht="12.75" customHeight="1">
      <c r="A22" s="141" t="s">
        <v>22</v>
      </c>
      <c r="B22" s="694">
        <v>21.576324505870943</v>
      </c>
      <c r="C22" s="694">
        <v>29.430058645142427</v>
      </c>
      <c r="D22" s="694">
        <v>37.9</v>
      </c>
      <c r="E22" s="694">
        <v>47.8</v>
      </c>
      <c r="F22" s="694">
        <v>62.4</v>
      </c>
      <c r="G22" s="694">
        <v>75.2</v>
      </c>
      <c r="H22" s="694">
        <v>81.47</v>
      </c>
      <c r="I22" s="295"/>
      <c r="J22" s="101">
        <v>4.4626404053893873</v>
      </c>
      <c r="K22" s="99">
        <v>6.6905909802280448</v>
      </c>
      <c r="L22" s="99">
        <v>8.4</v>
      </c>
      <c r="M22" s="99">
        <v>12.3</v>
      </c>
      <c r="N22" s="99">
        <v>19.100000000000001</v>
      </c>
      <c r="O22" s="99">
        <v>24.5</v>
      </c>
      <c r="P22" s="99">
        <v>29.46</v>
      </c>
      <c r="Q22" s="295"/>
      <c r="R22" s="101">
        <v>26.036027205498197</v>
      </c>
      <c r="S22" s="100">
        <v>34.517258086677323</v>
      </c>
      <c r="T22" s="99">
        <v>43</v>
      </c>
      <c r="U22" s="99">
        <v>52.5</v>
      </c>
      <c r="V22" s="99">
        <v>66.099999999999994</v>
      </c>
      <c r="W22" s="99">
        <v>78.3</v>
      </c>
      <c r="X22" s="99">
        <v>84.28</v>
      </c>
      <c r="Y22" s="295"/>
      <c r="Z22" s="101">
        <v>5.389615889350857</v>
      </c>
      <c r="AA22" s="99">
        <v>7.8350194890188964</v>
      </c>
      <c r="AB22" s="99">
        <v>9.6</v>
      </c>
      <c r="AC22" s="99">
        <v>13.9</v>
      </c>
      <c r="AD22" s="99">
        <v>21.1</v>
      </c>
      <c r="AE22" s="99">
        <v>27</v>
      </c>
      <c r="AF22" s="99">
        <v>32.28</v>
      </c>
      <c r="AG22" s="295"/>
      <c r="AH22" s="101">
        <v>6.3353301981904631</v>
      </c>
      <c r="AI22" s="100">
        <v>9.9734483903086613</v>
      </c>
      <c r="AJ22" s="99">
        <v>16.264018201882308</v>
      </c>
      <c r="AK22" s="99">
        <v>30.8</v>
      </c>
      <c r="AL22" s="99">
        <v>43</v>
      </c>
      <c r="AM22" s="99">
        <v>60.3</v>
      </c>
      <c r="AN22" s="99">
        <v>71.58</v>
      </c>
      <c r="AO22" s="295"/>
      <c r="AP22" s="101">
        <v>1.294709934240053</v>
      </c>
      <c r="AQ22" s="99">
        <v>2.3135855736254007</v>
      </c>
      <c r="AR22" s="99">
        <v>3.2017434211356983</v>
      </c>
      <c r="AS22" s="99">
        <v>4.2</v>
      </c>
      <c r="AT22" s="99">
        <v>7.9</v>
      </c>
      <c r="AU22" s="99">
        <v>11.1</v>
      </c>
      <c r="AV22" s="99">
        <v>15.12</v>
      </c>
      <c r="AW22" s="99"/>
    </row>
    <row r="23" spans="1:49" ht="12.75" customHeight="1">
      <c r="A23" s="140" t="s">
        <v>23</v>
      </c>
      <c r="B23" s="695">
        <v>17.766327557465218</v>
      </c>
      <c r="C23" s="695">
        <v>24.884840100663734</v>
      </c>
      <c r="D23" s="695">
        <v>30.6</v>
      </c>
      <c r="E23" s="695">
        <v>41.6</v>
      </c>
      <c r="F23" s="695">
        <v>56</v>
      </c>
      <c r="G23" s="695">
        <v>66</v>
      </c>
      <c r="H23" s="695">
        <v>75.209999999999994</v>
      </c>
      <c r="I23" s="294"/>
      <c r="J23" s="107">
        <v>3.3975972708450763</v>
      </c>
      <c r="K23" s="105">
        <v>4.3719063807659664</v>
      </c>
      <c r="L23" s="105">
        <v>5.2</v>
      </c>
      <c r="M23" s="105">
        <v>6.8</v>
      </c>
      <c r="N23" s="105">
        <v>10.4</v>
      </c>
      <c r="O23" s="105">
        <v>12.3</v>
      </c>
      <c r="P23" s="105">
        <v>14.83</v>
      </c>
      <c r="Q23" s="294"/>
      <c r="R23" s="107">
        <v>18.273613465800945</v>
      </c>
      <c r="S23" s="106">
        <v>25.386746950298463</v>
      </c>
      <c r="T23" s="105">
        <v>31</v>
      </c>
      <c r="U23" s="105">
        <v>42</v>
      </c>
      <c r="V23" s="105">
        <v>56</v>
      </c>
      <c r="W23" s="105">
        <v>66</v>
      </c>
      <c r="X23" s="105">
        <v>75.12</v>
      </c>
      <c r="Y23" s="294"/>
      <c r="Z23" s="107">
        <v>3.4619101088149069</v>
      </c>
      <c r="AA23" s="105">
        <v>4.4143843821945348</v>
      </c>
      <c r="AB23" s="105">
        <v>5.3</v>
      </c>
      <c r="AC23" s="105">
        <v>6.8</v>
      </c>
      <c r="AD23" s="105">
        <v>10.3</v>
      </c>
      <c r="AE23" s="105">
        <v>12.2</v>
      </c>
      <c r="AF23" s="105">
        <v>14.66</v>
      </c>
      <c r="AG23" s="294"/>
      <c r="AH23" s="107">
        <v>10.689486552567237</v>
      </c>
      <c r="AI23" s="106">
        <v>16.760812747660399</v>
      </c>
      <c r="AJ23" s="105">
        <v>22.295138964340815</v>
      </c>
      <c r="AK23" s="105">
        <v>30.9</v>
      </c>
      <c r="AL23" s="105">
        <v>52.1</v>
      </c>
      <c r="AM23" s="105">
        <v>64.7</v>
      </c>
      <c r="AN23" s="105">
        <v>76.62</v>
      </c>
      <c r="AO23" s="294"/>
      <c r="AP23" s="107">
        <v>2.5004074979625099</v>
      </c>
      <c r="AQ23" s="105">
        <v>3.6843436472472813</v>
      </c>
      <c r="AR23" s="105">
        <v>4.4742389013233668</v>
      </c>
      <c r="AS23" s="105">
        <v>5</v>
      </c>
      <c r="AT23" s="105">
        <v>9.1999999999999993</v>
      </c>
      <c r="AU23" s="105">
        <v>10.9</v>
      </c>
      <c r="AV23" s="105">
        <v>11.52</v>
      </c>
      <c r="AW23" s="105"/>
    </row>
    <row r="24" spans="1:49" ht="12.75" customHeight="1">
      <c r="A24" s="38" t="s">
        <v>24</v>
      </c>
      <c r="B24" s="694">
        <v>34.826628499995472</v>
      </c>
      <c r="C24" s="694">
        <v>45.636969306969824</v>
      </c>
      <c r="D24" s="694">
        <v>50.82165355171837</v>
      </c>
      <c r="E24" s="694">
        <v>62.268441082759807</v>
      </c>
      <c r="F24" s="694">
        <v>74.5</v>
      </c>
      <c r="G24" s="694">
        <v>73.7</v>
      </c>
      <c r="H24" s="694">
        <v>79.869784058634878</v>
      </c>
      <c r="I24" s="293"/>
      <c r="J24" s="101">
        <v>6.176949625429148</v>
      </c>
      <c r="K24" s="99">
        <v>7.8967504815145917</v>
      </c>
      <c r="L24" s="99">
        <v>9.5636815373383914</v>
      </c>
      <c r="M24" s="99">
        <v>13.158486572760467</v>
      </c>
      <c r="N24" s="99">
        <v>19.256241169188073</v>
      </c>
      <c r="O24" s="99">
        <v>22.7</v>
      </c>
      <c r="P24" s="99">
        <v>26.232987063315257</v>
      </c>
      <c r="Q24" s="293"/>
      <c r="R24" s="101">
        <v>35.408989977645</v>
      </c>
      <c r="S24" s="99">
        <v>46.496502204246696</v>
      </c>
      <c r="T24" s="99">
        <v>51.860988551251907</v>
      </c>
      <c r="U24" s="99">
        <v>63.253833536911529</v>
      </c>
      <c r="V24" s="99">
        <v>77.2</v>
      </c>
      <c r="W24" s="99">
        <v>82.380047811337391</v>
      </c>
      <c r="X24" s="99">
        <v>85.586409945913047</v>
      </c>
      <c r="Y24" s="293"/>
      <c r="Z24" s="101">
        <v>6.3144813737082455</v>
      </c>
      <c r="AA24" s="99">
        <v>8.1176138185856797</v>
      </c>
      <c r="AB24" s="99">
        <v>9.8795184101519862</v>
      </c>
      <c r="AC24" s="99">
        <v>13.524055750045349</v>
      </c>
      <c r="AD24" s="99">
        <v>20.2</v>
      </c>
      <c r="AE24" s="99">
        <v>20.397940127237177</v>
      </c>
      <c r="AF24" s="99">
        <v>28.62246386688259</v>
      </c>
      <c r="AG24" s="293"/>
      <c r="AH24" s="101">
        <v>18.428309309066066</v>
      </c>
      <c r="AI24" s="99">
        <v>27.777670316066384</v>
      </c>
      <c r="AJ24" s="99">
        <v>37.201307178733813</v>
      </c>
      <c r="AK24" s="99">
        <v>48.864884163859436</v>
      </c>
      <c r="AL24" s="99">
        <v>68.7</v>
      </c>
      <c r="AM24" s="99">
        <v>76.2</v>
      </c>
      <c r="AN24" s="99">
        <v>81.076930465599133</v>
      </c>
      <c r="AO24" s="293"/>
      <c r="AP24" s="101">
        <v>2.3042870374609525</v>
      </c>
      <c r="AQ24" s="99">
        <v>3.3076714766528688</v>
      </c>
      <c r="AR24" s="99">
        <v>5.4246814969162598</v>
      </c>
      <c r="AS24" s="99">
        <v>5.8984669482676919</v>
      </c>
      <c r="AT24" s="99">
        <v>11.4</v>
      </c>
      <c r="AU24" s="99">
        <v>14.8</v>
      </c>
      <c r="AV24" s="99">
        <v>17.397337997478054</v>
      </c>
      <c r="AW24" s="99"/>
    </row>
    <row r="25" spans="1:49" ht="12.75" customHeight="1">
      <c r="A25" s="38" t="s">
        <v>150</v>
      </c>
      <c r="B25" s="694"/>
      <c r="C25" s="694"/>
      <c r="D25" s="694"/>
      <c r="E25" s="694"/>
      <c r="F25" s="694"/>
      <c r="G25" s="694"/>
      <c r="H25" s="694"/>
      <c r="I25" s="293"/>
      <c r="J25" s="102"/>
      <c r="Q25" s="293"/>
      <c r="R25" s="102"/>
      <c r="Y25" s="293"/>
      <c r="Z25" s="102"/>
      <c r="AG25" s="293"/>
      <c r="AH25" s="102"/>
      <c r="AO25" s="293"/>
      <c r="AP25" s="102"/>
    </row>
    <row r="26" spans="1:49" ht="12.75" customHeight="1">
      <c r="A26" s="38" t="s">
        <v>25</v>
      </c>
      <c r="B26" s="694" t="s">
        <v>256</v>
      </c>
      <c r="C26" s="694" t="s">
        <v>256</v>
      </c>
      <c r="D26" s="694">
        <v>54.7</v>
      </c>
      <c r="E26" s="694">
        <v>66.7</v>
      </c>
      <c r="F26" s="694">
        <v>82.5</v>
      </c>
      <c r="G26" s="694">
        <v>86.6</v>
      </c>
      <c r="H26" s="694">
        <v>88.33</v>
      </c>
      <c r="I26" s="293"/>
      <c r="J26" s="104" t="s">
        <v>256</v>
      </c>
      <c r="K26" s="103" t="s">
        <v>256</v>
      </c>
      <c r="L26" s="99">
        <v>9.5</v>
      </c>
      <c r="M26" s="99">
        <v>14.1</v>
      </c>
      <c r="N26" s="99">
        <v>21.1</v>
      </c>
      <c r="O26" s="99">
        <v>23</v>
      </c>
      <c r="P26" s="99">
        <v>24.71</v>
      </c>
      <c r="Q26" s="293"/>
      <c r="R26" s="104" t="s">
        <v>256</v>
      </c>
      <c r="S26" s="103" t="s">
        <v>256</v>
      </c>
      <c r="T26" s="99">
        <v>63.2</v>
      </c>
      <c r="U26" s="99">
        <v>75.3</v>
      </c>
      <c r="V26" s="99">
        <v>88.5</v>
      </c>
      <c r="W26" s="99">
        <v>91.1</v>
      </c>
      <c r="X26" s="99">
        <v>92.5</v>
      </c>
      <c r="Y26" s="293"/>
      <c r="Z26" s="104" t="s">
        <v>256</v>
      </c>
      <c r="AA26" s="103" t="s">
        <v>256</v>
      </c>
      <c r="AB26" s="99">
        <v>11.4</v>
      </c>
      <c r="AC26" s="99">
        <v>16.5</v>
      </c>
      <c r="AD26" s="99">
        <v>24.4</v>
      </c>
      <c r="AE26" s="99">
        <v>26.8</v>
      </c>
      <c r="AF26" s="99">
        <v>29.27</v>
      </c>
      <c r="AG26" s="293"/>
      <c r="AH26" s="104" t="s">
        <v>256</v>
      </c>
      <c r="AI26" s="103" t="s">
        <v>256</v>
      </c>
      <c r="AJ26" s="99" t="s">
        <v>255</v>
      </c>
      <c r="AK26" s="99">
        <v>63.5</v>
      </c>
      <c r="AL26" s="99">
        <v>83.3</v>
      </c>
      <c r="AM26" s="99">
        <v>88.2</v>
      </c>
      <c r="AN26" s="99">
        <v>88.7</v>
      </c>
      <c r="AO26" s="293"/>
      <c r="AP26" s="104" t="s">
        <v>256</v>
      </c>
      <c r="AQ26" s="103" t="s">
        <v>256</v>
      </c>
      <c r="AR26" s="99" t="s">
        <v>255</v>
      </c>
      <c r="AS26" s="99">
        <v>7.8</v>
      </c>
      <c r="AT26" s="99">
        <v>10.1</v>
      </c>
      <c r="AU26" s="99">
        <v>14.1</v>
      </c>
      <c r="AV26" s="99">
        <v>14.89</v>
      </c>
      <c r="AW26" s="99"/>
    </row>
    <row r="27" spans="1:49" ht="12.75" customHeight="1">
      <c r="A27" s="38" t="s">
        <v>26</v>
      </c>
      <c r="B27" s="694">
        <v>29.397436153830768</v>
      </c>
      <c r="C27" s="694">
        <v>38.488272216716219</v>
      </c>
      <c r="D27" s="694">
        <v>45.7</v>
      </c>
      <c r="E27" s="694">
        <v>58.1</v>
      </c>
      <c r="F27" s="694">
        <v>72.400000000000006</v>
      </c>
      <c r="G27" s="694">
        <v>78.7</v>
      </c>
      <c r="H27" s="694">
        <v>80.97</v>
      </c>
      <c r="I27" s="293"/>
      <c r="J27" s="101">
        <v>6.3276203427794329</v>
      </c>
      <c r="K27" s="99">
        <v>7.6683184671291702</v>
      </c>
      <c r="L27" s="99">
        <v>9.1</v>
      </c>
      <c r="M27" s="99">
        <v>12.6</v>
      </c>
      <c r="N27" s="99">
        <v>17.399999999999999</v>
      </c>
      <c r="O27" s="99">
        <v>20.3</v>
      </c>
      <c r="P27" s="99">
        <v>23.53</v>
      </c>
      <c r="Q27" s="293"/>
      <c r="R27" s="101">
        <v>32.59871483597729</v>
      </c>
      <c r="S27" s="100">
        <v>41.545319900869593</v>
      </c>
      <c r="T27" s="99">
        <v>48.3</v>
      </c>
      <c r="U27" s="99">
        <v>60.3</v>
      </c>
      <c r="V27" s="99">
        <v>76.099999999999994</v>
      </c>
      <c r="W27" s="99">
        <v>82.4</v>
      </c>
      <c r="X27" s="99">
        <v>85.37</v>
      </c>
      <c r="Y27" s="293"/>
      <c r="Z27" s="101">
        <v>7.1099326384198331</v>
      </c>
      <c r="AA27" s="99">
        <v>8.3600956109864644</v>
      </c>
      <c r="AB27" s="99">
        <v>9.6999999999999993</v>
      </c>
      <c r="AC27" s="99">
        <v>13.2</v>
      </c>
      <c r="AD27" s="99">
        <v>18.899999999999999</v>
      </c>
      <c r="AE27" s="99">
        <v>22.2</v>
      </c>
      <c r="AF27" s="99">
        <v>26.01</v>
      </c>
      <c r="AG27" s="293"/>
      <c r="AH27" s="101" t="s">
        <v>255</v>
      </c>
      <c r="AI27" s="100" t="s">
        <v>255</v>
      </c>
      <c r="AJ27" s="99" t="s">
        <v>255</v>
      </c>
      <c r="AK27" s="99">
        <v>32.6</v>
      </c>
      <c r="AL27" s="99">
        <v>60.6</v>
      </c>
      <c r="AM27" s="99">
        <v>75.099999999999994</v>
      </c>
      <c r="AN27" s="99">
        <v>81.72</v>
      </c>
      <c r="AO27" s="293"/>
      <c r="AP27" s="101" t="s">
        <v>255</v>
      </c>
      <c r="AQ27" s="99" t="s">
        <v>255</v>
      </c>
      <c r="AR27" s="99" t="s">
        <v>255</v>
      </c>
      <c r="AS27" s="99">
        <v>4.8</v>
      </c>
      <c r="AT27" s="99">
        <v>10.8</v>
      </c>
      <c r="AU27" s="99">
        <v>14.3</v>
      </c>
      <c r="AV27" s="99">
        <v>18.59</v>
      </c>
      <c r="AW27" s="99"/>
    </row>
    <row r="28" spans="1:49" ht="12.75" customHeight="1">
      <c r="A28" s="38" t="s">
        <v>27</v>
      </c>
      <c r="B28" s="694">
        <v>37.287191637210057</v>
      </c>
      <c r="C28" s="694">
        <v>47.598305111394119</v>
      </c>
      <c r="D28" s="694">
        <v>51.5</v>
      </c>
      <c r="E28" s="694">
        <v>62.6</v>
      </c>
      <c r="F28" s="694">
        <v>73.5</v>
      </c>
      <c r="G28" s="694">
        <v>76.2</v>
      </c>
      <c r="H28" s="694">
        <v>76.790000000000006</v>
      </c>
      <c r="I28" s="293"/>
      <c r="J28" s="101">
        <v>6.7602556683928725</v>
      </c>
      <c r="K28" s="99">
        <v>8.3681587346508817</v>
      </c>
      <c r="L28" s="99">
        <v>9.8000000000000007</v>
      </c>
      <c r="M28" s="99">
        <v>13.4</v>
      </c>
      <c r="N28" s="99">
        <v>19.600000000000001</v>
      </c>
      <c r="O28" s="99">
        <v>23.4</v>
      </c>
      <c r="P28" s="99">
        <v>26.62</v>
      </c>
      <c r="Q28" s="293"/>
      <c r="R28" s="101">
        <v>37.970094546606319</v>
      </c>
      <c r="S28" s="100">
        <v>48.710812459778182</v>
      </c>
      <c r="T28" s="99">
        <v>52.4</v>
      </c>
      <c r="U28" s="99">
        <v>63.6</v>
      </c>
      <c r="V28" s="99">
        <v>76.599999999999994</v>
      </c>
      <c r="W28" s="99">
        <v>81.099999999999994</v>
      </c>
      <c r="X28" s="99">
        <v>83.31</v>
      </c>
      <c r="Y28" s="293"/>
      <c r="Z28" s="101">
        <v>6.9333303440441325</v>
      </c>
      <c r="AA28" s="99">
        <v>8.6710294277428144</v>
      </c>
      <c r="AB28" s="99">
        <v>10.199999999999999</v>
      </c>
      <c r="AC28" s="99">
        <v>13.8</v>
      </c>
      <c r="AD28" s="99">
        <v>20.8</v>
      </c>
      <c r="AE28" s="99">
        <v>25.4</v>
      </c>
      <c r="AF28" s="99">
        <v>29.79</v>
      </c>
      <c r="AG28" s="293"/>
      <c r="AH28" s="101" t="s">
        <v>255</v>
      </c>
      <c r="AI28" s="100" t="s">
        <v>255</v>
      </c>
      <c r="AJ28" s="99" t="s">
        <v>255</v>
      </c>
      <c r="AK28" s="99">
        <v>49.4</v>
      </c>
      <c r="AL28" s="99">
        <v>68.5</v>
      </c>
      <c r="AM28" s="99">
        <v>75.599999999999994</v>
      </c>
      <c r="AN28" s="99">
        <v>80.540000000000006</v>
      </c>
      <c r="AO28" s="293"/>
      <c r="AP28" s="101" t="s">
        <v>255</v>
      </c>
      <c r="AQ28" s="99" t="s">
        <v>255</v>
      </c>
      <c r="AR28" s="99" t="s">
        <v>255</v>
      </c>
      <c r="AS28" s="99">
        <v>5.9</v>
      </c>
      <c r="AT28" s="99">
        <v>11.3</v>
      </c>
      <c r="AU28" s="99">
        <v>14.8</v>
      </c>
      <c r="AV28" s="99">
        <v>17.18</v>
      </c>
      <c r="AW28" s="99"/>
    </row>
    <row r="29" spans="1:49" ht="12.75" customHeight="1">
      <c r="A29" s="38" t="s">
        <v>28</v>
      </c>
      <c r="B29" s="694">
        <v>32.054357656242559</v>
      </c>
      <c r="C29" s="694">
        <v>43.731984554304674</v>
      </c>
      <c r="D29" s="694">
        <v>52</v>
      </c>
      <c r="E29" s="694">
        <v>63.9</v>
      </c>
      <c r="F29" s="694">
        <v>78.599999999999994</v>
      </c>
      <c r="G29" s="694">
        <v>84.4</v>
      </c>
      <c r="H29" s="694">
        <v>86.93</v>
      </c>
      <c r="I29" s="293"/>
      <c r="J29" s="101">
        <v>5.9898138892855446</v>
      </c>
      <c r="K29" s="99">
        <v>8.3557676619350616</v>
      </c>
      <c r="L29" s="99">
        <v>10.7</v>
      </c>
      <c r="M29" s="99">
        <v>14.9</v>
      </c>
      <c r="N29" s="99">
        <v>23</v>
      </c>
      <c r="O29" s="99">
        <v>27</v>
      </c>
      <c r="P29" s="99">
        <v>32.69</v>
      </c>
      <c r="Q29" s="293"/>
      <c r="R29" s="101">
        <v>32.190682480051954</v>
      </c>
      <c r="S29" s="100">
        <v>43.83181194852687</v>
      </c>
      <c r="T29" s="99">
        <v>52.2</v>
      </c>
      <c r="U29" s="99">
        <v>64.2</v>
      </c>
      <c r="V29" s="99">
        <v>80.2</v>
      </c>
      <c r="W29" s="99">
        <v>86.1</v>
      </c>
      <c r="X29" s="99">
        <v>89.54</v>
      </c>
      <c r="Y29" s="293"/>
      <c r="Z29" s="101">
        <v>6.0379991845115208</v>
      </c>
      <c r="AA29" s="99">
        <v>8.4301802113778344</v>
      </c>
      <c r="AB29" s="99">
        <v>10.8</v>
      </c>
      <c r="AC29" s="99">
        <v>15.1</v>
      </c>
      <c r="AD29" s="99">
        <v>24</v>
      </c>
      <c r="AE29" s="99">
        <v>28.3</v>
      </c>
      <c r="AF29" s="99">
        <v>35</v>
      </c>
      <c r="AG29" s="293"/>
      <c r="AH29" s="101" t="s">
        <v>255</v>
      </c>
      <c r="AI29" s="100" t="s">
        <v>255</v>
      </c>
      <c r="AJ29" s="99" t="s">
        <v>255</v>
      </c>
      <c r="AK29" s="99">
        <v>55.2</v>
      </c>
      <c r="AL29" s="99">
        <v>74.400000000000006</v>
      </c>
      <c r="AM29" s="99">
        <v>80.8</v>
      </c>
      <c r="AN29" s="99">
        <v>84.38</v>
      </c>
      <c r="AO29" s="293"/>
      <c r="AP29" s="101" t="s">
        <v>255</v>
      </c>
      <c r="AQ29" s="99" t="s">
        <v>255</v>
      </c>
      <c r="AR29" s="99" t="s">
        <v>255</v>
      </c>
      <c r="AS29" s="99">
        <v>7.3</v>
      </c>
      <c r="AT29" s="99">
        <v>13.8</v>
      </c>
      <c r="AU29" s="99">
        <v>17.100000000000001</v>
      </c>
      <c r="AV29" s="99">
        <v>20.47</v>
      </c>
      <c r="AW29" s="99"/>
    </row>
    <row r="30" spans="1:49" ht="12.75" customHeight="1">
      <c r="A30" s="38" t="s">
        <v>29</v>
      </c>
      <c r="B30" s="694" t="s">
        <v>256</v>
      </c>
      <c r="C30" s="694" t="s">
        <v>256</v>
      </c>
      <c r="D30" s="694">
        <v>46.1</v>
      </c>
      <c r="E30" s="694">
        <v>61.9</v>
      </c>
      <c r="F30" s="694">
        <v>73.8</v>
      </c>
      <c r="G30" s="694">
        <v>80.099999999999994</v>
      </c>
      <c r="H30" s="694">
        <v>84.57</v>
      </c>
      <c r="I30" s="293"/>
      <c r="J30" s="104" t="s">
        <v>256</v>
      </c>
      <c r="K30" s="103" t="s">
        <v>256</v>
      </c>
      <c r="L30" s="99">
        <v>9</v>
      </c>
      <c r="M30" s="99">
        <v>14</v>
      </c>
      <c r="N30" s="99">
        <v>20.3</v>
      </c>
      <c r="O30" s="99">
        <v>22.9</v>
      </c>
      <c r="P30" s="99">
        <v>26.17</v>
      </c>
      <c r="Q30" s="293"/>
      <c r="R30" s="104" t="s">
        <v>256</v>
      </c>
      <c r="S30" s="103" t="s">
        <v>256</v>
      </c>
      <c r="T30" s="99">
        <v>62.5</v>
      </c>
      <c r="U30" s="99">
        <v>74.400000000000006</v>
      </c>
      <c r="V30" s="99">
        <v>85.7</v>
      </c>
      <c r="W30" s="99">
        <v>89.3</v>
      </c>
      <c r="X30" s="99">
        <v>92.66</v>
      </c>
      <c r="Y30" s="293"/>
      <c r="Z30" s="104" t="s">
        <v>256</v>
      </c>
      <c r="AA30" s="103" t="s">
        <v>256</v>
      </c>
      <c r="AB30" s="99">
        <v>16.3</v>
      </c>
      <c r="AC30" s="99">
        <v>21.5</v>
      </c>
      <c r="AD30" s="99">
        <v>28.2</v>
      </c>
      <c r="AE30" s="99">
        <v>30.2</v>
      </c>
      <c r="AF30" s="99">
        <v>36.5</v>
      </c>
      <c r="AG30" s="293"/>
      <c r="AH30" s="104" t="s">
        <v>256</v>
      </c>
      <c r="AI30" s="103" t="s">
        <v>256</v>
      </c>
      <c r="AJ30" s="99" t="s">
        <v>255</v>
      </c>
      <c r="AK30" s="99">
        <v>76.400000000000006</v>
      </c>
      <c r="AL30" s="99">
        <v>91.5</v>
      </c>
      <c r="AM30" s="99">
        <v>94.2</v>
      </c>
      <c r="AN30" s="99">
        <v>92.92</v>
      </c>
      <c r="AO30" s="293"/>
      <c r="AP30" s="104" t="s">
        <v>256</v>
      </c>
      <c r="AQ30" s="103" t="s">
        <v>256</v>
      </c>
      <c r="AR30" s="99" t="s">
        <v>255</v>
      </c>
      <c r="AS30" s="99">
        <v>11.4</v>
      </c>
      <c r="AT30" s="99">
        <v>14</v>
      </c>
      <c r="AU30" s="99">
        <v>15.2</v>
      </c>
      <c r="AV30" s="99">
        <v>21</v>
      </c>
      <c r="AW30" s="99"/>
    </row>
    <row r="31" spans="1:49" ht="12.75" customHeight="1">
      <c r="A31" s="38" t="s">
        <v>30</v>
      </c>
      <c r="B31" s="694">
        <v>30.530258302583025</v>
      </c>
      <c r="C31" s="694">
        <v>40.745676765050057</v>
      </c>
      <c r="D31" s="694">
        <v>48.6</v>
      </c>
      <c r="E31" s="694">
        <v>59.5</v>
      </c>
      <c r="F31" s="694">
        <v>73.7</v>
      </c>
      <c r="G31" s="694">
        <v>79.7</v>
      </c>
      <c r="H31" s="694">
        <v>84.72</v>
      </c>
      <c r="I31" s="293"/>
      <c r="J31" s="101">
        <v>4.4963099630996313</v>
      </c>
      <c r="K31" s="99">
        <v>5.5746976986087633</v>
      </c>
      <c r="L31" s="99">
        <v>7.2</v>
      </c>
      <c r="M31" s="99">
        <v>10</v>
      </c>
      <c r="N31" s="99">
        <v>15.8</v>
      </c>
      <c r="O31" s="99">
        <v>17.7</v>
      </c>
      <c r="P31" s="99">
        <v>21.67</v>
      </c>
      <c r="Q31" s="293"/>
      <c r="R31" s="101">
        <v>30.725877994051036</v>
      </c>
      <c r="S31" s="100">
        <v>40.923653211099605</v>
      </c>
      <c r="T31" s="99">
        <v>48.7</v>
      </c>
      <c r="U31" s="99">
        <v>59.6</v>
      </c>
      <c r="V31" s="99">
        <v>74.599999999999994</v>
      </c>
      <c r="W31" s="99">
        <v>80.900000000000006</v>
      </c>
      <c r="X31" s="99">
        <v>86.58</v>
      </c>
      <c r="Y31" s="293"/>
      <c r="Z31" s="101">
        <v>4.5314258876853462</v>
      </c>
      <c r="AA31" s="99">
        <v>5.6105935893012635</v>
      </c>
      <c r="AB31" s="99">
        <v>7.2</v>
      </c>
      <c r="AC31" s="99">
        <v>10</v>
      </c>
      <c r="AD31" s="99">
        <v>16.100000000000001</v>
      </c>
      <c r="AE31" s="99">
        <v>18</v>
      </c>
      <c r="AF31" s="99">
        <v>22.31</v>
      </c>
      <c r="AG31" s="293"/>
      <c r="AH31" s="101" t="s">
        <v>255</v>
      </c>
      <c r="AI31" s="100" t="s">
        <v>255</v>
      </c>
      <c r="AJ31" s="99" t="s">
        <v>255</v>
      </c>
      <c r="AK31" s="99">
        <v>52.7</v>
      </c>
      <c r="AL31" s="99">
        <v>74.400000000000006</v>
      </c>
      <c r="AM31" s="99">
        <v>82.8</v>
      </c>
      <c r="AN31" s="99">
        <v>82.55</v>
      </c>
      <c r="AO31" s="293"/>
      <c r="AP31" s="101" t="s">
        <v>255</v>
      </c>
      <c r="AQ31" s="99" t="s">
        <v>255</v>
      </c>
      <c r="AR31" s="99" t="s">
        <v>255</v>
      </c>
      <c r="AS31" s="99">
        <v>3.5</v>
      </c>
      <c r="AT31" s="99">
        <v>15.2</v>
      </c>
      <c r="AU31" s="99">
        <v>15.8</v>
      </c>
      <c r="AV31" s="99">
        <v>22.45</v>
      </c>
      <c r="AW31" s="99"/>
    </row>
    <row r="32" spans="1:49" ht="12.75" customHeight="1">
      <c r="A32" s="38" t="s">
        <v>31</v>
      </c>
      <c r="B32" s="694">
        <v>29.350010882228684</v>
      </c>
      <c r="C32" s="694">
        <v>39.978000488878024</v>
      </c>
      <c r="D32" s="694">
        <v>47.8</v>
      </c>
      <c r="E32" s="694">
        <v>59.2</v>
      </c>
      <c r="F32" s="694">
        <v>74.400000000000006</v>
      </c>
      <c r="G32" s="694">
        <v>81</v>
      </c>
      <c r="H32" s="694">
        <v>87.15</v>
      </c>
      <c r="I32" s="293"/>
      <c r="J32" s="101">
        <v>4.8262684197723695</v>
      </c>
      <c r="K32" s="99">
        <v>6.2545832314837444</v>
      </c>
      <c r="L32" s="99">
        <v>7.5</v>
      </c>
      <c r="M32" s="99">
        <v>11</v>
      </c>
      <c r="N32" s="99">
        <v>17.5</v>
      </c>
      <c r="O32" s="99">
        <v>19.8</v>
      </c>
      <c r="P32" s="99">
        <v>24.37</v>
      </c>
      <c r="Q32" s="293"/>
      <c r="R32" s="101">
        <v>29.880665123684775</v>
      </c>
      <c r="S32" s="100">
        <v>40.602667750863972</v>
      </c>
      <c r="T32" s="99">
        <v>48.5</v>
      </c>
      <c r="U32" s="99">
        <v>60.1</v>
      </c>
      <c r="V32" s="99">
        <v>75.2</v>
      </c>
      <c r="W32" s="99">
        <v>81.7</v>
      </c>
      <c r="X32" s="99">
        <v>87.85</v>
      </c>
      <c r="Y32" s="293"/>
      <c r="Z32" s="101">
        <v>4.931632770309089</v>
      </c>
      <c r="AA32" s="99">
        <v>6.3628829223287307</v>
      </c>
      <c r="AB32" s="99">
        <v>7.7</v>
      </c>
      <c r="AC32" s="99">
        <v>11.3</v>
      </c>
      <c r="AD32" s="99">
        <v>17.899999999999999</v>
      </c>
      <c r="AE32" s="99">
        <v>20.3</v>
      </c>
      <c r="AF32" s="99">
        <v>25.1</v>
      </c>
      <c r="AG32" s="293"/>
      <c r="AH32" s="101" t="s">
        <v>255</v>
      </c>
      <c r="AI32" s="100" t="s">
        <v>255</v>
      </c>
      <c r="AJ32" s="99" t="s">
        <v>255</v>
      </c>
      <c r="AK32" s="99">
        <v>61</v>
      </c>
      <c r="AL32" s="99">
        <v>80.3</v>
      </c>
      <c r="AM32" s="99">
        <v>80.900000000000006</v>
      </c>
      <c r="AN32" s="99">
        <v>91.15</v>
      </c>
      <c r="AO32" s="293"/>
      <c r="AP32" s="101" t="s">
        <v>255</v>
      </c>
      <c r="AQ32" s="99" t="s">
        <v>255</v>
      </c>
      <c r="AR32" s="99" t="s">
        <v>255</v>
      </c>
      <c r="AS32" s="99">
        <v>10.199999999999999</v>
      </c>
      <c r="AT32" s="99">
        <v>17.399999999999999</v>
      </c>
      <c r="AU32" s="99">
        <v>18.399999999999999</v>
      </c>
      <c r="AV32" s="99">
        <v>33.19</v>
      </c>
      <c r="AW32" s="99"/>
    </row>
    <row r="33" spans="1:49" ht="12.75" customHeight="1">
      <c r="A33" s="38" t="s">
        <v>32</v>
      </c>
      <c r="B33" s="694">
        <v>35.634611877697402</v>
      </c>
      <c r="C33" s="694">
        <v>46.50005351600128</v>
      </c>
      <c r="D33" s="694">
        <v>53.3</v>
      </c>
      <c r="E33" s="694">
        <v>65.2</v>
      </c>
      <c r="F33" s="694">
        <v>75.5</v>
      </c>
      <c r="G33" s="694">
        <v>78.8</v>
      </c>
      <c r="H33" s="694">
        <v>80.66</v>
      </c>
      <c r="I33" s="293"/>
      <c r="J33" s="101">
        <v>6.6926022734180286</v>
      </c>
      <c r="K33" s="99">
        <v>7.5885689821256559</v>
      </c>
      <c r="L33" s="99">
        <v>8.3000000000000007</v>
      </c>
      <c r="M33" s="99">
        <v>10.8</v>
      </c>
      <c r="N33" s="99">
        <v>14.4</v>
      </c>
      <c r="O33" s="99">
        <v>15.3</v>
      </c>
      <c r="P33" s="99">
        <v>18.16</v>
      </c>
      <c r="Q33" s="293"/>
      <c r="R33" s="101">
        <v>36.921432900570991</v>
      </c>
      <c r="S33" s="100">
        <v>48.298820741409472</v>
      </c>
      <c r="T33" s="99">
        <v>55.2</v>
      </c>
      <c r="U33" s="99">
        <v>66.900000000000006</v>
      </c>
      <c r="V33" s="99">
        <v>76.900000000000006</v>
      </c>
      <c r="W33" s="99">
        <v>80.900000000000006</v>
      </c>
      <c r="X33" s="99">
        <v>83.87</v>
      </c>
      <c r="Y33" s="293"/>
      <c r="Z33" s="101">
        <v>6.9683243484640656</v>
      </c>
      <c r="AA33" s="99">
        <v>7.944478925689781</v>
      </c>
      <c r="AB33" s="99">
        <v>8.6999999999999993</v>
      </c>
      <c r="AC33" s="99">
        <v>11.2</v>
      </c>
      <c r="AD33" s="99">
        <v>14.9</v>
      </c>
      <c r="AE33" s="99">
        <v>15.9</v>
      </c>
      <c r="AF33" s="99">
        <v>19.329999999999998</v>
      </c>
      <c r="AG33" s="293"/>
      <c r="AH33" s="101" t="s">
        <v>255</v>
      </c>
      <c r="AI33" s="100" t="s">
        <v>255</v>
      </c>
      <c r="AJ33" s="99" t="s">
        <v>255</v>
      </c>
      <c r="AK33" s="99">
        <v>36.200000000000003</v>
      </c>
      <c r="AL33" s="99">
        <v>61.4</v>
      </c>
      <c r="AM33" s="99">
        <v>70.8</v>
      </c>
      <c r="AN33" s="99">
        <v>78.930000000000007</v>
      </c>
      <c r="AO33" s="293"/>
      <c r="AP33" s="101" t="s">
        <v>255</v>
      </c>
      <c r="AQ33" s="99" t="s">
        <v>255</v>
      </c>
      <c r="AR33" s="99" t="s">
        <v>255</v>
      </c>
      <c r="AS33" s="99">
        <v>3.6</v>
      </c>
      <c r="AT33" s="99">
        <v>8</v>
      </c>
      <c r="AU33" s="99">
        <v>9</v>
      </c>
      <c r="AV33" s="99">
        <v>12.02</v>
      </c>
      <c r="AW33" s="99"/>
    </row>
    <row r="34" spans="1:49" ht="12.75" customHeight="1">
      <c r="A34" s="38" t="s">
        <v>33</v>
      </c>
      <c r="B34" s="694">
        <v>23.764560609178844</v>
      </c>
      <c r="C34" s="694">
        <v>35.581220266222431</v>
      </c>
      <c r="D34" s="694">
        <v>45.5</v>
      </c>
      <c r="E34" s="694">
        <v>55.2</v>
      </c>
      <c r="F34" s="694">
        <v>68.900000000000006</v>
      </c>
      <c r="G34" s="694">
        <v>75.099999999999994</v>
      </c>
      <c r="H34" s="694">
        <v>78.849999999999994</v>
      </c>
      <c r="I34" s="293"/>
      <c r="J34" s="101">
        <v>4.5239761267750564</v>
      </c>
      <c r="K34" s="99">
        <v>7.1457175351198954</v>
      </c>
      <c r="L34" s="99">
        <v>9.8000000000000007</v>
      </c>
      <c r="M34" s="99">
        <v>12.7</v>
      </c>
      <c r="N34" s="99">
        <v>17.600000000000001</v>
      </c>
      <c r="O34" s="99">
        <v>20.399999999999999</v>
      </c>
      <c r="P34" s="99">
        <v>23.45</v>
      </c>
      <c r="Q34" s="293"/>
      <c r="R34" s="101">
        <v>24.989640183743465</v>
      </c>
      <c r="S34" s="100">
        <v>36.877471026419833</v>
      </c>
      <c r="T34" s="99">
        <v>47.3</v>
      </c>
      <c r="U34" s="99">
        <v>57.2</v>
      </c>
      <c r="V34" s="99">
        <v>73.400000000000006</v>
      </c>
      <c r="W34" s="99">
        <v>78.599999999999994</v>
      </c>
      <c r="X34" s="99">
        <v>83.31</v>
      </c>
      <c r="Y34" s="293"/>
      <c r="Z34" s="101">
        <v>4.8029871538278419</v>
      </c>
      <c r="AA34" s="99">
        <v>7.5068297897612544</v>
      </c>
      <c r="AB34" s="99">
        <v>10.3</v>
      </c>
      <c r="AC34" s="99">
        <v>13.4</v>
      </c>
      <c r="AD34" s="99">
        <v>20.100000000000001</v>
      </c>
      <c r="AE34" s="99">
        <v>23.4</v>
      </c>
      <c r="AF34" s="99">
        <v>28</v>
      </c>
      <c r="AG34" s="293"/>
      <c r="AH34" s="101" t="s">
        <v>255</v>
      </c>
      <c r="AI34" s="100" t="s">
        <v>255</v>
      </c>
      <c r="AJ34" s="99" t="s">
        <v>255</v>
      </c>
      <c r="AK34" s="99">
        <v>41.3</v>
      </c>
      <c r="AL34" s="99">
        <v>62.8</v>
      </c>
      <c r="AM34" s="99">
        <v>74.7</v>
      </c>
      <c r="AN34" s="99">
        <v>79.37</v>
      </c>
      <c r="AO34" s="293"/>
      <c r="AP34" s="101" t="s">
        <v>255</v>
      </c>
      <c r="AQ34" s="99" t="s">
        <v>255</v>
      </c>
      <c r="AR34" s="99" t="s">
        <v>255</v>
      </c>
      <c r="AS34" s="99">
        <v>6.9</v>
      </c>
      <c r="AT34" s="99">
        <v>10.3</v>
      </c>
      <c r="AU34" s="99">
        <v>14.2</v>
      </c>
      <c r="AV34" s="99">
        <v>18.8</v>
      </c>
      <c r="AW34" s="99"/>
    </row>
    <row r="35" spans="1:49" ht="12.75" customHeight="1">
      <c r="A35" s="38" t="s">
        <v>34</v>
      </c>
      <c r="B35" s="694">
        <v>33.067500471936981</v>
      </c>
      <c r="C35" s="694">
        <v>43.056927828183312</v>
      </c>
      <c r="D35" s="694">
        <v>48.4</v>
      </c>
      <c r="E35" s="694">
        <v>60</v>
      </c>
      <c r="F35" s="694">
        <v>75.599999999999994</v>
      </c>
      <c r="G35" s="694">
        <v>81.5</v>
      </c>
      <c r="H35" s="694">
        <v>85.13</v>
      </c>
      <c r="I35" s="293"/>
      <c r="J35" s="101">
        <v>5.506980172654024</v>
      </c>
      <c r="K35" s="99">
        <v>6.8304360345304573</v>
      </c>
      <c r="L35" s="99">
        <v>8.5</v>
      </c>
      <c r="M35" s="99">
        <v>11.8</v>
      </c>
      <c r="N35" s="99">
        <v>17.899999999999999</v>
      </c>
      <c r="O35" s="99">
        <v>20.6</v>
      </c>
      <c r="P35" s="99">
        <v>25.08</v>
      </c>
      <c r="Q35" s="293"/>
      <c r="R35" s="101">
        <v>33.217090961423388</v>
      </c>
      <c r="S35" s="100">
        <v>43.199908574040741</v>
      </c>
      <c r="T35" s="99">
        <v>48.6</v>
      </c>
      <c r="U35" s="99">
        <v>60.3</v>
      </c>
      <c r="V35" s="99">
        <v>76.099999999999994</v>
      </c>
      <c r="W35" s="99">
        <v>82.3</v>
      </c>
      <c r="X35" s="99">
        <v>87.11</v>
      </c>
      <c r="Y35" s="293"/>
      <c r="Z35" s="101">
        <v>5.5384289101141464</v>
      </c>
      <c r="AA35" s="99">
        <v>6.8598040055998402</v>
      </c>
      <c r="AB35" s="99">
        <v>8.5</v>
      </c>
      <c r="AC35" s="99">
        <v>11.8</v>
      </c>
      <c r="AD35" s="99">
        <v>17.899999999999999</v>
      </c>
      <c r="AE35" s="99">
        <v>20.8</v>
      </c>
      <c r="AF35" s="99">
        <v>25.71</v>
      </c>
      <c r="AG35" s="293"/>
      <c r="AH35" s="101" t="s">
        <v>255</v>
      </c>
      <c r="AI35" s="100" t="s">
        <v>255</v>
      </c>
      <c r="AJ35" s="99" t="s">
        <v>255</v>
      </c>
      <c r="AK35" s="99">
        <v>42.8</v>
      </c>
      <c r="AL35" s="99">
        <v>68</v>
      </c>
      <c r="AM35" s="99">
        <v>75</v>
      </c>
      <c r="AN35" s="99">
        <v>79.77</v>
      </c>
      <c r="AO35" s="293"/>
      <c r="AP35" s="101" t="s">
        <v>255</v>
      </c>
      <c r="AQ35" s="99" t="s">
        <v>255</v>
      </c>
      <c r="AR35" s="99" t="s">
        <v>255</v>
      </c>
      <c r="AS35" s="99">
        <v>7</v>
      </c>
      <c r="AT35" s="99">
        <v>12.2</v>
      </c>
      <c r="AU35" s="99">
        <v>15.2</v>
      </c>
      <c r="AV35" s="99">
        <v>17.8</v>
      </c>
      <c r="AW35" s="99"/>
    </row>
    <row r="36" spans="1:49" ht="12.75" customHeight="1">
      <c r="A36" s="141" t="s">
        <v>35</v>
      </c>
      <c r="B36" s="694">
        <v>36.996679393772638</v>
      </c>
      <c r="C36" s="694">
        <v>49.903572276287683</v>
      </c>
      <c r="D36" s="694">
        <v>55.8</v>
      </c>
      <c r="E36" s="694">
        <v>67.3</v>
      </c>
      <c r="F36" s="694">
        <v>80</v>
      </c>
      <c r="G36" s="694">
        <v>85.1</v>
      </c>
      <c r="H36" s="694">
        <v>87.73</v>
      </c>
      <c r="I36" s="295"/>
      <c r="J36" s="101">
        <v>6.1527328099263885</v>
      </c>
      <c r="K36" s="99">
        <v>7.770591027771184</v>
      </c>
      <c r="L36" s="99">
        <v>10.199999999999999</v>
      </c>
      <c r="M36" s="99">
        <v>14</v>
      </c>
      <c r="N36" s="99">
        <v>19.899999999999999</v>
      </c>
      <c r="O36" s="99">
        <v>22.3</v>
      </c>
      <c r="P36" s="99">
        <v>26.13</v>
      </c>
      <c r="Q36" s="295"/>
      <c r="R36" s="101">
        <v>37.258132802398364</v>
      </c>
      <c r="S36" s="100">
        <v>50.162222524031577</v>
      </c>
      <c r="T36" s="99">
        <v>56.1</v>
      </c>
      <c r="U36" s="99">
        <v>67.599999999999994</v>
      </c>
      <c r="V36" s="99">
        <v>80.900000000000006</v>
      </c>
      <c r="W36" s="99">
        <v>86.2</v>
      </c>
      <c r="X36" s="99">
        <v>89.86</v>
      </c>
      <c r="Y36" s="295"/>
      <c r="Z36" s="101">
        <v>6.2072095781889471</v>
      </c>
      <c r="AA36" s="99">
        <v>7.8591153968038396</v>
      </c>
      <c r="AB36" s="99">
        <v>10.199999999999999</v>
      </c>
      <c r="AC36" s="99">
        <v>14</v>
      </c>
      <c r="AD36" s="99">
        <v>20.2</v>
      </c>
      <c r="AE36" s="99">
        <v>22.7</v>
      </c>
      <c r="AF36" s="99">
        <v>27.1</v>
      </c>
      <c r="AG36" s="295"/>
      <c r="AH36" s="101" t="s">
        <v>255</v>
      </c>
      <c r="AI36" s="100" t="s">
        <v>255</v>
      </c>
      <c r="AJ36" s="99" t="s">
        <v>255</v>
      </c>
      <c r="AK36" s="99">
        <v>45.4</v>
      </c>
      <c r="AL36" s="99">
        <v>69.7</v>
      </c>
      <c r="AM36" s="99">
        <v>77</v>
      </c>
      <c r="AN36" s="99">
        <v>83.18</v>
      </c>
      <c r="AO36" s="295"/>
      <c r="AP36" s="101" t="s">
        <v>255</v>
      </c>
      <c r="AQ36" s="99" t="s">
        <v>255</v>
      </c>
      <c r="AR36" s="99" t="s">
        <v>255</v>
      </c>
      <c r="AS36" s="99">
        <v>8.6</v>
      </c>
      <c r="AT36" s="99">
        <v>13.9</v>
      </c>
      <c r="AU36" s="99">
        <v>15.9</v>
      </c>
      <c r="AV36" s="99">
        <v>19.77</v>
      </c>
      <c r="AW36" s="99"/>
    </row>
    <row r="37" spans="1:49" ht="12.75" customHeight="1">
      <c r="A37" s="141" t="s">
        <v>36</v>
      </c>
      <c r="B37" s="694">
        <v>33.614877240969896</v>
      </c>
      <c r="C37" s="694">
        <v>44.971475976596047</v>
      </c>
      <c r="D37" s="694">
        <v>51.5</v>
      </c>
      <c r="E37" s="694">
        <v>63.5</v>
      </c>
      <c r="F37" s="694">
        <v>77.599999999999994</v>
      </c>
      <c r="G37" s="694">
        <v>83.8</v>
      </c>
      <c r="H37" s="694">
        <v>87.08</v>
      </c>
      <c r="I37" s="295"/>
      <c r="J37" s="101">
        <v>5.5846012515428241</v>
      </c>
      <c r="K37" s="99">
        <v>7.4140533349900783</v>
      </c>
      <c r="L37" s="99">
        <v>9.3000000000000007</v>
      </c>
      <c r="M37" s="99">
        <v>12.7</v>
      </c>
      <c r="N37" s="99">
        <v>19</v>
      </c>
      <c r="O37" s="99">
        <v>22.9</v>
      </c>
      <c r="P37" s="99">
        <v>27.73</v>
      </c>
      <c r="Q37" s="295"/>
      <c r="R37" s="101">
        <v>33.820676109132364</v>
      </c>
      <c r="S37" s="100">
        <v>45.362954535247532</v>
      </c>
      <c r="T37" s="99">
        <v>51.9</v>
      </c>
      <c r="U37" s="99">
        <v>63.9</v>
      </c>
      <c r="V37" s="99">
        <v>78.3</v>
      </c>
      <c r="W37" s="99">
        <v>85</v>
      </c>
      <c r="X37" s="99">
        <v>89.26</v>
      </c>
      <c r="Y37" s="295"/>
      <c r="Z37" s="101">
        <v>5.6396350002345139</v>
      </c>
      <c r="AA37" s="99">
        <v>7.5068489049237268</v>
      </c>
      <c r="AB37" s="99">
        <v>9.4</v>
      </c>
      <c r="AC37" s="99">
        <v>12.8</v>
      </c>
      <c r="AD37" s="99">
        <v>19.100000000000001</v>
      </c>
      <c r="AE37" s="99">
        <v>23.3</v>
      </c>
      <c r="AF37" s="99">
        <v>28.55</v>
      </c>
      <c r="AG37" s="295"/>
      <c r="AH37" s="101" t="s">
        <v>255</v>
      </c>
      <c r="AI37" s="100" t="s">
        <v>255</v>
      </c>
      <c r="AJ37" s="99" t="s">
        <v>255</v>
      </c>
      <c r="AK37" s="99">
        <v>48.6</v>
      </c>
      <c r="AL37" s="99">
        <v>72.599999999999994</v>
      </c>
      <c r="AM37" s="99">
        <v>81.2</v>
      </c>
      <c r="AN37" s="99">
        <v>83.95</v>
      </c>
      <c r="AO37" s="295"/>
      <c r="AP37" s="101" t="s">
        <v>255</v>
      </c>
      <c r="AQ37" s="99" t="s">
        <v>255</v>
      </c>
      <c r="AR37" s="99" t="s">
        <v>255</v>
      </c>
      <c r="AS37" s="99">
        <v>5.6</v>
      </c>
      <c r="AT37" s="99">
        <v>12.7</v>
      </c>
      <c r="AU37" s="99">
        <v>15.4</v>
      </c>
      <c r="AV37" s="99">
        <v>19.37</v>
      </c>
      <c r="AW37" s="99"/>
    </row>
    <row r="38" spans="1:49" ht="12.75" customHeight="1">
      <c r="A38" s="140" t="s">
        <v>37</v>
      </c>
      <c r="B38" s="695">
        <v>32.913939501149834</v>
      </c>
      <c r="C38" s="695">
        <v>44.356390437987152</v>
      </c>
      <c r="D38" s="695">
        <v>52</v>
      </c>
      <c r="E38" s="695">
        <v>62.9</v>
      </c>
      <c r="F38" s="695">
        <v>77.900000000000006</v>
      </c>
      <c r="G38" s="695">
        <v>83</v>
      </c>
      <c r="H38" s="695">
        <v>87.86</v>
      </c>
      <c r="I38" s="294"/>
      <c r="J38" s="107">
        <v>5.1322306739784187</v>
      </c>
      <c r="K38" s="105">
        <v>7.3280500929458956</v>
      </c>
      <c r="L38" s="105">
        <v>8.6999999999999993</v>
      </c>
      <c r="M38" s="105">
        <v>11.8</v>
      </c>
      <c r="N38" s="105">
        <v>17.2</v>
      </c>
      <c r="O38" s="105">
        <v>18.8</v>
      </c>
      <c r="P38" s="105">
        <v>21.91</v>
      </c>
      <c r="Q38" s="294"/>
      <c r="R38" s="107">
        <v>33.203983670539678</v>
      </c>
      <c r="S38" s="106">
        <v>44.748707068028118</v>
      </c>
      <c r="T38" s="105">
        <v>52.4</v>
      </c>
      <c r="U38" s="105">
        <v>63.2</v>
      </c>
      <c r="V38" s="105">
        <v>78.8</v>
      </c>
      <c r="W38" s="105">
        <v>83.9</v>
      </c>
      <c r="X38" s="105">
        <v>88.77</v>
      </c>
      <c r="Y38" s="294"/>
      <c r="Z38" s="107">
        <v>5.1889402299881864</v>
      </c>
      <c r="AA38" s="105">
        <v>7.4061795517835831</v>
      </c>
      <c r="AB38" s="105">
        <v>8.8000000000000007</v>
      </c>
      <c r="AC38" s="105">
        <v>11.9</v>
      </c>
      <c r="AD38" s="105">
        <v>17.600000000000001</v>
      </c>
      <c r="AE38" s="105">
        <v>19.3</v>
      </c>
      <c r="AF38" s="105">
        <v>22.59</v>
      </c>
      <c r="AG38" s="294"/>
      <c r="AH38" s="107" t="s">
        <v>255</v>
      </c>
      <c r="AI38" s="106" t="s">
        <v>255</v>
      </c>
      <c r="AJ38" s="105" t="s">
        <v>255</v>
      </c>
      <c r="AK38" s="105">
        <v>43.5</v>
      </c>
      <c r="AL38" s="105">
        <v>75.400000000000006</v>
      </c>
      <c r="AM38" s="105">
        <v>81.2</v>
      </c>
      <c r="AN38" s="105">
        <v>86.66</v>
      </c>
      <c r="AO38" s="294"/>
      <c r="AP38" s="107" t="s">
        <v>255</v>
      </c>
      <c r="AQ38" s="105" t="s">
        <v>255</v>
      </c>
      <c r="AR38" s="105" t="s">
        <v>255</v>
      </c>
      <c r="AS38" s="105">
        <v>4.0999999999999996</v>
      </c>
      <c r="AT38" s="105">
        <v>9.8000000000000007</v>
      </c>
      <c r="AU38" s="105">
        <v>9.5</v>
      </c>
      <c r="AV38" s="105">
        <v>18.64</v>
      </c>
      <c r="AW38" s="105"/>
    </row>
    <row r="39" spans="1:49" ht="12.75" customHeight="1">
      <c r="A39" s="38" t="s">
        <v>38</v>
      </c>
      <c r="B39" s="694">
        <v>24.955776040395676</v>
      </c>
      <c r="C39" s="694">
        <v>35.43010823967613</v>
      </c>
      <c r="D39" s="694">
        <v>41.714596542971719</v>
      </c>
      <c r="E39" s="694">
        <v>53.701022088441377</v>
      </c>
      <c r="F39" s="694">
        <v>68</v>
      </c>
      <c r="G39" s="694">
        <v>77.099999999999994</v>
      </c>
      <c r="H39" s="694">
        <v>83.467056256605105</v>
      </c>
      <c r="I39" s="293"/>
      <c r="J39" s="101">
        <v>4.2297763335059733</v>
      </c>
      <c r="K39" s="99">
        <v>5.6283617742915366</v>
      </c>
      <c r="L39" s="99">
        <v>6.8768128769494741</v>
      </c>
      <c r="M39" s="99">
        <v>9.6174841163492779</v>
      </c>
      <c r="N39" s="99">
        <v>14.729637717921809</v>
      </c>
      <c r="O39" s="99">
        <v>18.399999999999999</v>
      </c>
      <c r="P39" s="99">
        <v>22.910526509529198</v>
      </c>
      <c r="Q39" s="293"/>
      <c r="R39" s="101">
        <v>25.44162010665017</v>
      </c>
      <c r="S39" s="99">
        <v>36.237570308330255</v>
      </c>
      <c r="T39" s="99">
        <v>42.773748263919245</v>
      </c>
      <c r="U39" s="99">
        <v>54.990299464403755</v>
      </c>
      <c r="V39" s="99">
        <v>69.3</v>
      </c>
      <c r="W39" s="99">
        <v>78.607847900994614</v>
      </c>
      <c r="X39" s="99">
        <v>85.272768798360545</v>
      </c>
      <c r="Y39" s="293"/>
      <c r="Z39" s="101">
        <v>4.3237231176323077</v>
      </c>
      <c r="AA39" s="99">
        <v>5.791517838814304</v>
      </c>
      <c r="AB39" s="99">
        <v>7.1148002814190159</v>
      </c>
      <c r="AC39" s="99">
        <v>9.9709693666508574</v>
      </c>
      <c r="AD39" s="99">
        <v>15.2</v>
      </c>
      <c r="AE39" s="99">
        <v>23.91184828310044</v>
      </c>
      <c r="AF39" s="99">
        <v>23.686332730400512</v>
      </c>
      <c r="AG39" s="293"/>
      <c r="AH39" s="101">
        <v>12.598030430551239</v>
      </c>
      <c r="AI39" s="99">
        <v>20.159712408963152</v>
      </c>
      <c r="AJ39" s="99">
        <v>26.067791207039644</v>
      </c>
      <c r="AK39" s="99">
        <v>36.490209959882606</v>
      </c>
      <c r="AL39" s="99">
        <v>54.9</v>
      </c>
      <c r="AM39" s="99">
        <v>65.3</v>
      </c>
      <c r="AN39" s="99">
        <v>73.885239661997943</v>
      </c>
      <c r="AO39" s="293"/>
      <c r="AP39" s="101">
        <v>1.8401477290514896</v>
      </c>
      <c r="AQ39" s="99">
        <v>2.5428203177166639</v>
      </c>
      <c r="AR39" s="99">
        <v>3.3610346211134381</v>
      </c>
      <c r="AS39" s="99">
        <v>4.028120636123508</v>
      </c>
      <c r="AT39" s="99">
        <v>7.9</v>
      </c>
      <c r="AU39" s="99">
        <v>10.4</v>
      </c>
      <c r="AV39" s="99">
        <v>13.267898437163893</v>
      </c>
      <c r="AW39" s="99"/>
    </row>
    <row r="40" spans="1:49" ht="12.75" customHeight="1">
      <c r="A40" s="38" t="s">
        <v>150</v>
      </c>
      <c r="B40" s="694"/>
      <c r="C40" s="694"/>
      <c r="D40" s="694"/>
      <c r="E40" s="694"/>
      <c r="F40" s="694"/>
      <c r="G40" s="694"/>
      <c r="H40" s="694"/>
      <c r="I40" s="293"/>
      <c r="J40" s="102"/>
      <c r="Q40" s="293"/>
      <c r="R40" s="102"/>
      <c r="Y40" s="293"/>
      <c r="Z40" s="102"/>
      <c r="AG40" s="293"/>
      <c r="AH40" s="102"/>
      <c r="AO40" s="293"/>
      <c r="AP40" s="102"/>
    </row>
    <row r="41" spans="1:49" ht="12.75" customHeight="1">
      <c r="A41" s="38" t="s">
        <v>39</v>
      </c>
      <c r="B41" s="694">
        <v>24.309785831533461</v>
      </c>
      <c r="C41" s="694">
        <v>35.075429338009876</v>
      </c>
      <c r="D41" s="694">
        <v>40.4</v>
      </c>
      <c r="E41" s="694">
        <v>52.6</v>
      </c>
      <c r="F41" s="694">
        <v>66.5</v>
      </c>
      <c r="G41" s="694">
        <v>76.2</v>
      </c>
      <c r="H41" s="694">
        <v>81.430000000000007</v>
      </c>
      <c r="I41" s="293"/>
      <c r="J41" s="101">
        <v>4.5248969980128058</v>
      </c>
      <c r="K41" s="99">
        <v>6.0721308847621387</v>
      </c>
      <c r="L41" s="99">
        <v>7.3</v>
      </c>
      <c r="M41" s="99">
        <v>10.3</v>
      </c>
      <c r="N41" s="99">
        <v>16.2</v>
      </c>
      <c r="O41" s="99">
        <v>21</v>
      </c>
      <c r="P41" s="99">
        <v>26.06</v>
      </c>
      <c r="Q41" s="293"/>
      <c r="R41" s="101">
        <v>24.847717646354578</v>
      </c>
      <c r="S41" s="100">
        <v>36.042232420210112</v>
      </c>
      <c r="T41" s="99">
        <v>41.7</v>
      </c>
      <c r="U41" s="99">
        <v>54.3</v>
      </c>
      <c r="V41" s="99">
        <v>68.7</v>
      </c>
      <c r="W41" s="99">
        <v>79.099999999999994</v>
      </c>
      <c r="X41" s="99">
        <v>84.96</v>
      </c>
      <c r="Y41" s="293"/>
      <c r="Z41" s="101">
        <v>4.654850873552058</v>
      </c>
      <c r="AA41" s="99">
        <v>6.3218042143990418</v>
      </c>
      <c r="AB41" s="99">
        <v>7.7</v>
      </c>
      <c r="AC41" s="99">
        <v>10.9</v>
      </c>
      <c r="AD41" s="99">
        <v>17</v>
      </c>
      <c r="AE41" s="99">
        <v>22.4</v>
      </c>
      <c r="AF41" s="99">
        <v>27.82</v>
      </c>
      <c r="AG41" s="293"/>
      <c r="AH41" s="101">
        <v>14.136655165668479</v>
      </c>
      <c r="AI41" s="100">
        <v>22.629196230011651</v>
      </c>
      <c r="AJ41" s="99">
        <v>27.417455119659333</v>
      </c>
      <c r="AK41" s="99">
        <v>38.200000000000003</v>
      </c>
      <c r="AL41" s="99">
        <v>54.6</v>
      </c>
      <c r="AM41" s="99">
        <v>65.2</v>
      </c>
      <c r="AN41" s="99">
        <v>73.02</v>
      </c>
      <c r="AO41" s="293"/>
      <c r="AP41" s="101">
        <v>2.0672662723863668</v>
      </c>
      <c r="AQ41" s="99">
        <v>2.8579370962617814</v>
      </c>
      <c r="AR41" s="99">
        <v>3.5408735140812131</v>
      </c>
      <c r="AS41" s="99">
        <v>4.0999999999999996</v>
      </c>
      <c r="AT41" s="99">
        <v>8.3000000000000007</v>
      </c>
      <c r="AU41" s="99">
        <v>11.4</v>
      </c>
      <c r="AV41" s="99">
        <v>14.69</v>
      </c>
      <c r="AW41" s="99"/>
    </row>
    <row r="42" spans="1:49" ht="12.75" customHeight="1">
      <c r="A42" s="38" t="s">
        <v>40</v>
      </c>
      <c r="B42" s="694">
        <v>24.774765910445261</v>
      </c>
      <c r="C42" s="694">
        <v>35.949433940308062</v>
      </c>
      <c r="D42" s="694">
        <v>41.8</v>
      </c>
      <c r="E42" s="694">
        <v>52.9</v>
      </c>
      <c r="F42" s="694">
        <v>66.400000000000006</v>
      </c>
      <c r="G42" s="694">
        <v>75.599999999999994</v>
      </c>
      <c r="H42" s="694">
        <v>82.13</v>
      </c>
      <c r="I42" s="293"/>
      <c r="J42" s="101">
        <v>3.8547259675037227</v>
      </c>
      <c r="K42" s="99">
        <v>5.3363350124535369</v>
      </c>
      <c r="L42" s="99">
        <v>6.3</v>
      </c>
      <c r="M42" s="99">
        <v>8.3000000000000007</v>
      </c>
      <c r="N42" s="99">
        <v>12.5</v>
      </c>
      <c r="O42" s="99">
        <v>15.6</v>
      </c>
      <c r="P42" s="99">
        <v>19.41</v>
      </c>
      <c r="Q42" s="293"/>
      <c r="R42" s="101">
        <v>25.256898535942756</v>
      </c>
      <c r="S42" s="100">
        <v>36.732618170254952</v>
      </c>
      <c r="T42" s="99">
        <v>42.7</v>
      </c>
      <c r="U42" s="99">
        <v>54</v>
      </c>
      <c r="V42" s="99">
        <v>67.3</v>
      </c>
      <c r="W42" s="99">
        <v>76.5</v>
      </c>
      <c r="X42" s="99">
        <v>83.17</v>
      </c>
      <c r="Y42" s="293"/>
      <c r="Z42" s="101">
        <v>3.9289532739444724</v>
      </c>
      <c r="AA42" s="99">
        <v>5.4649651147565512</v>
      </c>
      <c r="AB42" s="99">
        <v>6.5</v>
      </c>
      <c r="AC42" s="99">
        <v>8.6</v>
      </c>
      <c r="AD42" s="99">
        <v>12.8</v>
      </c>
      <c r="AE42" s="99">
        <v>15.8</v>
      </c>
      <c r="AF42" s="99">
        <v>19.809999999999999</v>
      </c>
      <c r="AG42" s="293"/>
      <c r="AH42" s="101">
        <v>11.972917738325293</v>
      </c>
      <c r="AI42" s="100">
        <v>18.479111250195587</v>
      </c>
      <c r="AJ42" s="99">
        <v>25.052957590100949</v>
      </c>
      <c r="AK42" s="99">
        <v>35.6</v>
      </c>
      <c r="AL42" s="99">
        <v>54.3</v>
      </c>
      <c r="AM42" s="99">
        <v>65.400000000000006</v>
      </c>
      <c r="AN42" s="99">
        <v>74.94</v>
      </c>
      <c r="AO42" s="293"/>
      <c r="AP42" s="101">
        <v>1.8838020826092396</v>
      </c>
      <c r="AQ42" s="99">
        <v>2.4670109007458403</v>
      </c>
      <c r="AR42" s="99">
        <v>3.0635052811500199</v>
      </c>
      <c r="AS42" s="99">
        <v>3.9</v>
      </c>
      <c r="AT42" s="99">
        <v>7</v>
      </c>
      <c r="AU42" s="99">
        <v>9.3000000000000007</v>
      </c>
      <c r="AV42" s="99">
        <v>12.09</v>
      </c>
      <c r="AW42" s="99"/>
    </row>
    <row r="43" spans="1:49" ht="12.75" customHeight="1">
      <c r="A43" s="38" t="s">
        <v>41</v>
      </c>
      <c r="B43" s="694">
        <v>28.93743467779662</v>
      </c>
      <c r="C43" s="694">
        <v>38.94870424792947</v>
      </c>
      <c r="D43" s="694">
        <v>46.3</v>
      </c>
      <c r="E43" s="694">
        <v>59</v>
      </c>
      <c r="F43" s="694">
        <v>71.5</v>
      </c>
      <c r="G43" s="694">
        <v>80.099999999999994</v>
      </c>
      <c r="H43" s="694">
        <v>86.1</v>
      </c>
      <c r="I43" s="293"/>
      <c r="J43" s="101">
        <v>4.2043213070434646</v>
      </c>
      <c r="K43" s="99">
        <v>5.3342906759283997</v>
      </c>
      <c r="L43" s="99">
        <v>6.4</v>
      </c>
      <c r="M43" s="99">
        <v>9.1</v>
      </c>
      <c r="N43" s="99">
        <v>13.9</v>
      </c>
      <c r="O43" s="99">
        <v>16.899999999999999</v>
      </c>
      <c r="P43" s="99">
        <v>21.21</v>
      </c>
      <c r="Q43" s="293"/>
      <c r="R43" s="101">
        <v>29.030013465579525</v>
      </c>
      <c r="S43" s="100">
        <v>38.62021706488769</v>
      </c>
      <c r="T43" s="99">
        <v>46.5</v>
      </c>
      <c r="U43" s="99">
        <v>59.1</v>
      </c>
      <c r="V43" s="99">
        <v>71.7</v>
      </c>
      <c r="W43" s="99">
        <v>80.3</v>
      </c>
      <c r="X43" s="99">
        <v>86.88</v>
      </c>
      <c r="Y43" s="293"/>
      <c r="Z43" s="101">
        <v>4.2219205204748267</v>
      </c>
      <c r="AA43" s="99">
        <v>5.1898058105670488</v>
      </c>
      <c r="AB43" s="99">
        <v>6.4</v>
      </c>
      <c r="AC43" s="99">
        <v>9.1</v>
      </c>
      <c r="AD43" s="99">
        <v>13.9</v>
      </c>
      <c r="AE43" s="99">
        <v>16.7</v>
      </c>
      <c r="AF43" s="99">
        <v>21.26</v>
      </c>
      <c r="AG43" s="293"/>
      <c r="AH43" s="101">
        <v>15.600639616230261</v>
      </c>
      <c r="AI43" s="100">
        <v>22.055030094582975</v>
      </c>
      <c r="AJ43" s="99">
        <v>30.40318156884257</v>
      </c>
      <c r="AK43" s="99">
        <v>39.700000000000003</v>
      </c>
      <c r="AL43" s="99">
        <v>60.6</v>
      </c>
      <c r="AM43" s="99">
        <v>70.099999999999994</v>
      </c>
      <c r="AN43" s="99">
        <v>77.260000000000005</v>
      </c>
      <c r="AO43" s="293"/>
      <c r="AP43" s="101">
        <v>1.6689986008394961</v>
      </c>
      <c r="AQ43" s="99">
        <v>2.7944969905417025</v>
      </c>
      <c r="AR43" s="99">
        <v>5.4237520570488211</v>
      </c>
      <c r="AS43" s="99">
        <v>4.3</v>
      </c>
      <c r="AT43" s="99">
        <v>12.1</v>
      </c>
      <c r="AU43" s="99">
        <v>12.8</v>
      </c>
      <c r="AV43" s="99">
        <v>14.7</v>
      </c>
      <c r="AW43" s="99"/>
    </row>
    <row r="44" spans="1:49" ht="12.75" customHeight="1">
      <c r="A44" s="38" t="s">
        <v>42</v>
      </c>
      <c r="B44" s="694">
        <v>28.519407886495518</v>
      </c>
      <c r="C44" s="694">
        <v>40.272883679421476</v>
      </c>
      <c r="D44" s="694">
        <v>48.2</v>
      </c>
      <c r="E44" s="694">
        <v>59.9</v>
      </c>
      <c r="F44" s="694">
        <v>73.3</v>
      </c>
      <c r="G44" s="694">
        <v>81.3</v>
      </c>
      <c r="H44" s="694">
        <v>86.02</v>
      </c>
      <c r="I44" s="293"/>
      <c r="J44" s="101">
        <v>4.6182502163284109</v>
      </c>
      <c r="K44" s="99">
        <v>6.1270022356956879</v>
      </c>
      <c r="L44" s="99">
        <v>8.1999999999999993</v>
      </c>
      <c r="M44" s="99">
        <v>11.4</v>
      </c>
      <c r="N44" s="99">
        <v>17</v>
      </c>
      <c r="O44" s="99">
        <v>21.1</v>
      </c>
      <c r="P44" s="99">
        <v>25.8</v>
      </c>
      <c r="Q44" s="293"/>
      <c r="R44" s="101">
        <v>29.015797840531061</v>
      </c>
      <c r="S44" s="100">
        <v>40.946550280999645</v>
      </c>
      <c r="T44" s="99">
        <v>48.9</v>
      </c>
      <c r="U44" s="99">
        <v>60.7</v>
      </c>
      <c r="V44" s="99">
        <v>74.2</v>
      </c>
      <c r="W44" s="99">
        <v>82.4</v>
      </c>
      <c r="X44" s="99">
        <v>87.85</v>
      </c>
      <c r="Y44" s="293"/>
      <c r="Z44" s="101">
        <v>4.7083995708709097</v>
      </c>
      <c r="AA44" s="99">
        <v>6.2723902905655864</v>
      </c>
      <c r="AB44" s="99">
        <v>8.3000000000000007</v>
      </c>
      <c r="AC44" s="99">
        <v>11.6</v>
      </c>
      <c r="AD44" s="99">
        <v>17.399999999999999</v>
      </c>
      <c r="AE44" s="99">
        <v>21.7</v>
      </c>
      <c r="AF44" s="99">
        <v>26.89</v>
      </c>
      <c r="AG44" s="293"/>
      <c r="AH44" s="101">
        <v>15.965343399285587</v>
      </c>
      <c r="AI44" s="100">
        <v>23.317683881064163</v>
      </c>
      <c r="AJ44" s="99">
        <v>31.407913396049292</v>
      </c>
      <c r="AK44" s="99">
        <v>39.9</v>
      </c>
      <c r="AL44" s="99">
        <v>60.9</v>
      </c>
      <c r="AM44" s="99">
        <v>71</v>
      </c>
      <c r="AN44" s="99">
        <v>79.72</v>
      </c>
      <c r="AO44" s="293"/>
      <c r="AP44" s="101">
        <v>2.3383071973247538</v>
      </c>
      <c r="AQ44" s="99">
        <v>2.4677982424461296</v>
      </c>
      <c r="AR44" s="99">
        <v>4.116483911558511</v>
      </c>
      <c r="AS44" s="99">
        <v>4.7</v>
      </c>
      <c r="AT44" s="99">
        <v>9.3000000000000007</v>
      </c>
      <c r="AU44" s="99">
        <v>11.6</v>
      </c>
      <c r="AV44" s="99">
        <v>14.85</v>
      </c>
      <c r="AW44" s="99"/>
    </row>
    <row r="45" spans="1:49" ht="12.75" customHeight="1">
      <c r="A45" s="38" t="s">
        <v>43</v>
      </c>
      <c r="B45" s="694">
        <v>24.727464982350849</v>
      </c>
      <c r="C45" s="694">
        <v>34.911952704580479</v>
      </c>
      <c r="D45" s="694">
        <v>40.9</v>
      </c>
      <c r="E45" s="694">
        <v>52.8</v>
      </c>
      <c r="F45" s="694">
        <v>68</v>
      </c>
      <c r="G45" s="694">
        <v>76.8</v>
      </c>
      <c r="H45" s="694">
        <v>83.41</v>
      </c>
      <c r="I45" s="293"/>
      <c r="J45" s="101">
        <v>4.0736901614472103</v>
      </c>
      <c r="K45" s="99">
        <v>5.4247408268276871</v>
      </c>
      <c r="L45" s="99">
        <v>6.8</v>
      </c>
      <c r="M45" s="99">
        <v>9.4</v>
      </c>
      <c r="N45" s="99">
        <v>14.3</v>
      </c>
      <c r="O45" s="99">
        <v>17.399999999999999</v>
      </c>
      <c r="P45" s="99">
        <v>21.76</v>
      </c>
      <c r="Q45" s="293"/>
      <c r="R45" s="101">
        <v>25.2740014605921</v>
      </c>
      <c r="S45" s="100">
        <v>36.066103132233422</v>
      </c>
      <c r="T45" s="99">
        <v>42.4</v>
      </c>
      <c r="U45" s="99">
        <v>54.6</v>
      </c>
      <c r="V45" s="99">
        <v>69.8</v>
      </c>
      <c r="W45" s="99">
        <v>78.599999999999994</v>
      </c>
      <c r="X45" s="99">
        <v>85.3</v>
      </c>
      <c r="Y45" s="293"/>
      <c r="Z45" s="101">
        <v>4.1862465591820683</v>
      </c>
      <c r="AA45" s="99">
        <v>5.6616499829491103</v>
      </c>
      <c r="AB45" s="99">
        <v>7.2</v>
      </c>
      <c r="AC45" s="99">
        <v>10</v>
      </c>
      <c r="AD45" s="99">
        <v>14.9</v>
      </c>
      <c r="AE45" s="99">
        <v>18.100000000000001</v>
      </c>
      <c r="AF45" s="99">
        <v>22.63</v>
      </c>
      <c r="AG45" s="293"/>
      <c r="AH45" s="101">
        <v>12.480709268999401</v>
      </c>
      <c r="AI45" s="100">
        <v>19.53313495254946</v>
      </c>
      <c r="AJ45" s="99">
        <v>25.225411876131769</v>
      </c>
      <c r="AK45" s="99">
        <v>35.9</v>
      </c>
      <c r="AL45" s="99">
        <v>55.2</v>
      </c>
      <c r="AM45" s="99">
        <v>64.900000000000006</v>
      </c>
      <c r="AN45" s="99">
        <v>74.13</v>
      </c>
      <c r="AO45" s="293"/>
      <c r="AP45" s="101">
        <v>1.5511322478032188</v>
      </c>
      <c r="AQ45" s="99">
        <v>2.2679749075116615</v>
      </c>
      <c r="AR45" s="99">
        <v>2.8725719959209259</v>
      </c>
      <c r="AS45" s="99">
        <v>3.8</v>
      </c>
      <c r="AT45" s="99">
        <v>7.6</v>
      </c>
      <c r="AU45" s="99">
        <v>10.1</v>
      </c>
      <c r="AV45" s="99">
        <v>12.76</v>
      </c>
      <c r="AW45" s="99"/>
    </row>
    <row r="46" spans="1:49" ht="12.75" customHeight="1">
      <c r="A46" s="38" t="s">
        <v>44</v>
      </c>
      <c r="B46" s="694">
        <v>25.05778552737495</v>
      </c>
      <c r="C46" s="694">
        <v>35.611299058808143</v>
      </c>
      <c r="D46" s="694">
        <v>43.9</v>
      </c>
      <c r="E46" s="694">
        <v>57.6</v>
      </c>
      <c r="F46" s="694">
        <v>73.099999999999994</v>
      </c>
      <c r="G46" s="694">
        <v>82.4</v>
      </c>
      <c r="H46" s="694">
        <v>87.95</v>
      </c>
      <c r="I46" s="293"/>
      <c r="J46" s="101">
        <v>4.2325375416674031</v>
      </c>
      <c r="K46" s="99">
        <v>5.7764684198322147</v>
      </c>
      <c r="L46" s="99">
        <v>7.5</v>
      </c>
      <c r="M46" s="99">
        <v>11.1</v>
      </c>
      <c r="N46" s="99">
        <v>17.399999999999999</v>
      </c>
      <c r="O46" s="99">
        <v>21.8</v>
      </c>
      <c r="P46" s="99">
        <v>27.43</v>
      </c>
      <c r="Q46" s="293"/>
      <c r="R46" s="101">
        <v>25.129934309840174</v>
      </c>
      <c r="S46" s="100">
        <v>35.547587576332113</v>
      </c>
      <c r="T46" s="99">
        <v>44</v>
      </c>
      <c r="U46" s="99">
        <v>57.7</v>
      </c>
      <c r="V46" s="99">
        <v>73.2</v>
      </c>
      <c r="W46" s="99">
        <v>82.8</v>
      </c>
      <c r="X46" s="99">
        <v>89.2</v>
      </c>
      <c r="Y46" s="293"/>
      <c r="Z46" s="101">
        <v>4.2479636686063325</v>
      </c>
      <c r="AA46" s="99">
        <v>5.7818023050652823</v>
      </c>
      <c r="AB46" s="99">
        <v>7.5</v>
      </c>
      <c r="AC46" s="99">
        <v>11.1</v>
      </c>
      <c r="AD46" s="99">
        <v>17.3</v>
      </c>
      <c r="AE46" s="99">
        <v>21.9</v>
      </c>
      <c r="AF46" s="99">
        <v>27.91</v>
      </c>
      <c r="AG46" s="293"/>
      <c r="AH46" s="101" t="s">
        <v>255</v>
      </c>
      <c r="AI46" s="100" t="s">
        <v>255</v>
      </c>
      <c r="AJ46" s="99" t="s">
        <v>255</v>
      </c>
      <c r="AK46" s="99">
        <v>51.1</v>
      </c>
      <c r="AL46" s="99">
        <v>70.599999999999994</v>
      </c>
      <c r="AM46" s="99">
        <v>76.2</v>
      </c>
      <c r="AN46" s="99">
        <v>79</v>
      </c>
      <c r="AO46" s="293"/>
      <c r="AP46" s="101" t="s">
        <v>255</v>
      </c>
      <c r="AQ46" s="99" t="s">
        <v>255</v>
      </c>
      <c r="AR46" s="99" t="s">
        <v>255</v>
      </c>
      <c r="AS46" s="99">
        <v>9</v>
      </c>
      <c r="AT46" s="99">
        <v>16.899999999999999</v>
      </c>
      <c r="AU46" s="99">
        <v>17.5</v>
      </c>
      <c r="AV46" s="99">
        <v>18.7</v>
      </c>
      <c r="AW46" s="99"/>
    </row>
    <row r="47" spans="1:49" ht="12.75" customHeight="1">
      <c r="A47" s="38" t="s">
        <v>45</v>
      </c>
      <c r="B47" s="694">
        <v>22.243190786882195</v>
      </c>
      <c r="C47" s="694">
        <v>30.817505802112443</v>
      </c>
      <c r="D47" s="694">
        <v>36.6</v>
      </c>
      <c r="E47" s="694">
        <v>48.8</v>
      </c>
      <c r="F47" s="694">
        <v>63.5</v>
      </c>
      <c r="G47" s="694">
        <v>73.900000000000006</v>
      </c>
      <c r="H47" s="694">
        <v>81.319999999999993</v>
      </c>
      <c r="I47" s="293"/>
      <c r="J47" s="101">
        <v>3.9471234073639052</v>
      </c>
      <c r="K47" s="99">
        <v>5.1400903364148753</v>
      </c>
      <c r="L47" s="99">
        <v>6.2</v>
      </c>
      <c r="M47" s="99">
        <v>9</v>
      </c>
      <c r="N47" s="99">
        <v>13.9</v>
      </c>
      <c r="O47" s="99">
        <v>17.8</v>
      </c>
      <c r="P47" s="99">
        <v>21.58</v>
      </c>
      <c r="Q47" s="293"/>
      <c r="R47" s="101">
        <v>23.03184033044602</v>
      </c>
      <c r="S47" s="100">
        <v>31.872348027013299</v>
      </c>
      <c r="T47" s="99">
        <v>37.700000000000003</v>
      </c>
      <c r="U47" s="99">
        <v>50.2</v>
      </c>
      <c r="V47" s="99">
        <v>64.599999999999994</v>
      </c>
      <c r="W47" s="99">
        <v>74.900000000000006</v>
      </c>
      <c r="X47" s="99">
        <v>82.38</v>
      </c>
      <c r="Y47" s="293"/>
      <c r="Z47" s="101">
        <v>4.0897776891406519</v>
      </c>
      <c r="AA47" s="99">
        <v>5.3335251144306772</v>
      </c>
      <c r="AB47" s="99">
        <v>6.5</v>
      </c>
      <c r="AC47" s="99">
        <v>9.4</v>
      </c>
      <c r="AD47" s="99">
        <v>14.4</v>
      </c>
      <c r="AE47" s="99">
        <v>18.3</v>
      </c>
      <c r="AF47" s="99">
        <v>22.31</v>
      </c>
      <c r="AG47" s="293"/>
      <c r="AH47" s="101">
        <v>11.137290378331668</v>
      </c>
      <c r="AI47" s="100">
        <v>17.220012560184216</v>
      </c>
      <c r="AJ47" s="99">
        <v>24.113879843779205</v>
      </c>
      <c r="AK47" s="99">
        <v>33.299999999999997</v>
      </c>
      <c r="AL47" s="99">
        <v>52.7</v>
      </c>
      <c r="AM47" s="99">
        <v>65.099999999999994</v>
      </c>
      <c r="AN47" s="99">
        <v>73.89</v>
      </c>
      <c r="AO47" s="293"/>
      <c r="AP47" s="101">
        <v>1.9382409332721233</v>
      </c>
      <c r="AQ47" s="99">
        <v>2.6466102455216962</v>
      </c>
      <c r="AR47" s="99">
        <v>3.4018356927133038</v>
      </c>
      <c r="AS47" s="99">
        <v>4.2</v>
      </c>
      <c r="AT47" s="99">
        <v>7.9</v>
      </c>
      <c r="AU47" s="99">
        <v>11.2</v>
      </c>
      <c r="AV47" s="99">
        <v>13.19</v>
      </c>
      <c r="AW47" s="99"/>
    </row>
    <row r="48" spans="1:49" ht="12.75" customHeight="1">
      <c r="A48" s="38" t="s">
        <v>46</v>
      </c>
      <c r="B48" s="694">
        <v>28.876200836214714</v>
      </c>
      <c r="C48" s="694">
        <v>39.43525545104746</v>
      </c>
      <c r="D48" s="694">
        <v>47.7</v>
      </c>
      <c r="E48" s="694">
        <v>59.3</v>
      </c>
      <c r="F48" s="694">
        <v>73.400000000000006</v>
      </c>
      <c r="G48" s="694">
        <v>81.8</v>
      </c>
      <c r="H48" s="694">
        <v>86.58</v>
      </c>
      <c r="I48" s="293"/>
      <c r="J48" s="101">
        <v>4.2907915906968768</v>
      </c>
      <c r="K48" s="99">
        <v>5.244629115006413</v>
      </c>
      <c r="L48" s="99">
        <v>6.8</v>
      </c>
      <c r="M48" s="99">
        <v>9.6</v>
      </c>
      <c r="N48" s="99">
        <v>15.5</v>
      </c>
      <c r="O48" s="99">
        <v>18.899999999999999</v>
      </c>
      <c r="P48" s="99">
        <v>23.7</v>
      </c>
      <c r="Q48" s="293"/>
      <c r="R48" s="101">
        <v>29.060725444912379</v>
      </c>
      <c r="S48" s="100">
        <v>39.80524050564383</v>
      </c>
      <c r="T48" s="99">
        <v>48.1</v>
      </c>
      <c r="U48" s="99">
        <v>59.7</v>
      </c>
      <c r="V48" s="99">
        <v>73.900000000000006</v>
      </c>
      <c r="W48" s="99">
        <v>82.4</v>
      </c>
      <c r="X48" s="99">
        <v>88.19</v>
      </c>
      <c r="Y48" s="293"/>
      <c r="Z48" s="101">
        <v>4.3260426572476565</v>
      </c>
      <c r="AA48" s="99">
        <v>5.2953198170154021</v>
      </c>
      <c r="AB48" s="99">
        <v>6.8</v>
      </c>
      <c r="AC48" s="99">
        <v>9.8000000000000007</v>
      </c>
      <c r="AD48" s="99">
        <v>15.7</v>
      </c>
      <c r="AE48" s="99">
        <v>19.2</v>
      </c>
      <c r="AF48" s="99">
        <v>24.39</v>
      </c>
      <c r="AG48" s="293"/>
      <c r="AH48" s="101">
        <v>15.76406989091611</v>
      </c>
      <c r="AI48" s="100">
        <v>24.425969912905778</v>
      </c>
      <c r="AJ48" s="99">
        <v>30.864407741642548</v>
      </c>
      <c r="AK48" s="99">
        <v>42.7</v>
      </c>
      <c r="AL48" s="99">
        <v>61</v>
      </c>
      <c r="AM48" s="99">
        <v>73.2</v>
      </c>
      <c r="AN48" s="99">
        <v>78.599999999999994</v>
      </c>
      <c r="AO48" s="293"/>
      <c r="AP48" s="101">
        <v>1.7858866685973549</v>
      </c>
      <c r="AQ48" s="99">
        <v>2.4544734758511479</v>
      </c>
      <c r="AR48" s="99">
        <v>3.9502809467052611</v>
      </c>
      <c r="AS48" s="99">
        <v>4.5</v>
      </c>
      <c r="AT48" s="99">
        <v>9.3000000000000007</v>
      </c>
      <c r="AU48" s="99">
        <v>12.4</v>
      </c>
      <c r="AV48" s="99">
        <v>14.11</v>
      </c>
      <c r="AW48" s="99"/>
    </row>
    <row r="49" spans="1:49" ht="12.75" customHeight="1">
      <c r="A49" s="38" t="s">
        <v>47</v>
      </c>
      <c r="B49" s="694">
        <v>22.532262292048909</v>
      </c>
      <c r="C49" s="694">
        <v>30.692542452461069</v>
      </c>
      <c r="D49" s="694">
        <v>38.9</v>
      </c>
      <c r="E49" s="694">
        <v>50.3</v>
      </c>
      <c r="F49" s="694">
        <v>66.400000000000006</v>
      </c>
      <c r="G49" s="694">
        <v>76.7</v>
      </c>
      <c r="H49" s="694">
        <v>83.86</v>
      </c>
      <c r="I49" s="293"/>
      <c r="J49" s="101">
        <v>3.5887078123313647</v>
      </c>
      <c r="K49" s="99">
        <v>4.5606072462634009</v>
      </c>
      <c r="L49" s="99">
        <v>5.6</v>
      </c>
      <c r="M49" s="99">
        <v>8.4</v>
      </c>
      <c r="N49" s="99">
        <v>14.8</v>
      </c>
      <c r="O49" s="99">
        <v>18.100000000000001</v>
      </c>
      <c r="P49" s="99">
        <v>21.99</v>
      </c>
      <c r="Q49" s="293"/>
      <c r="R49" s="101">
        <v>22.737701694089882</v>
      </c>
      <c r="S49" s="100">
        <v>31.147463177712037</v>
      </c>
      <c r="T49" s="99">
        <v>39.1</v>
      </c>
      <c r="U49" s="99">
        <v>50.6</v>
      </c>
      <c r="V49" s="99">
        <v>66.7</v>
      </c>
      <c r="W49" s="99">
        <v>76.900000000000006</v>
      </c>
      <c r="X49" s="99">
        <v>84.2</v>
      </c>
      <c r="Y49" s="293"/>
      <c r="Z49" s="101">
        <v>3.628854780255284</v>
      </c>
      <c r="AA49" s="99">
        <v>4.6322517363033739</v>
      </c>
      <c r="AB49" s="99">
        <v>5.6</v>
      </c>
      <c r="AC49" s="99">
        <v>8.5</v>
      </c>
      <c r="AD49" s="99">
        <v>14.9</v>
      </c>
      <c r="AE49" s="99">
        <v>18.3</v>
      </c>
      <c r="AF49" s="99">
        <v>22.36</v>
      </c>
      <c r="AG49" s="293"/>
      <c r="AH49" s="101" t="s">
        <v>255</v>
      </c>
      <c r="AI49" s="100" t="s">
        <v>255</v>
      </c>
      <c r="AJ49" s="99" t="s">
        <v>255</v>
      </c>
      <c r="AK49" s="99">
        <v>74.8</v>
      </c>
      <c r="AL49" s="99">
        <v>92.9</v>
      </c>
      <c r="AM49" s="99">
        <v>95.9</v>
      </c>
      <c r="AN49" s="99">
        <v>92.57</v>
      </c>
      <c r="AO49" s="293"/>
      <c r="AP49" s="101" t="s">
        <v>255</v>
      </c>
      <c r="AQ49" s="99" t="s">
        <v>255</v>
      </c>
      <c r="AR49" s="99" t="s">
        <v>255</v>
      </c>
      <c r="AS49" s="99">
        <v>9.9</v>
      </c>
      <c r="AT49" s="99">
        <v>23.3</v>
      </c>
      <c r="AU49" s="99">
        <v>17.100000000000001</v>
      </c>
      <c r="AV49" s="99">
        <v>20.52</v>
      </c>
      <c r="AW49" s="99"/>
    </row>
    <row r="50" spans="1:49" ht="12.75" customHeight="1">
      <c r="A50" s="141" t="s">
        <v>48</v>
      </c>
      <c r="B50" s="694">
        <v>25.699720784287443</v>
      </c>
      <c r="C50" s="694">
        <v>36.459379812003419</v>
      </c>
      <c r="D50" s="694">
        <v>41.9</v>
      </c>
      <c r="E50" s="694">
        <v>53.2</v>
      </c>
      <c r="F50" s="694">
        <v>67</v>
      </c>
      <c r="G50" s="694">
        <v>75.7</v>
      </c>
      <c r="H50" s="694">
        <v>82.97</v>
      </c>
      <c r="I50" s="295"/>
      <c r="J50" s="101">
        <v>4.4559210952607735</v>
      </c>
      <c r="K50" s="99">
        <v>5.8402816819337904</v>
      </c>
      <c r="L50" s="99">
        <v>7</v>
      </c>
      <c r="M50" s="99">
        <v>9.3000000000000007</v>
      </c>
      <c r="N50" s="99">
        <v>13.7</v>
      </c>
      <c r="O50" s="99">
        <v>17</v>
      </c>
      <c r="P50" s="99">
        <v>21.1</v>
      </c>
      <c r="Q50" s="295"/>
      <c r="R50" s="101">
        <v>26.423260453692144</v>
      </c>
      <c r="S50" s="100">
        <v>37.58286101881977</v>
      </c>
      <c r="T50" s="99">
        <v>43.3</v>
      </c>
      <c r="U50" s="99">
        <v>54.8</v>
      </c>
      <c r="V50" s="99">
        <v>68.2</v>
      </c>
      <c r="W50" s="99">
        <v>76.900000000000006</v>
      </c>
      <c r="X50" s="99">
        <v>84.2</v>
      </c>
      <c r="Y50" s="295"/>
      <c r="Z50" s="101">
        <v>4.5966238850771539</v>
      </c>
      <c r="AA50" s="99">
        <v>6.0686570939149034</v>
      </c>
      <c r="AB50" s="99">
        <v>7.3</v>
      </c>
      <c r="AC50" s="99">
        <v>9.6999999999999993</v>
      </c>
      <c r="AD50" s="99">
        <v>14.1</v>
      </c>
      <c r="AE50" s="99">
        <v>17.600000000000001</v>
      </c>
      <c r="AF50" s="99">
        <v>21.78</v>
      </c>
      <c r="AG50" s="295"/>
      <c r="AH50" s="101">
        <v>11.468973734863685</v>
      </c>
      <c r="AI50" s="100">
        <v>19.281407653500676</v>
      </c>
      <c r="AJ50" s="99">
        <v>25.184665033899094</v>
      </c>
      <c r="AK50" s="99">
        <v>35.6</v>
      </c>
      <c r="AL50" s="99">
        <v>54.7</v>
      </c>
      <c r="AM50" s="99">
        <v>64.599999999999994</v>
      </c>
      <c r="AN50" s="99">
        <v>73.89</v>
      </c>
      <c r="AO50" s="295"/>
      <c r="AP50" s="101">
        <v>1.688545793402654</v>
      </c>
      <c r="AQ50" s="99">
        <v>2.3484329132169663</v>
      </c>
      <c r="AR50" s="99">
        <v>3.1875668256209124</v>
      </c>
      <c r="AS50" s="99">
        <v>3.9</v>
      </c>
      <c r="AT50" s="99">
        <v>7</v>
      </c>
      <c r="AU50" s="99">
        <v>9.1</v>
      </c>
      <c r="AV50" s="99">
        <v>11.92</v>
      </c>
      <c r="AW50" s="99"/>
    </row>
    <row r="51" spans="1:49" ht="12.75" customHeight="1">
      <c r="A51" s="141" t="s">
        <v>49</v>
      </c>
      <c r="B51" s="694">
        <v>25.068913202980443</v>
      </c>
      <c r="C51" s="694">
        <v>34.500157228209602</v>
      </c>
      <c r="D51" s="694">
        <v>42.2</v>
      </c>
      <c r="E51" s="694">
        <v>53.3</v>
      </c>
      <c r="F51" s="694">
        <v>67.900000000000006</v>
      </c>
      <c r="G51" s="694">
        <v>77.099999999999994</v>
      </c>
      <c r="H51" s="694">
        <v>84.57</v>
      </c>
      <c r="I51" s="295"/>
      <c r="J51" s="101">
        <v>3.8059380818890549</v>
      </c>
      <c r="K51" s="99">
        <v>5.0184385809439407</v>
      </c>
      <c r="L51" s="99">
        <v>5.7</v>
      </c>
      <c r="M51" s="99">
        <v>8.6</v>
      </c>
      <c r="N51" s="99">
        <v>14</v>
      </c>
      <c r="O51" s="99">
        <v>17.2</v>
      </c>
      <c r="P51" s="99">
        <v>21.51</v>
      </c>
      <c r="Q51" s="295"/>
      <c r="R51" s="101">
        <v>25.553937877137994</v>
      </c>
      <c r="S51" s="100">
        <v>35.143381004767143</v>
      </c>
      <c r="T51" s="99">
        <v>42.9</v>
      </c>
      <c r="U51" s="99">
        <v>54.2</v>
      </c>
      <c r="V51" s="99">
        <v>68.8</v>
      </c>
      <c r="W51" s="99">
        <v>77.8</v>
      </c>
      <c r="X51" s="99">
        <v>85.66</v>
      </c>
      <c r="Y51" s="295"/>
      <c r="Z51" s="101">
        <v>3.9011785656272751</v>
      </c>
      <c r="AA51" s="99">
        <v>5.1191785845251196</v>
      </c>
      <c r="AB51" s="99">
        <v>5.8</v>
      </c>
      <c r="AC51" s="99">
        <v>8.8000000000000007</v>
      </c>
      <c r="AD51" s="99">
        <v>14.4</v>
      </c>
      <c r="AE51" s="99">
        <v>17.600000000000001</v>
      </c>
      <c r="AF51" s="99">
        <v>22.31</v>
      </c>
      <c r="AG51" s="295"/>
      <c r="AH51" s="101" t="s">
        <v>255</v>
      </c>
      <c r="AI51" s="100" t="s">
        <v>255</v>
      </c>
      <c r="AJ51" s="99" t="s">
        <v>255</v>
      </c>
      <c r="AK51" s="99">
        <v>63.1</v>
      </c>
      <c r="AL51" s="99">
        <v>85.7</v>
      </c>
      <c r="AM51" s="99">
        <v>82.2</v>
      </c>
      <c r="AN51" s="99">
        <v>84.08</v>
      </c>
      <c r="AO51" s="295"/>
      <c r="AP51" s="101" t="s">
        <v>255</v>
      </c>
      <c r="AQ51" s="99" t="s">
        <v>255</v>
      </c>
      <c r="AR51" s="99" t="s">
        <v>255</v>
      </c>
      <c r="AS51" s="99">
        <v>10.5</v>
      </c>
      <c r="AT51" s="99">
        <v>17.7</v>
      </c>
      <c r="AU51" s="99">
        <v>24.1</v>
      </c>
      <c r="AV51" s="99">
        <v>19.34</v>
      </c>
      <c r="AW51" s="99"/>
    </row>
    <row r="52" spans="1:49" ht="12.75" customHeight="1">
      <c r="A52" s="140" t="s">
        <v>50</v>
      </c>
      <c r="B52" s="695">
        <v>22.354407730530301</v>
      </c>
      <c r="C52" s="695">
        <v>33.647749212478409</v>
      </c>
      <c r="D52" s="695">
        <v>41.5</v>
      </c>
      <c r="E52" s="695">
        <v>54.5</v>
      </c>
      <c r="F52" s="695">
        <v>69.599999999999994</v>
      </c>
      <c r="G52" s="695">
        <v>78.599999999999994</v>
      </c>
      <c r="H52" s="695">
        <v>85.09</v>
      </c>
      <c r="I52" s="294"/>
      <c r="J52" s="107">
        <v>3.9198725677739028</v>
      </c>
      <c r="K52" s="105">
        <v>5.4735291128950303</v>
      </c>
      <c r="L52" s="105">
        <v>6.7</v>
      </c>
      <c r="M52" s="105">
        <v>9.8000000000000007</v>
      </c>
      <c r="N52" s="105">
        <v>14.8</v>
      </c>
      <c r="O52" s="105">
        <v>17.7</v>
      </c>
      <c r="P52" s="105">
        <v>22.42</v>
      </c>
      <c r="Q52" s="294"/>
      <c r="R52" s="107">
        <v>22.443071205155526</v>
      </c>
      <c r="S52" s="106">
        <v>33.833427925001217</v>
      </c>
      <c r="T52" s="105">
        <v>41.8</v>
      </c>
      <c r="U52" s="105">
        <v>55</v>
      </c>
      <c r="V52" s="105">
        <v>70.2</v>
      </c>
      <c r="W52" s="105">
        <v>79.599999999999994</v>
      </c>
      <c r="X52" s="105">
        <v>86.61</v>
      </c>
      <c r="Y52" s="294"/>
      <c r="Z52" s="107">
        <v>3.9395013402136789</v>
      </c>
      <c r="AA52" s="105">
        <v>5.5021533514983574</v>
      </c>
      <c r="AB52" s="105">
        <v>6.7</v>
      </c>
      <c r="AC52" s="105">
        <v>9.9</v>
      </c>
      <c r="AD52" s="105">
        <v>15</v>
      </c>
      <c r="AE52" s="105">
        <v>18.100000000000001</v>
      </c>
      <c r="AF52" s="105">
        <v>23.03</v>
      </c>
      <c r="AG52" s="294"/>
      <c r="AH52" s="107">
        <v>9.8522167487684733</v>
      </c>
      <c r="AI52" s="106">
        <v>17.462192816635159</v>
      </c>
      <c r="AJ52" s="105">
        <v>26.065199793950988</v>
      </c>
      <c r="AK52" s="105">
        <v>34</v>
      </c>
      <c r="AL52" s="105">
        <v>54.4</v>
      </c>
      <c r="AM52" s="105">
        <v>61.3</v>
      </c>
      <c r="AN52" s="105">
        <v>68.47</v>
      </c>
      <c r="AO52" s="294"/>
      <c r="AP52" s="107">
        <v>1.1520737327188941</v>
      </c>
      <c r="AQ52" s="105">
        <v>2.5756143667296785</v>
      </c>
      <c r="AR52" s="105">
        <v>4.0792798096499618</v>
      </c>
      <c r="AS52" s="105">
        <v>3.9</v>
      </c>
      <c r="AT52" s="105">
        <v>8.3000000000000007</v>
      </c>
      <c r="AU52" s="105">
        <v>8.3000000000000007</v>
      </c>
      <c r="AV52" s="105">
        <v>10.53</v>
      </c>
      <c r="AW52" s="105"/>
    </row>
    <row r="53" spans="1:49" ht="12.75" customHeight="1">
      <c r="A53" s="299" t="s">
        <v>51</v>
      </c>
      <c r="B53" s="696">
        <v>23.954445494781989</v>
      </c>
      <c r="C53" s="696">
        <v>35.67682478202407</v>
      </c>
      <c r="D53" s="696">
        <v>41.01</v>
      </c>
      <c r="E53" s="696">
        <v>52.947589069454651</v>
      </c>
      <c r="F53" s="696">
        <v>67.099999999999994</v>
      </c>
      <c r="G53" s="696">
        <v>76.2</v>
      </c>
      <c r="H53" s="696">
        <v>81.59360114984328</v>
      </c>
      <c r="I53" s="300"/>
      <c r="J53" s="301">
        <v>5.0493164092397675</v>
      </c>
      <c r="K53" s="302">
        <v>6.8379958899591529</v>
      </c>
      <c r="L53" s="302">
        <v>8.0940097147455816</v>
      </c>
      <c r="M53" s="302">
        <v>11.171170468292861</v>
      </c>
      <c r="N53" s="302">
        <v>17.242802647626444</v>
      </c>
      <c r="O53" s="302">
        <v>22.8</v>
      </c>
      <c r="P53" s="302">
        <v>27.455754319915769</v>
      </c>
      <c r="Q53" s="300"/>
      <c r="R53" s="301">
        <v>24.442380238104519</v>
      </c>
      <c r="S53" s="302">
        <v>36.451645744298233</v>
      </c>
      <c r="T53" s="302">
        <v>41.926873806680781</v>
      </c>
      <c r="U53" s="302">
        <v>54.205761390753459</v>
      </c>
      <c r="V53" s="302">
        <v>68.7</v>
      </c>
      <c r="W53" s="302">
        <v>78.386957362799563</v>
      </c>
      <c r="X53" s="302">
        <v>84.560566871897763</v>
      </c>
      <c r="Y53" s="300"/>
      <c r="Z53" s="301">
        <v>5.181025138827045</v>
      </c>
      <c r="AA53" s="302">
        <v>7.0564479380015612</v>
      </c>
      <c r="AB53" s="302">
        <v>8.4006113903670716</v>
      </c>
      <c r="AC53" s="302">
        <v>11.668528315507608</v>
      </c>
      <c r="AD53" s="302">
        <v>18</v>
      </c>
      <c r="AE53" s="302">
        <v>21.545783415758677</v>
      </c>
      <c r="AF53" s="302">
        <v>29.017157610302718</v>
      </c>
      <c r="AG53" s="300"/>
      <c r="AH53" s="301">
        <v>11.689715364786579</v>
      </c>
      <c r="AI53" s="302">
        <v>20.599430761378283</v>
      </c>
      <c r="AJ53" s="302">
        <v>27.569974697912269</v>
      </c>
      <c r="AK53" s="302">
        <v>37.814461058031831</v>
      </c>
      <c r="AL53" s="302">
        <v>56.4</v>
      </c>
      <c r="AM53" s="302">
        <v>65.3</v>
      </c>
      <c r="AN53" s="302">
        <v>72.119101229729367</v>
      </c>
      <c r="AO53" s="300"/>
      <c r="AP53" s="301">
        <v>1.7386851286041032</v>
      </c>
      <c r="AQ53" s="302">
        <v>2.5870943742268131</v>
      </c>
      <c r="AR53" s="302">
        <v>3.603133406753424</v>
      </c>
      <c r="AS53" s="302">
        <v>4.0814366929611339</v>
      </c>
      <c r="AT53" s="302">
        <v>8.4</v>
      </c>
      <c r="AU53" s="302">
        <v>12.5</v>
      </c>
      <c r="AV53" s="302">
        <v>15.268201059339621</v>
      </c>
      <c r="AW53" s="302"/>
    </row>
    <row r="54" spans="1:49" ht="12.75" customHeight="1">
      <c r="A54" s="38" t="s">
        <v>150</v>
      </c>
      <c r="B54" s="694"/>
      <c r="C54" s="694"/>
      <c r="D54" s="694"/>
      <c r="E54" s="694"/>
      <c r="F54" s="694"/>
      <c r="G54" s="694"/>
      <c r="H54" s="694"/>
      <c r="I54" s="293"/>
      <c r="J54" s="101"/>
      <c r="K54" s="99"/>
      <c r="L54" s="108"/>
      <c r="M54" s="108"/>
      <c r="N54" s="108"/>
      <c r="O54" s="108"/>
      <c r="P54" s="108"/>
      <c r="Q54" s="293"/>
      <c r="R54" s="101"/>
      <c r="S54" s="99"/>
      <c r="T54" s="108"/>
      <c r="U54" s="108"/>
      <c r="V54" s="108"/>
      <c r="W54" s="108"/>
      <c r="X54" s="99"/>
      <c r="Y54" s="293"/>
      <c r="Z54" s="101"/>
      <c r="AA54" s="99"/>
      <c r="AB54" s="108"/>
      <c r="AC54" s="108"/>
      <c r="AD54" s="108"/>
      <c r="AE54" s="108"/>
      <c r="AF54" s="108"/>
      <c r="AG54" s="293"/>
      <c r="AH54" s="101"/>
      <c r="AI54" s="99"/>
      <c r="AJ54" s="108"/>
      <c r="AK54" s="108"/>
      <c r="AL54" s="108"/>
      <c r="AM54" s="108"/>
      <c r="AN54" s="99"/>
      <c r="AO54" s="293"/>
      <c r="AP54" s="101"/>
      <c r="AQ54" s="99"/>
      <c r="AR54" s="108"/>
      <c r="AS54" s="108"/>
      <c r="AT54" s="108"/>
      <c r="AU54" s="108"/>
      <c r="AV54" s="108"/>
      <c r="AW54" s="108"/>
    </row>
    <row r="55" spans="1:49" ht="12.75" customHeight="1">
      <c r="A55" s="38" t="s">
        <v>52</v>
      </c>
      <c r="B55" s="694">
        <v>25.062990296813854</v>
      </c>
      <c r="C55" s="694">
        <v>37.267722950812896</v>
      </c>
      <c r="D55" s="694">
        <v>43.8</v>
      </c>
      <c r="E55" s="694">
        <v>56</v>
      </c>
      <c r="F55" s="694">
        <v>70.3</v>
      </c>
      <c r="G55" s="694">
        <v>79.2</v>
      </c>
      <c r="H55" s="694">
        <v>83.98</v>
      </c>
      <c r="I55" s="293"/>
      <c r="J55" s="101">
        <v>4.9383598498160426</v>
      </c>
      <c r="K55" s="99">
        <v>7.2116001009135982</v>
      </c>
      <c r="L55" s="99">
        <v>9.5</v>
      </c>
      <c r="M55" s="99">
        <v>13.7</v>
      </c>
      <c r="N55" s="99">
        <v>20.7</v>
      </c>
      <c r="O55" s="99">
        <v>27.2</v>
      </c>
      <c r="P55" s="99">
        <v>31.41</v>
      </c>
      <c r="Q55" s="293"/>
      <c r="R55" s="101">
        <v>25.306872384165089</v>
      </c>
      <c r="S55" s="100">
        <v>37.701220572087522</v>
      </c>
      <c r="T55" s="99">
        <v>44.4</v>
      </c>
      <c r="U55" s="99">
        <v>56.9</v>
      </c>
      <c r="V55" s="99">
        <v>71.5</v>
      </c>
      <c r="W55" s="99">
        <v>80.900000000000006</v>
      </c>
      <c r="X55" s="99">
        <v>86.31</v>
      </c>
      <c r="Y55" s="293"/>
      <c r="Z55" s="101">
        <v>4.9996511377459854</v>
      </c>
      <c r="AA55" s="99">
        <v>7.33063979344817</v>
      </c>
      <c r="AB55" s="99">
        <v>9.6999999999999993</v>
      </c>
      <c r="AC55" s="99">
        <v>14.1</v>
      </c>
      <c r="AD55" s="99">
        <v>21.4</v>
      </c>
      <c r="AE55" s="99">
        <v>28.5</v>
      </c>
      <c r="AF55" s="99">
        <v>33.5</v>
      </c>
      <c r="AG55" s="293"/>
      <c r="AH55" s="101">
        <v>11.933148238880722</v>
      </c>
      <c r="AI55" s="100">
        <v>19.989861439675565</v>
      </c>
      <c r="AJ55" s="99">
        <v>27.075374669409346</v>
      </c>
      <c r="AK55" s="99">
        <v>38.1</v>
      </c>
      <c r="AL55" s="99">
        <v>56.8</v>
      </c>
      <c r="AM55" s="99">
        <v>67</v>
      </c>
      <c r="AN55" s="99">
        <v>73.94</v>
      </c>
      <c r="AO55" s="293"/>
      <c r="AP55" s="101">
        <v>1.6386303010506833</v>
      </c>
      <c r="AQ55" s="99">
        <v>2.4670496789455898</v>
      </c>
      <c r="AR55" s="99">
        <v>3.3444754628269173</v>
      </c>
      <c r="AS55" s="99">
        <v>4.3</v>
      </c>
      <c r="AT55" s="99">
        <v>8.6</v>
      </c>
      <c r="AU55" s="99">
        <v>12.3</v>
      </c>
      <c r="AV55" s="99">
        <v>13.74</v>
      </c>
      <c r="AW55" s="99"/>
    </row>
    <row r="56" spans="1:49" ht="12.75" customHeight="1">
      <c r="A56" s="38" t="s">
        <v>53</v>
      </c>
      <c r="B56" s="694">
        <v>28.804271255869509</v>
      </c>
      <c r="C56" s="694">
        <v>37.631527093596056</v>
      </c>
      <c r="D56" s="694">
        <v>43.2</v>
      </c>
      <c r="E56" s="694">
        <v>54.7</v>
      </c>
      <c r="F56" s="694">
        <v>68.7</v>
      </c>
      <c r="G56" s="694">
        <v>78.8</v>
      </c>
      <c r="H56" s="694">
        <v>85.37</v>
      </c>
      <c r="I56" s="293"/>
      <c r="J56" s="101">
        <v>3.3544246568717129</v>
      </c>
      <c r="K56" s="99">
        <v>4.9201970443349747</v>
      </c>
      <c r="L56" s="99">
        <v>5.5</v>
      </c>
      <c r="M56" s="99">
        <v>8.4</v>
      </c>
      <c r="N56" s="99">
        <v>14.4</v>
      </c>
      <c r="O56" s="99">
        <v>18.8</v>
      </c>
      <c r="P56" s="99">
        <v>22.87</v>
      </c>
      <c r="Q56" s="293"/>
      <c r="R56" s="101">
        <v>28.854832723162318</v>
      </c>
      <c r="S56" s="100">
        <v>37.698295106580531</v>
      </c>
      <c r="T56" s="99">
        <v>43.2</v>
      </c>
      <c r="U56" s="99">
        <v>54.7</v>
      </c>
      <c r="V56" s="99">
        <v>68.7</v>
      </c>
      <c r="W56" s="99">
        <v>78.900000000000006</v>
      </c>
      <c r="X56" s="99">
        <v>85.53</v>
      </c>
      <c r="Y56" s="293"/>
      <c r="Z56" s="101">
        <v>3.3605098442798575</v>
      </c>
      <c r="AA56" s="99">
        <v>4.9299670084355682</v>
      </c>
      <c r="AB56" s="99">
        <v>5.5</v>
      </c>
      <c r="AC56" s="99">
        <v>8.4</v>
      </c>
      <c r="AD56" s="99">
        <v>14.4</v>
      </c>
      <c r="AE56" s="99">
        <v>18.8</v>
      </c>
      <c r="AF56" s="99">
        <v>22.92</v>
      </c>
      <c r="AG56" s="293"/>
      <c r="AH56" s="101" t="s">
        <v>255</v>
      </c>
      <c r="AI56" s="100" t="s">
        <v>255</v>
      </c>
      <c r="AJ56" s="99" t="s">
        <v>255</v>
      </c>
      <c r="AK56" s="99">
        <v>64.400000000000006</v>
      </c>
      <c r="AL56" s="99">
        <v>74.2</v>
      </c>
      <c r="AM56" s="99">
        <v>87.6</v>
      </c>
      <c r="AN56" s="99">
        <v>84.66</v>
      </c>
      <c r="AO56" s="293"/>
      <c r="AP56" s="101" t="s">
        <v>255</v>
      </c>
      <c r="AQ56" s="99" t="s">
        <v>255</v>
      </c>
      <c r="AR56" s="99" t="s">
        <v>255</v>
      </c>
      <c r="AS56" s="99">
        <v>5.9</v>
      </c>
      <c r="AT56" s="99">
        <v>12.5</v>
      </c>
      <c r="AU56" s="99">
        <v>22.3</v>
      </c>
      <c r="AV56" s="99">
        <v>22.48</v>
      </c>
      <c r="AW56" s="99"/>
    </row>
    <row r="57" spans="1:49" ht="12.75" customHeight="1">
      <c r="A57" s="38" t="s">
        <v>54</v>
      </c>
      <c r="B57" s="694">
        <v>30.989697253690728</v>
      </c>
      <c r="C57" s="694">
        <v>42.696657042572461</v>
      </c>
      <c r="D57" s="694">
        <v>47</v>
      </c>
      <c r="E57" s="694">
        <v>58.5</v>
      </c>
      <c r="F57" s="694">
        <v>72.2</v>
      </c>
      <c r="G57" s="694">
        <v>80</v>
      </c>
      <c r="H57" s="694">
        <v>84.76</v>
      </c>
      <c r="I57" s="293"/>
      <c r="J57" s="101">
        <v>5.5537609383002806</v>
      </c>
      <c r="K57" s="99">
        <v>7.39356884057971</v>
      </c>
      <c r="L57" s="99">
        <v>8.8000000000000007</v>
      </c>
      <c r="M57" s="99">
        <v>12.6</v>
      </c>
      <c r="N57" s="99">
        <v>20</v>
      </c>
      <c r="O57" s="99">
        <v>27.2</v>
      </c>
      <c r="P57" s="99">
        <v>33.19</v>
      </c>
      <c r="Q57" s="293"/>
      <c r="R57" s="101">
        <v>31.164075227519117</v>
      </c>
      <c r="S57" s="100">
        <v>42.900860202301182</v>
      </c>
      <c r="T57" s="99">
        <v>47.3</v>
      </c>
      <c r="U57" s="99">
        <v>58.8</v>
      </c>
      <c r="V57" s="99">
        <v>72.8</v>
      </c>
      <c r="W57" s="99">
        <v>81.2</v>
      </c>
      <c r="X57" s="99">
        <v>86.79</v>
      </c>
      <c r="Y57" s="293"/>
      <c r="Z57" s="101">
        <v>5.5937147659383664</v>
      </c>
      <c r="AA57" s="99">
        <v>7.4471201102611513</v>
      </c>
      <c r="AB57" s="99">
        <v>8.9</v>
      </c>
      <c r="AC57" s="99">
        <v>12.7</v>
      </c>
      <c r="AD57" s="99">
        <v>20.2</v>
      </c>
      <c r="AE57" s="99">
        <v>27.7</v>
      </c>
      <c r="AF57" s="99">
        <v>34.25</v>
      </c>
      <c r="AG57" s="293"/>
      <c r="AH57" s="101">
        <v>17.865305274405628</v>
      </c>
      <c r="AI57" s="100">
        <v>29.710890183978972</v>
      </c>
      <c r="AJ57" s="99">
        <v>36.911955114372027</v>
      </c>
      <c r="AK57" s="99">
        <v>46.9</v>
      </c>
      <c r="AL57" s="99">
        <v>64.5</v>
      </c>
      <c r="AM57" s="99">
        <v>70</v>
      </c>
      <c r="AN57" s="99">
        <v>76.33</v>
      </c>
      <c r="AO57" s="293"/>
      <c r="AP57" s="101">
        <v>2.5466741859843873</v>
      </c>
      <c r="AQ57" s="99">
        <v>3.9881156439264083</v>
      </c>
      <c r="AR57" s="99">
        <v>6.2473025463962024</v>
      </c>
      <c r="AS57" s="99">
        <v>5.6</v>
      </c>
      <c r="AT57" s="99">
        <v>11.9</v>
      </c>
      <c r="AU57" s="99">
        <v>17</v>
      </c>
      <c r="AV57" s="99">
        <v>19.73</v>
      </c>
      <c r="AW57" s="99"/>
    </row>
    <row r="58" spans="1:49" ht="12.75" customHeight="1">
      <c r="A58" s="38" t="s">
        <v>55</v>
      </c>
      <c r="B58" s="694">
        <v>26.849168379419336</v>
      </c>
      <c r="C58" s="694">
        <v>37.2251631970381</v>
      </c>
      <c r="D58" s="694">
        <v>42.9</v>
      </c>
      <c r="E58" s="694">
        <v>57.6</v>
      </c>
      <c r="F58" s="694">
        <v>72.3</v>
      </c>
      <c r="G58" s="694">
        <v>82.2</v>
      </c>
      <c r="H58" s="694">
        <v>87.41</v>
      </c>
      <c r="I58" s="293"/>
      <c r="J58" s="101">
        <v>4.3396259002746165</v>
      </c>
      <c r="K58" s="99">
        <v>6.1121756357377155</v>
      </c>
      <c r="L58" s="99">
        <v>7.1</v>
      </c>
      <c r="M58" s="99">
        <v>10.9</v>
      </c>
      <c r="N58" s="99">
        <v>18.2</v>
      </c>
      <c r="O58" s="99">
        <v>24.4</v>
      </c>
      <c r="P58" s="99">
        <v>28.65</v>
      </c>
      <c r="Q58" s="293"/>
      <c r="R58" s="101">
        <v>26.858012310671555</v>
      </c>
      <c r="S58" s="100">
        <v>37.198726693951798</v>
      </c>
      <c r="T58" s="99">
        <v>42.9</v>
      </c>
      <c r="U58" s="99">
        <v>57.6</v>
      </c>
      <c r="V58" s="99">
        <v>72.2</v>
      </c>
      <c r="W58" s="99">
        <v>82.2</v>
      </c>
      <c r="X58" s="99">
        <v>87.62</v>
      </c>
      <c r="Y58" s="293"/>
      <c r="Z58" s="101">
        <v>4.3415865550867974</v>
      </c>
      <c r="AA58" s="99">
        <v>6.131033586695251</v>
      </c>
      <c r="AB58" s="99">
        <v>7.1</v>
      </c>
      <c r="AC58" s="99">
        <v>10.8</v>
      </c>
      <c r="AD58" s="99">
        <v>18.100000000000001</v>
      </c>
      <c r="AE58" s="99">
        <v>24.2</v>
      </c>
      <c r="AF58" s="99">
        <v>28.49</v>
      </c>
      <c r="AG58" s="293"/>
      <c r="AH58" s="101" t="s">
        <v>255</v>
      </c>
      <c r="AI58" s="100" t="s">
        <v>255</v>
      </c>
      <c r="AJ58" s="99" t="s">
        <v>255</v>
      </c>
      <c r="AK58" s="99">
        <v>65.3</v>
      </c>
      <c r="AL58" s="99">
        <v>79.599999999999994</v>
      </c>
      <c r="AM58" s="99">
        <v>86.1</v>
      </c>
      <c r="AN58" s="99">
        <v>84.38</v>
      </c>
      <c r="AO58" s="293"/>
      <c r="AP58" s="101" t="s">
        <v>255</v>
      </c>
      <c r="AQ58" s="99" t="s">
        <v>255</v>
      </c>
      <c r="AR58" s="99" t="s">
        <v>255</v>
      </c>
      <c r="AS58" s="99">
        <v>16.5</v>
      </c>
      <c r="AT58" s="99">
        <v>22.7</v>
      </c>
      <c r="AU58" s="99">
        <v>25.7</v>
      </c>
      <c r="AV58" s="99">
        <v>27.77</v>
      </c>
      <c r="AW58" s="99"/>
    </row>
    <row r="59" spans="1:49" ht="12.75" customHeight="1">
      <c r="A59" s="38" t="s">
        <v>56</v>
      </c>
      <c r="B59" s="694">
        <v>22.955613252457219</v>
      </c>
      <c r="C59" s="694">
        <v>34.774755216645772</v>
      </c>
      <c r="D59" s="694">
        <v>40.700000000000003</v>
      </c>
      <c r="E59" s="694">
        <v>52.5</v>
      </c>
      <c r="F59" s="694">
        <v>67.400000000000006</v>
      </c>
      <c r="G59" s="694">
        <v>76.7</v>
      </c>
      <c r="H59" s="694">
        <v>82.07</v>
      </c>
      <c r="I59" s="293"/>
      <c r="J59" s="101">
        <v>5.1433204759738773</v>
      </c>
      <c r="K59" s="99">
        <v>6.9356838415001292</v>
      </c>
      <c r="L59" s="99">
        <v>8.4</v>
      </c>
      <c r="M59" s="99">
        <v>11.8</v>
      </c>
      <c r="N59" s="99">
        <v>18.3</v>
      </c>
      <c r="O59" s="99">
        <v>24.9</v>
      </c>
      <c r="P59" s="99">
        <v>29.78</v>
      </c>
      <c r="Q59" s="293"/>
      <c r="R59" s="101">
        <v>23.687216892161256</v>
      </c>
      <c r="S59" s="100">
        <v>35.926161519873283</v>
      </c>
      <c r="T59" s="99">
        <v>42</v>
      </c>
      <c r="U59" s="99">
        <v>54.1</v>
      </c>
      <c r="V59" s="99">
        <v>69</v>
      </c>
      <c r="W59" s="99">
        <v>78.599999999999994</v>
      </c>
      <c r="X59" s="99">
        <v>84.65</v>
      </c>
      <c r="Y59" s="293"/>
      <c r="Z59" s="101">
        <v>5.3345188197383484</v>
      </c>
      <c r="AA59" s="99">
        <v>7.2339221646985887</v>
      </c>
      <c r="AB59" s="99">
        <v>8.8000000000000007</v>
      </c>
      <c r="AC59" s="99">
        <v>12.5</v>
      </c>
      <c r="AD59" s="99">
        <v>19.100000000000001</v>
      </c>
      <c r="AE59" s="99">
        <v>25.8</v>
      </c>
      <c r="AF59" s="99">
        <v>31.01</v>
      </c>
      <c r="AG59" s="293"/>
      <c r="AH59" s="101">
        <v>9.162079216647836</v>
      </c>
      <c r="AI59" s="100">
        <v>16.340661242859618</v>
      </c>
      <c r="AJ59" s="99">
        <v>24.494704154919507</v>
      </c>
      <c r="AK59" s="99">
        <v>36.200000000000003</v>
      </c>
      <c r="AL59" s="99">
        <v>56.4</v>
      </c>
      <c r="AM59" s="99">
        <v>67</v>
      </c>
      <c r="AN59" s="99">
        <v>74.510000000000005</v>
      </c>
      <c r="AO59" s="293"/>
      <c r="AP59" s="101">
        <v>1.538498521599077</v>
      </c>
      <c r="AQ59" s="99">
        <v>2.1608678091281521</v>
      </c>
      <c r="AR59" s="99">
        <v>3.1459776141017226</v>
      </c>
      <c r="AS59" s="99">
        <v>4.0999999999999996</v>
      </c>
      <c r="AT59" s="99">
        <v>8.6</v>
      </c>
      <c r="AU59" s="99">
        <v>13.6</v>
      </c>
      <c r="AV59" s="99">
        <v>16.149999999999999</v>
      </c>
      <c r="AW59" s="99"/>
    </row>
    <row r="60" spans="1:49" ht="12.75" customHeight="1">
      <c r="A60" s="38" t="s">
        <v>57</v>
      </c>
      <c r="B60" s="694">
        <v>23.420746300127192</v>
      </c>
      <c r="C60" s="694">
        <v>36.066239389422954</v>
      </c>
      <c r="D60" s="694">
        <v>40.9</v>
      </c>
      <c r="E60" s="694">
        <v>52.7</v>
      </c>
      <c r="F60" s="694">
        <v>66.3</v>
      </c>
      <c r="G60" s="694">
        <v>74.8</v>
      </c>
      <c r="H60" s="694">
        <v>79.06</v>
      </c>
      <c r="I60" s="293"/>
      <c r="J60" s="101">
        <v>5.6090810245667084</v>
      </c>
      <c r="K60" s="99">
        <v>7.6651924460093852</v>
      </c>
      <c r="L60" s="99">
        <v>8.9</v>
      </c>
      <c r="M60" s="99">
        <v>11.9</v>
      </c>
      <c r="N60" s="99">
        <v>17.899999999999999</v>
      </c>
      <c r="O60" s="99">
        <v>23.1</v>
      </c>
      <c r="P60" s="99">
        <v>27.37</v>
      </c>
      <c r="Q60" s="293"/>
      <c r="R60" s="101">
        <v>23.846813927092178</v>
      </c>
      <c r="S60" s="100">
        <v>36.867582696482629</v>
      </c>
      <c r="T60" s="99">
        <v>41.8</v>
      </c>
      <c r="U60" s="99">
        <v>54.2</v>
      </c>
      <c r="V60" s="99">
        <v>68.7</v>
      </c>
      <c r="W60" s="99">
        <v>78.5</v>
      </c>
      <c r="X60" s="99">
        <v>83.99</v>
      </c>
      <c r="Y60" s="293"/>
      <c r="Z60" s="101">
        <v>5.7702907585688257</v>
      </c>
      <c r="AA60" s="99">
        <v>7.9646480955061367</v>
      </c>
      <c r="AB60" s="99">
        <v>9.3000000000000007</v>
      </c>
      <c r="AC60" s="99">
        <v>12.7</v>
      </c>
      <c r="AD60" s="99">
        <v>19.399999999999999</v>
      </c>
      <c r="AE60" s="99">
        <v>25.3</v>
      </c>
      <c r="AF60" s="99">
        <v>30.46</v>
      </c>
      <c r="AG60" s="293"/>
      <c r="AH60" s="101">
        <v>14.136789423566668</v>
      </c>
      <c r="AI60" s="100">
        <v>23.687294996320155</v>
      </c>
      <c r="AJ60" s="99">
        <v>29.967938414583106</v>
      </c>
      <c r="AK60" s="99">
        <v>39.799999999999997</v>
      </c>
      <c r="AL60" s="99">
        <v>57.6</v>
      </c>
      <c r="AM60" s="99">
        <v>64.7</v>
      </c>
      <c r="AN60" s="99">
        <v>70.64</v>
      </c>
      <c r="AO60" s="293"/>
      <c r="AP60" s="101">
        <v>2.0962973625351551</v>
      </c>
      <c r="AQ60" s="99">
        <v>3.0392789322090876</v>
      </c>
      <c r="AR60" s="99">
        <v>4.0158864367241618</v>
      </c>
      <c r="AS60" s="99">
        <v>4.2</v>
      </c>
      <c r="AT60" s="99">
        <v>8.8000000000000007</v>
      </c>
      <c r="AU60" s="99">
        <v>12.6</v>
      </c>
      <c r="AV60" s="99">
        <v>15.84</v>
      </c>
      <c r="AW60" s="99"/>
    </row>
    <row r="61" spans="1:49" ht="12.75" customHeight="1">
      <c r="A61" s="1" t="s">
        <v>58</v>
      </c>
      <c r="B61" s="694">
        <v>21.240920505329605</v>
      </c>
      <c r="C61" s="694">
        <v>32.00325832599421</v>
      </c>
      <c r="D61" s="694">
        <v>38.1</v>
      </c>
      <c r="E61" s="694">
        <v>50.2</v>
      </c>
      <c r="F61" s="694">
        <v>64.7</v>
      </c>
      <c r="G61" s="694">
        <v>74.7</v>
      </c>
      <c r="H61" s="694">
        <v>81.900000000000006</v>
      </c>
      <c r="I61" s="293"/>
      <c r="J61" s="101">
        <v>4.2200654470399925</v>
      </c>
      <c r="K61" s="99">
        <v>5.5318898862116166</v>
      </c>
      <c r="L61" s="99">
        <v>6.4</v>
      </c>
      <c r="M61" s="99">
        <v>8.6999999999999993</v>
      </c>
      <c r="N61" s="99">
        <v>13.6</v>
      </c>
      <c r="O61" s="99">
        <v>17.899999999999999</v>
      </c>
      <c r="P61" s="99">
        <v>22.35</v>
      </c>
      <c r="Q61" s="293"/>
      <c r="R61" s="101">
        <v>21.868785886050315</v>
      </c>
      <c r="S61" s="100">
        <v>32.924771893742864</v>
      </c>
      <c r="T61" s="99">
        <v>39.200000000000003</v>
      </c>
      <c r="U61" s="99">
        <v>51.6</v>
      </c>
      <c r="V61" s="99">
        <v>65.8</v>
      </c>
      <c r="W61" s="99">
        <v>75.900000000000006</v>
      </c>
      <c r="X61" s="99">
        <v>83.41</v>
      </c>
      <c r="Y61" s="293"/>
      <c r="Z61" s="101">
        <v>4.369292890652007</v>
      </c>
      <c r="AA61" s="99">
        <v>5.7487710696952146</v>
      </c>
      <c r="AB61" s="99">
        <v>6.7</v>
      </c>
      <c r="AC61" s="99">
        <v>9.1</v>
      </c>
      <c r="AD61" s="99">
        <v>14</v>
      </c>
      <c r="AE61" s="99">
        <v>18.5</v>
      </c>
      <c r="AF61" s="99">
        <v>23.1</v>
      </c>
      <c r="AG61" s="293"/>
      <c r="AH61" s="101">
        <v>8.7657302083841877</v>
      </c>
      <c r="AI61" s="100">
        <v>16.772061348288887</v>
      </c>
      <c r="AJ61" s="99">
        <v>23.719472920010041</v>
      </c>
      <c r="AK61" s="99">
        <v>33.200000000000003</v>
      </c>
      <c r="AL61" s="99">
        <v>52.1</v>
      </c>
      <c r="AM61" s="99">
        <v>63.5</v>
      </c>
      <c r="AN61" s="99">
        <v>71.84</v>
      </c>
      <c r="AO61" s="293"/>
      <c r="AP61" s="101">
        <v>1.2550368587276135</v>
      </c>
      <c r="AQ61" s="99">
        <v>1.9471786654458052</v>
      </c>
      <c r="AR61" s="99">
        <v>2.7605104859223353</v>
      </c>
      <c r="AS61" s="99">
        <v>3.4</v>
      </c>
      <c r="AT61" s="99">
        <v>6.5</v>
      </c>
      <c r="AU61" s="99">
        <v>10</v>
      </c>
      <c r="AV61" s="99">
        <v>11.95</v>
      </c>
      <c r="AW61" s="99"/>
    </row>
    <row r="62" spans="1:49" ht="12.75" customHeight="1">
      <c r="A62" s="1" t="s">
        <v>59</v>
      </c>
      <c r="B62" s="694">
        <v>21.116529197969253</v>
      </c>
      <c r="C62" s="694">
        <v>31.613992814268194</v>
      </c>
      <c r="D62" s="694">
        <v>35</v>
      </c>
      <c r="E62" s="694">
        <v>46.4</v>
      </c>
      <c r="F62" s="694">
        <v>61.1</v>
      </c>
      <c r="G62" s="694">
        <v>72</v>
      </c>
      <c r="H62" s="694">
        <v>77.959999999999994</v>
      </c>
      <c r="I62" s="293"/>
      <c r="J62" s="101">
        <v>4.5195122766631162</v>
      </c>
      <c r="K62" s="99">
        <v>5.9540457391192101</v>
      </c>
      <c r="L62" s="99">
        <v>6.6</v>
      </c>
      <c r="M62" s="99">
        <v>9.4</v>
      </c>
      <c r="N62" s="99">
        <v>15.4</v>
      </c>
      <c r="O62" s="99">
        <v>21.3</v>
      </c>
      <c r="P62" s="99">
        <v>25.6</v>
      </c>
      <c r="Q62" s="293"/>
      <c r="R62" s="101">
        <v>21.265348050664315</v>
      </c>
      <c r="S62" s="100">
        <v>31.782083169699348</v>
      </c>
      <c r="T62" s="99">
        <v>35.200000000000003</v>
      </c>
      <c r="U62" s="99">
        <v>46.5</v>
      </c>
      <c r="V62" s="99">
        <v>61.3</v>
      </c>
      <c r="W62" s="99">
        <v>73</v>
      </c>
      <c r="X62" s="99">
        <v>80.11</v>
      </c>
      <c r="Y62" s="293"/>
      <c r="Z62" s="101">
        <v>4.5608058998536665</v>
      </c>
      <c r="AA62" s="99">
        <v>6.0140943404459568</v>
      </c>
      <c r="AB62" s="99">
        <v>6.6</v>
      </c>
      <c r="AC62" s="99">
        <v>9.5</v>
      </c>
      <c r="AD62" s="99">
        <v>15.6</v>
      </c>
      <c r="AE62" s="99">
        <v>21.8</v>
      </c>
      <c r="AF62" s="99">
        <v>26.84</v>
      </c>
      <c r="AG62" s="293"/>
      <c r="AH62" s="101">
        <v>10.88911088911089</v>
      </c>
      <c r="AI62" s="100">
        <v>19.446320054017555</v>
      </c>
      <c r="AJ62" s="99">
        <v>25.662393162393158</v>
      </c>
      <c r="AK62" s="99">
        <v>37.4</v>
      </c>
      <c r="AL62" s="99">
        <v>58</v>
      </c>
      <c r="AM62" s="99">
        <v>65.900000000000006</v>
      </c>
      <c r="AN62" s="99">
        <v>70.95</v>
      </c>
      <c r="AO62" s="293"/>
      <c r="AP62" s="101">
        <v>1.6816516816516816</v>
      </c>
      <c r="AQ62" s="99">
        <v>1.6880486158001351</v>
      </c>
      <c r="AR62" s="99">
        <v>3.8782051282051282</v>
      </c>
      <c r="AS62" s="99">
        <v>3.5</v>
      </c>
      <c r="AT62" s="99">
        <v>8.4</v>
      </c>
      <c r="AU62" s="99">
        <v>12.7</v>
      </c>
      <c r="AV62" s="99">
        <v>16.690000000000001</v>
      </c>
      <c r="AW62" s="99"/>
    </row>
    <row r="63" spans="1:49" ht="12.75" customHeight="1">
      <c r="A63" s="2" t="s">
        <v>60</v>
      </c>
      <c r="B63" s="695">
        <v>27.899344624738443</v>
      </c>
      <c r="C63" s="695">
        <v>37.088247254981695</v>
      </c>
      <c r="D63" s="695">
        <v>42.9</v>
      </c>
      <c r="E63" s="695">
        <v>57.1</v>
      </c>
      <c r="F63" s="695">
        <v>71</v>
      </c>
      <c r="G63" s="695">
        <v>80.8</v>
      </c>
      <c r="H63" s="695">
        <v>86.42</v>
      </c>
      <c r="I63" s="293"/>
      <c r="J63" s="101">
        <v>4.1395238659244349</v>
      </c>
      <c r="K63" s="105">
        <v>5.9373729158194388</v>
      </c>
      <c r="L63" s="105">
        <v>7.3</v>
      </c>
      <c r="M63" s="105">
        <v>11.5</v>
      </c>
      <c r="N63" s="105">
        <v>19</v>
      </c>
      <c r="O63" s="105">
        <v>24.3</v>
      </c>
      <c r="P63" s="105">
        <v>29.45</v>
      </c>
      <c r="Q63" s="293"/>
      <c r="R63" s="101">
        <v>27.915468461257202</v>
      </c>
      <c r="S63" s="106">
        <v>37.052097785006936</v>
      </c>
      <c r="T63" s="105">
        <v>42.9</v>
      </c>
      <c r="U63" s="105">
        <v>57</v>
      </c>
      <c r="V63" s="105">
        <v>71</v>
      </c>
      <c r="W63" s="105">
        <v>80.8</v>
      </c>
      <c r="X63" s="105">
        <v>86.58</v>
      </c>
      <c r="Y63" s="293"/>
      <c r="Z63" s="101">
        <v>4.1425790321464921</v>
      </c>
      <c r="AA63" s="105">
        <v>5.9608668612160933</v>
      </c>
      <c r="AB63" s="105">
        <v>7.3</v>
      </c>
      <c r="AC63" s="105">
        <v>11.4</v>
      </c>
      <c r="AD63" s="105">
        <v>18.899999999999999</v>
      </c>
      <c r="AE63" s="105">
        <v>24.2</v>
      </c>
      <c r="AF63" s="105">
        <v>29.46</v>
      </c>
      <c r="AG63" s="293"/>
      <c r="AH63" s="101" t="s">
        <v>255</v>
      </c>
      <c r="AI63" s="106" t="s">
        <v>255</v>
      </c>
      <c r="AJ63" s="105" t="s">
        <v>255</v>
      </c>
      <c r="AK63" s="105">
        <v>55</v>
      </c>
      <c r="AL63" s="105">
        <v>83.7</v>
      </c>
      <c r="AM63" s="105">
        <v>85.9</v>
      </c>
      <c r="AN63" s="105">
        <v>84.16</v>
      </c>
      <c r="AO63" s="293"/>
      <c r="AP63" s="101" t="s">
        <v>255</v>
      </c>
      <c r="AQ63" s="105" t="s">
        <v>255</v>
      </c>
      <c r="AR63" s="105" t="s">
        <v>255</v>
      </c>
      <c r="AS63" s="105">
        <v>25.4</v>
      </c>
      <c r="AT63" s="105">
        <v>31.1</v>
      </c>
      <c r="AU63" s="105">
        <v>30.5</v>
      </c>
      <c r="AV63" s="105">
        <v>34.82</v>
      </c>
      <c r="AW63" s="105"/>
    </row>
    <row r="64" spans="1:49" ht="12.75" customHeight="1">
      <c r="A64" s="88" t="s">
        <v>61</v>
      </c>
      <c r="B64" s="693">
        <v>41.18037057325769</v>
      </c>
      <c r="C64" s="693">
        <v>50.188207027730499</v>
      </c>
      <c r="D64" s="693">
        <v>47.8</v>
      </c>
      <c r="E64" s="693">
        <v>55.2</v>
      </c>
      <c r="F64" s="693">
        <v>67.099999999999994</v>
      </c>
      <c r="G64" s="693">
        <v>73.099999999999994</v>
      </c>
      <c r="H64" s="693">
        <v>77.83</v>
      </c>
      <c r="I64" s="296"/>
      <c r="J64" s="297">
        <v>11.109204144439403</v>
      </c>
      <c r="K64" s="297">
        <v>13.638001801982181</v>
      </c>
      <c r="L64" s="297">
        <v>14.3</v>
      </c>
      <c r="M64" s="297">
        <v>17.8</v>
      </c>
      <c r="N64" s="297">
        <v>27.5</v>
      </c>
      <c r="O64" s="297">
        <v>33.299999999999997</v>
      </c>
      <c r="P64" s="297">
        <v>39.07</v>
      </c>
      <c r="Q64" s="296"/>
      <c r="R64" s="297">
        <v>49.669442309470888</v>
      </c>
      <c r="S64" s="298">
        <v>60.612487023580009</v>
      </c>
      <c r="T64" s="297">
        <v>61.1</v>
      </c>
      <c r="U64" s="297">
        <v>75</v>
      </c>
      <c r="V64" s="297">
        <v>88.7</v>
      </c>
      <c r="W64" s="297">
        <v>93.1</v>
      </c>
      <c r="X64" s="297">
        <v>94.43</v>
      </c>
      <c r="Y64" s="296"/>
      <c r="Z64" s="297">
        <v>13.632116238945532</v>
      </c>
      <c r="AA64" s="297">
        <v>17.244549903603737</v>
      </c>
      <c r="AB64" s="297">
        <v>20.9</v>
      </c>
      <c r="AC64" s="297">
        <v>35.299999999999997</v>
      </c>
      <c r="AD64" s="297">
        <v>57.6</v>
      </c>
      <c r="AE64" s="297">
        <v>69</v>
      </c>
      <c r="AF64" s="297">
        <v>77.3</v>
      </c>
      <c r="AG64" s="296"/>
      <c r="AH64" s="297">
        <v>17.367149758454108</v>
      </c>
      <c r="AI64" s="298">
        <v>28.5335797905114</v>
      </c>
      <c r="AJ64" s="297">
        <v>33.533551562197481</v>
      </c>
      <c r="AK64" s="297">
        <v>43.9</v>
      </c>
      <c r="AL64" s="297">
        <v>56.3</v>
      </c>
      <c r="AM64" s="297">
        <v>63.8</v>
      </c>
      <c r="AN64" s="297">
        <v>70.37</v>
      </c>
      <c r="AO64" s="296"/>
      <c r="AP64" s="297">
        <v>4.0320271962784036</v>
      </c>
      <c r="AQ64" s="297">
        <v>6.1460258780036972</v>
      </c>
      <c r="AR64" s="297">
        <v>7.1583269920888286</v>
      </c>
      <c r="AS64" s="297">
        <v>7.8</v>
      </c>
      <c r="AT64" s="297">
        <v>12.2</v>
      </c>
      <c r="AU64" s="297">
        <v>15.3</v>
      </c>
      <c r="AV64" s="297">
        <v>17.5</v>
      </c>
      <c r="AW64" s="297"/>
    </row>
    <row r="65" spans="2:49" ht="12.75" customHeight="1">
      <c r="B65" s="694"/>
      <c r="C65" s="694"/>
      <c r="D65" s="694"/>
      <c r="E65" s="694"/>
      <c r="F65" s="694"/>
      <c r="G65" s="694"/>
      <c r="H65" s="694"/>
      <c r="I65" s="293"/>
      <c r="J65" s="99"/>
      <c r="K65" s="99"/>
      <c r="L65" s="99"/>
      <c r="M65" s="99"/>
      <c r="N65" s="99"/>
      <c r="O65" s="99"/>
      <c r="P65" s="99"/>
      <c r="Q65" s="99"/>
      <c r="R65" s="99"/>
      <c r="S65" s="100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100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9"/>
      <c r="AW65" s="99"/>
    </row>
    <row r="66" spans="2:49" ht="12.75" customHeight="1">
      <c r="B66" s="15" t="s">
        <v>257</v>
      </c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</row>
    <row r="67" spans="2:49">
      <c r="B67" s="15" t="s">
        <v>258</v>
      </c>
      <c r="R67" s="109"/>
      <c r="AH67" s="109"/>
    </row>
    <row r="68" spans="2:49" ht="12.75" customHeight="1">
      <c r="B68" s="15" t="s">
        <v>259</v>
      </c>
      <c r="J68" s="109" t="s">
        <v>260</v>
      </c>
      <c r="K68" s="111"/>
      <c r="L68" s="111"/>
      <c r="M68" s="111"/>
      <c r="N68" s="111"/>
      <c r="O68" s="111"/>
      <c r="P68" s="111"/>
      <c r="Q68" s="111"/>
      <c r="R68" s="109" t="s">
        <v>261</v>
      </c>
      <c r="S68" s="110"/>
      <c r="T68" s="111"/>
      <c r="U68" s="111"/>
      <c r="V68" s="111"/>
      <c r="W68" s="111"/>
      <c r="X68" s="111"/>
      <c r="Y68" s="111"/>
      <c r="Z68" s="109" t="s">
        <v>262</v>
      </c>
      <c r="AA68" s="111"/>
      <c r="AB68" s="111"/>
      <c r="AC68" s="111"/>
      <c r="AD68" s="111"/>
      <c r="AE68" s="111"/>
      <c r="AF68" s="111"/>
      <c r="AG68" s="111"/>
      <c r="AH68" s="109" t="s">
        <v>263</v>
      </c>
      <c r="AI68" s="110"/>
      <c r="AJ68" s="111"/>
      <c r="AK68" s="111"/>
      <c r="AL68" s="111"/>
      <c r="AM68" s="111"/>
      <c r="AN68" s="111"/>
      <c r="AO68" s="111"/>
      <c r="AP68" s="109" t="s">
        <v>264</v>
      </c>
      <c r="AQ68" s="111"/>
      <c r="AR68" s="111"/>
      <c r="AS68" s="111"/>
      <c r="AT68" s="111"/>
      <c r="AU68" s="111"/>
      <c r="AV68" s="111"/>
      <c r="AW68" s="111"/>
    </row>
    <row r="69" spans="2:49">
      <c r="B69" s="15" t="s">
        <v>265</v>
      </c>
    </row>
  </sheetData>
  <phoneticPr fontId="8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38325-4FA1-4078-8AAE-FA7D8E4BDBDF}">
  <sheetPr>
    <tabColor indexed="16"/>
  </sheetPr>
  <dimension ref="A1:I57"/>
  <sheetViews>
    <sheetView topLeftCell="A46" workbookViewId="0">
      <selection activeCell="A55" sqref="A55:XFD55"/>
    </sheetView>
  </sheetViews>
  <sheetFormatPr defaultRowHeight="15.6"/>
  <cols>
    <col min="1" max="2" width="12.21875" bestFit="1" customWidth="1"/>
    <col min="3" max="3" width="15" bestFit="1" customWidth="1"/>
    <col min="4" max="4" width="12.6640625" bestFit="1" customWidth="1"/>
    <col min="5" max="5" width="11.77734375" bestFit="1" customWidth="1"/>
    <col min="6" max="6" width="12" bestFit="1" customWidth="1"/>
    <col min="7" max="7" width="24.21875" bestFit="1" customWidth="1"/>
    <col min="8" max="8" width="12.109375" bestFit="1" customWidth="1"/>
  </cols>
  <sheetData>
    <row r="1" spans="1:9">
      <c r="A1" s="374" t="s">
        <v>266</v>
      </c>
      <c r="B1" t="s">
        <v>73</v>
      </c>
      <c r="C1" t="s">
        <v>74</v>
      </c>
      <c r="D1" t="s">
        <v>75</v>
      </c>
      <c r="E1" t="s">
        <v>76</v>
      </c>
      <c r="F1" t="s">
        <v>77</v>
      </c>
      <c r="G1" t="s">
        <v>78</v>
      </c>
      <c r="H1" t="s">
        <v>79</v>
      </c>
      <c r="I1" t="s">
        <v>80</v>
      </c>
    </row>
    <row r="2" spans="1:9">
      <c r="A2" t="s">
        <v>8</v>
      </c>
      <c r="B2">
        <v>90.023225328553949</v>
      </c>
      <c r="C2">
        <v>84.966699281990202</v>
      </c>
      <c r="D2">
        <v>67.465825817361889</v>
      </c>
      <c r="E2">
        <v>86.418046946448541</v>
      </c>
      <c r="F2" t="s">
        <v>267</v>
      </c>
      <c r="G2">
        <v>78.615695740100463</v>
      </c>
      <c r="H2">
        <v>84.395263815126299</v>
      </c>
      <c r="I2">
        <v>61.6690510252742</v>
      </c>
    </row>
    <row r="3" spans="1:9">
      <c r="A3" t="s">
        <v>9</v>
      </c>
      <c r="B3">
        <v>91.47949911018334</v>
      </c>
      <c r="C3">
        <v>87.201048496577229</v>
      </c>
      <c r="D3">
        <v>61.164487760431498</v>
      </c>
      <c r="E3">
        <v>85.329695615015439</v>
      </c>
      <c r="F3" t="s">
        <v>267</v>
      </c>
      <c r="G3">
        <v>73.347287633001926</v>
      </c>
      <c r="H3">
        <v>80.145711597504203</v>
      </c>
      <c r="I3">
        <v>57.327612626417412</v>
      </c>
    </row>
    <row r="4" spans="1:9">
      <c r="A4" t="s">
        <v>10</v>
      </c>
      <c r="B4">
        <v>94.39617231552252</v>
      </c>
      <c r="C4">
        <v>90.27837939299431</v>
      </c>
      <c r="D4">
        <v>66.557304530541529</v>
      </c>
      <c r="E4">
        <v>91.41652960526315</v>
      </c>
      <c r="F4" t="s">
        <v>267</v>
      </c>
      <c r="G4" t="s">
        <v>267</v>
      </c>
      <c r="H4">
        <v>86.993139841688645</v>
      </c>
      <c r="I4">
        <v>55.619307179229715</v>
      </c>
    </row>
    <row r="5" spans="1:9">
      <c r="A5" t="s">
        <v>11</v>
      </c>
      <c r="B5">
        <v>94.370571585857036</v>
      </c>
      <c r="C5">
        <v>85.924219080467637</v>
      </c>
      <c r="D5">
        <v>81.821432383392036</v>
      </c>
      <c r="E5">
        <v>86.953959678713801</v>
      </c>
      <c r="F5">
        <v>95.565749235474001</v>
      </c>
      <c r="G5">
        <v>74.514441664771439</v>
      </c>
      <c r="H5">
        <v>84.507539419029143</v>
      </c>
      <c r="I5">
        <v>77.774273299451892</v>
      </c>
    </row>
    <row r="6" spans="1:9">
      <c r="A6" t="s">
        <v>12</v>
      </c>
      <c r="B6">
        <v>92.183039835851915</v>
      </c>
      <c r="C6">
        <v>88.666596856115817</v>
      </c>
      <c r="D6">
        <v>68.32906504454283</v>
      </c>
      <c r="E6">
        <v>88.013084375440187</v>
      </c>
      <c r="F6" t="s">
        <v>267</v>
      </c>
      <c r="G6">
        <v>59.135102288839377</v>
      </c>
      <c r="H6">
        <v>81.333458379560525</v>
      </c>
      <c r="I6">
        <v>62.736898260334918</v>
      </c>
    </row>
    <row r="7" spans="1:9">
      <c r="A7" t="s">
        <v>13</v>
      </c>
      <c r="B7">
        <v>88.779596663714585</v>
      </c>
      <c r="C7">
        <v>87.963137387097092</v>
      </c>
      <c r="D7">
        <v>69.850648470333041</v>
      </c>
      <c r="E7">
        <v>82.195683658206505</v>
      </c>
      <c r="F7" t="s">
        <v>267</v>
      </c>
      <c r="G7">
        <v>0</v>
      </c>
      <c r="H7">
        <v>81.62681070788679</v>
      </c>
      <c r="I7">
        <v>66.880501268088906</v>
      </c>
    </row>
    <row r="8" spans="1:9">
      <c r="A8" t="s">
        <v>14</v>
      </c>
      <c r="B8">
        <v>90.306859684182072</v>
      </c>
      <c r="C8">
        <v>81.981261325932991</v>
      </c>
      <c r="D8">
        <v>75.138601946340003</v>
      </c>
      <c r="E8">
        <v>77.365857029333512</v>
      </c>
      <c r="F8" t="s">
        <v>267</v>
      </c>
      <c r="G8">
        <v>69.4963393082555</v>
      </c>
      <c r="H8">
        <v>82.315391378708142</v>
      </c>
      <c r="I8">
        <v>66.784317657675729</v>
      </c>
    </row>
    <row r="9" spans="1:9">
      <c r="A9" t="s">
        <v>15</v>
      </c>
      <c r="B9">
        <v>95.053134269528101</v>
      </c>
      <c r="C9">
        <v>91.254221234996649</v>
      </c>
      <c r="D9">
        <v>68.40403057969651</v>
      </c>
      <c r="E9">
        <v>89.438042912339355</v>
      </c>
      <c r="F9" t="s">
        <v>267</v>
      </c>
      <c r="G9">
        <v>73.505754238336834</v>
      </c>
      <c r="H9">
        <v>87.661457000194844</v>
      </c>
      <c r="I9">
        <v>60.471726904128701</v>
      </c>
    </row>
    <row r="10" spans="1:9">
      <c r="A10" t="s">
        <v>16</v>
      </c>
      <c r="B10">
        <v>89.928043857333861</v>
      </c>
      <c r="C10">
        <v>82.034295430040643</v>
      </c>
      <c r="D10">
        <v>66.315937713756895</v>
      </c>
      <c r="E10">
        <v>83.6289602855868</v>
      </c>
      <c r="F10" t="s">
        <v>267</v>
      </c>
      <c r="G10">
        <v>80.461265523358961</v>
      </c>
      <c r="H10">
        <v>83.478878587088317</v>
      </c>
      <c r="I10">
        <v>65.190676890265578</v>
      </c>
    </row>
    <row r="11" spans="1:9">
      <c r="A11" t="s">
        <v>17</v>
      </c>
      <c r="B11">
        <v>93.110611916257298</v>
      </c>
      <c r="C11">
        <v>88.399550714416321</v>
      </c>
      <c r="D11">
        <v>64.469056557623105</v>
      </c>
      <c r="E11">
        <v>87.812247911510951</v>
      </c>
      <c r="F11" t="s">
        <v>267</v>
      </c>
      <c r="G11">
        <v>74.587428631019108</v>
      </c>
      <c r="H11">
        <v>82.358727359066549</v>
      </c>
      <c r="I11">
        <v>57.869427345644468</v>
      </c>
    </row>
    <row r="12" spans="1:9">
      <c r="A12" t="s">
        <v>18</v>
      </c>
      <c r="B12">
        <v>91.496740201172059</v>
      </c>
      <c r="C12">
        <v>89.731256293845945</v>
      </c>
      <c r="D12">
        <v>66.321778490304652</v>
      </c>
      <c r="E12">
        <v>82.266056946192705</v>
      </c>
      <c r="F12">
        <v>0</v>
      </c>
      <c r="G12">
        <v>86.659875442780077</v>
      </c>
      <c r="H12">
        <v>83.561026550698102</v>
      </c>
      <c r="I12">
        <v>63.260154228730755</v>
      </c>
    </row>
    <row r="13" spans="1:9">
      <c r="A13" t="s">
        <v>19</v>
      </c>
      <c r="B13">
        <v>92.441292547470283</v>
      </c>
      <c r="C13">
        <v>86.119539526183516</v>
      </c>
      <c r="D13">
        <v>68.572216192002202</v>
      </c>
      <c r="E13">
        <v>87.977868879778683</v>
      </c>
      <c r="F13" t="s">
        <v>267</v>
      </c>
      <c r="G13">
        <v>64.348468675589132</v>
      </c>
      <c r="H13">
        <v>81.007834491333711</v>
      </c>
      <c r="I13">
        <v>67.319960702871427</v>
      </c>
    </row>
    <row r="14" spans="1:9">
      <c r="A14" t="s">
        <v>20</v>
      </c>
      <c r="B14">
        <v>91.374000002195686</v>
      </c>
      <c r="C14">
        <v>88.226683277648789</v>
      </c>
      <c r="D14">
        <v>67.214883738540692</v>
      </c>
      <c r="E14">
        <v>86.954569177924242</v>
      </c>
      <c r="F14" t="s">
        <v>267</v>
      </c>
      <c r="G14">
        <v>79.076896874733876</v>
      </c>
      <c r="H14">
        <v>83.932042060499342</v>
      </c>
      <c r="I14">
        <v>60.674656977059492</v>
      </c>
    </row>
    <row r="15" spans="1:9">
      <c r="A15" t="s">
        <v>21</v>
      </c>
      <c r="B15">
        <v>94.976342111842044</v>
      </c>
      <c r="C15">
        <v>91.310528007267678</v>
      </c>
      <c r="D15">
        <v>70.43163978070487</v>
      </c>
      <c r="E15">
        <v>88.598017676369039</v>
      </c>
      <c r="F15">
        <v>90.11110464778082</v>
      </c>
      <c r="G15">
        <v>71.532307186903282</v>
      </c>
      <c r="H15">
        <v>73.919014791778196</v>
      </c>
      <c r="I15">
        <v>63.964815885763137</v>
      </c>
    </row>
    <row r="16" spans="1:9">
      <c r="A16" t="s">
        <v>22</v>
      </c>
      <c r="B16">
        <v>93.973110789614594</v>
      </c>
      <c r="C16">
        <v>88.84692510868183</v>
      </c>
      <c r="D16">
        <v>76.142056525319887</v>
      </c>
      <c r="E16">
        <v>91.690708227138089</v>
      </c>
      <c r="F16" t="s">
        <v>267</v>
      </c>
      <c r="G16">
        <v>77.260959234718513</v>
      </c>
      <c r="H16">
        <v>86.349290643859206</v>
      </c>
      <c r="I16">
        <v>70.143543075492104</v>
      </c>
    </row>
    <row r="17" spans="1:9">
      <c r="A17" t="s">
        <v>23</v>
      </c>
      <c r="B17">
        <v>88.855438272858365</v>
      </c>
      <c r="C17">
        <v>90.045248868778287</v>
      </c>
      <c r="D17">
        <v>83.142741826987759</v>
      </c>
      <c r="E17">
        <v>89.329209356272955</v>
      </c>
      <c r="F17" t="s">
        <v>267</v>
      </c>
      <c r="G17" t="s">
        <v>267</v>
      </c>
      <c r="H17">
        <v>89.253664036076657</v>
      </c>
      <c r="I17">
        <v>0</v>
      </c>
    </row>
    <row r="18" spans="1:9">
      <c r="A18" t="s">
        <v>25</v>
      </c>
      <c r="B18">
        <v>96.290742922423334</v>
      </c>
      <c r="C18">
        <v>95.811803100353558</v>
      </c>
      <c r="D18">
        <v>88.204948236532715</v>
      </c>
      <c r="E18">
        <v>87.088591932689923</v>
      </c>
      <c r="F18" t="s">
        <v>267</v>
      </c>
      <c r="G18">
        <v>85.331305744455449</v>
      </c>
      <c r="H18">
        <v>90.234039432606281</v>
      </c>
      <c r="I18">
        <v>82.999436801029844</v>
      </c>
    </row>
    <row r="19" spans="1:9">
      <c r="A19" t="s">
        <v>26</v>
      </c>
      <c r="B19">
        <v>95.281208425872052</v>
      </c>
      <c r="C19">
        <v>93.03734714112592</v>
      </c>
      <c r="D19">
        <v>74.090901937685615</v>
      </c>
      <c r="E19">
        <v>91.291701060741332</v>
      </c>
      <c r="F19">
        <v>90.7952964976609</v>
      </c>
      <c r="G19">
        <v>81.605637586897871</v>
      </c>
      <c r="H19">
        <v>77.18590462265378</v>
      </c>
      <c r="I19">
        <v>72.885976022016322</v>
      </c>
    </row>
    <row r="20" spans="1:9">
      <c r="A20" t="s">
        <v>27</v>
      </c>
      <c r="B20">
        <v>95.5851762909504</v>
      </c>
      <c r="C20">
        <v>90.672262211479733</v>
      </c>
      <c r="D20">
        <v>68.138262644301975</v>
      </c>
      <c r="E20">
        <v>88.634414619119482</v>
      </c>
      <c r="F20">
        <v>85.644184790991829</v>
      </c>
      <c r="G20">
        <v>70.462685246753097</v>
      </c>
      <c r="H20">
        <v>76.059370016655038</v>
      </c>
      <c r="I20">
        <v>64.020519219765021</v>
      </c>
    </row>
    <row r="21" spans="1:9">
      <c r="A21" t="s">
        <v>28</v>
      </c>
      <c r="B21">
        <v>96.854127513969587</v>
      </c>
      <c r="C21">
        <v>90.672863773046615</v>
      </c>
      <c r="D21">
        <v>76.358668586887759</v>
      </c>
      <c r="E21">
        <v>85.808580858085804</v>
      </c>
      <c r="F21">
        <v>0</v>
      </c>
      <c r="G21">
        <v>81.341799448903799</v>
      </c>
      <c r="H21">
        <v>83.406836744152514</v>
      </c>
      <c r="I21">
        <v>71.025269171610645</v>
      </c>
    </row>
    <row r="22" spans="1:9">
      <c r="A22" t="s">
        <v>29</v>
      </c>
      <c r="B22">
        <v>97.22211627700014</v>
      </c>
      <c r="C22">
        <v>96.53722354895649</v>
      </c>
      <c r="D22">
        <v>93.504544417630171</v>
      </c>
      <c r="E22">
        <v>90.471253203515374</v>
      </c>
      <c r="F22">
        <v>90.564474145532969</v>
      </c>
      <c r="G22" t="s">
        <v>267</v>
      </c>
      <c r="H22">
        <v>94.024282102562168</v>
      </c>
      <c r="I22">
        <v>91.869699097833717</v>
      </c>
    </row>
    <row r="23" spans="1:9">
      <c r="A23" t="s">
        <v>30</v>
      </c>
      <c r="B23">
        <v>94.143444752002353</v>
      </c>
      <c r="C23">
        <v>70.291511860531585</v>
      </c>
      <c r="D23">
        <v>68.867888666722422</v>
      </c>
      <c r="E23">
        <v>85.853072808645351</v>
      </c>
      <c r="F23" t="s">
        <v>267</v>
      </c>
      <c r="G23">
        <v>86.817367949865712</v>
      </c>
      <c r="H23">
        <v>81.501073900246595</v>
      </c>
      <c r="I23">
        <v>67.071661961107765</v>
      </c>
    </row>
    <row r="24" spans="1:9">
      <c r="A24" t="s">
        <v>31</v>
      </c>
      <c r="B24">
        <v>95.451570582389905</v>
      </c>
      <c r="C24" t="s">
        <v>267</v>
      </c>
      <c r="D24">
        <v>83.663607569235765</v>
      </c>
      <c r="E24">
        <v>87.60304375396322</v>
      </c>
      <c r="F24" t="s">
        <v>267</v>
      </c>
      <c r="G24">
        <v>81.997337654821152</v>
      </c>
      <c r="H24">
        <v>91.910039438869745</v>
      </c>
      <c r="I24">
        <v>81.807967313585294</v>
      </c>
    </row>
    <row r="25" spans="1:9">
      <c r="A25" t="s">
        <v>32</v>
      </c>
      <c r="B25">
        <v>94.425713462505527</v>
      </c>
      <c r="C25">
        <v>91.100539875478631</v>
      </c>
      <c r="D25">
        <v>68.950672350631407</v>
      </c>
      <c r="E25">
        <v>89.440967161107778</v>
      </c>
      <c r="F25">
        <v>92.133037078183591</v>
      </c>
      <c r="G25">
        <v>72.996963326325627</v>
      </c>
      <c r="H25">
        <v>79.26075916819336</v>
      </c>
      <c r="I25">
        <v>62.346508294081502</v>
      </c>
    </row>
    <row r="26" spans="1:9">
      <c r="A26" t="s">
        <v>33</v>
      </c>
      <c r="B26">
        <v>95.734315669777928</v>
      </c>
      <c r="C26">
        <v>90.716690716690721</v>
      </c>
      <c r="D26">
        <v>80.222398974493615</v>
      </c>
      <c r="E26">
        <v>89.991483839571757</v>
      </c>
      <c r="F26" t="s">
        <v>267</v>
      </c>
      <c r="G26">
        <v>83.071709303146548</v>
      </c>
      <c r="H26">
        <v>81.926117171693775</v>
      </c>
      <c r="I26">
        <v>75.523391577421691</v>
      </c>
    </row>
    <row r="27" spans="1:9">
      <c r="A27" t="s">
        <v>34</v>
      </c>
      <c r="B27">
        <v>94.904441034881387</v>
      </c>
      <c r="C27">
        <v>91.363681053977004</v>
      </c>
      <c r="D27">
        <v>72.049189395149895</v>
      </c>
      <c r="E27">
        <v>87.679599247872076</v>
      </c>
      <c r="F27">
        <v>84.753913844264815</v>
      </c>
      <c r="G27">
        <v>79.767832167832168</v>
      </c>
      <c r="H27">
        <v>85.12846561761485</v>
      </c>
      <c r="I27">
        <v>66.259956919607362</v>
      </c>
    </row>
    <row r="28" spans="1:9">
      <c r="A28" t="s">
        <v>35</v>
      </c>
      <c r="B28">
        <v>96.008112302083077</v>
      </c>
      <c r="C28">
        <v>90.711145590897331</v>
      </c>
      <c r="D28">
        <v>76.909661530243099</v>
      </c>
      <c r="E28">
        <v>88.427006009190521</v>
      </c>
      <c r="F28">
        <v>92.699748670290489</v>
      </c>
      <c r="G28">
        <v>78.366089021371181</v>
      </c>
      <c r="H28">
        <v>85.415453438509175</v>
      </c>
      <c r="I28">
        <v>72.553063583815032</v>
      </c>
    </row>
    <row r="29" spans="1:9">
      <c r="A29" t="s">
        <v>36</v>
      </c>
      <c r="B29">
        <v>95.545567482754734</v>
      </c>
      <c r="C29">
        <v>92.224081105178271</v>
      </c>
      <c r="D29">
        <v>72.058831556099761</v>
      </c>
      <c r="E29">
        <v>89.777317413644596</v>
      </c>
      <c r="F29">
        <v>88.67582890557749</v>
      </c>
      <c r="G29">
        <v>82.659343212252949</v>
      </c>
      <c r="H29">
        <v>86.342563435792215</v>
      </c>
      <c r="I29">
        <v>66.067970137499302</v>
      </c>
    </row>
    <row r="30" spans="1:9">
      <c r="A30" t="s">
        <v>37</v>
      </c>
      <c r="B30">
        <v>95.41024957385811</v>
      </c>
      <c r="C30" t="s">
        <v>267</v>
      </c>
      <c r="D30">
        <v>76.848147503913722</v>
      </c>
      <c r="E30" t="s">
        <v>267</v>
      </c>
      <c r="F30" t="s">
        <v>267</v>
      </c>
      <c r="G30">
        <v>82.920920574493863</v>
      </c>
      <c r="H30">
        <v>86.367542791663681</v>
      </c>
      <c r="I30">
        <v>0</v>
      </c>
    </row>
    <row r="31" spans="1:9">
      <c r="A31" t="s">
        <v>39</v>
      </c>
      <c r="B31">
        <v>94.785932660619977</v>
      </c>
      <c r="C31">
        <v>88.121106345059232</v>
      </c>
      <c r="D31">
        <v>71.912394014299764</v>
      </c>
      <c r="E31">
        <v>91.447681655738933</v>
      </c>
      <c r="F31" t="s">
        <v>267</v>
      </c>
      <c r="G31">
        <v>71.502897913119995</v>
      </c>
      <c r="H31">
        <v>79.332860258319755</v>
      </c>
      <c r="I31">
        <v>67.56980632984201</v>
      </c>
    </row>
    <row r="32" spans="1:9">
      <c r="A32" t="s">
        <v>40</v>
      </c>
      <c r="B32">
        <v>92.34365761015259</v>
      </c>
      <c r="C32">
        <v>87.290667317570154</v>
      </c>
      <c r="D32">
        <v>75.41825260005055</v>
      </c>
      <c r="E32">
        <v>80.005868425845364</v>
      </c>
      <c r="F32" t="s">
        <v>267</v>
      </c>
      <c r="G32">
        <v>84.028110525475171</v>
      </c>
      <c r="H32">
        <v>85.42984972814638</v>
      </c>
      <c r="I32">
        <v>71.512056393226572</v>
      </c>
    </row>
    <row r="33" spans="1:9">
      <c r="A33" t="s">
        <v>41</v>
      </c>
      <c r="B33">
        <v>95.30988752141073</v>
      </c>
      <c r="C33">
        <v>85.754271765663134</v>
      </c>
      <c r="D33">
        <v>70.290113902448709</v>
      </c>
      <c r="E33">
        <v>77.01173644619567</v>
      </c>
      <c r="F33" t="s">
        <v>267</v>
      </c>
      <c r="G33">
        <v>84.352603917821313</v>
      </c>
      <c r="H33">
        <v>83.612586431506159</v>
      </c>
      <c r="I33">
        <v>64.057629338572369</v>
      </c>
    </row>
    <row r="34" spans="1:9">
      <c r="A34" t="s">
        <v>42</v>
      </c>
      <c r="B34">
        <v>95.048013108025359</v>
      </c>
      <c r="C34">
        <v>86.717474142623843</v>
      </c>
      <c r="D34">
        <v>70.096037907473601</v>
      </c>
      <c r="E34">
        <v>87.454225108823323</v>
      </c>
      <c r="F34" t="s">
        <v>267</v>
      </c>
      <c r="G34">
        <v>81.515697173725826</v>
      </c>
      <c r="H34">
        <v>83.350781124174588</v>
      </c>
      <c r="I34">
        <v>63.30084633510409</v>
      </c>
    </row>
    <row r="35" spans="1:9">
      <c r="A35" t="s">
        <v>43</v>
      </c>
      <c r="B35">
        <v>93.58477587511527</v>
      </c>
      <c r="C35">
        <v>87.806600840082027</v>
      </c>
      <c r="D35">
        <v>77.76180711911654</v>
      </c>
      <c r="E35">
        <v>90.268102461038453</v>
      </c>
      <c r="F35" t="s">
        <v>267</v>
      </c>
      <c r="G35">
        <v>83.242894435807941</v>
      </c>
      <c r="H35">
        <v>86.675686754516974</v>
      </c>
      <c r="I35">
        <v>73.201020549847257</v>
      </c>
    </row>
    <row r="36" spans="1:9">
      <c r="A36" t="s">
        <v>44</v>
      </c>
      <c r="B36">
        <v>96.59931628763259</v>
      </c>
      <c r="C36">
        <v>83.160662904973663</v>
      </c>
      <c r="D36">
        <v>72.224890471616334</v>
      </c>
      <c r="E36">
        <v>84.803226088095343</v>
      </c>
      <c r="F36" t="s">
        <v>267</v>
      </c>
      <c r="G36">
        <v>84.545741657016521</v>
      </c>
      <c r="H36">
        <v>87.652199609274533</v>
      </c>
      <c r="I36">
        <v>69.767817950791269</v>
      </c>
    </row>
    <row r="37" spans="1:9">
      <c r="A37" t="s">
        <v>45</v>
      </c>
      <c r="B37">
        <v>92.750083113675757</v>
      </c>
      <c r="C37">
        <v>88.020795231161699</v>
      </c>
      <c r="D37">
        <v>78.481506315083678</v>
      </c>
      <c r="E37">
        <v>90.10873942811115</v>
      </c>
      <c r="F37" t="s">
        <v>267</v>
      </c>
      <c r="G37">
        <v>81.276088252832437</v>
      </c>
      <c r="H37">
        <v>87.085483970470307</v>
      </c>
      <c r="I37">
        <v>76.317469079367271</v>
      </c>
    </row>
    <row r="38" spans="1:9">
      <c r="A38" t="s">
        <v>46</v>
      </c>
      <c r="B38">
        <v>95.80988260800693</v>
      </c>
      <c r="C38">
        <v>89.01391387349021</v>
      </c>
      <c r="D38">
        <v>65.327176347489214</v>
      </c>
      <c r="E38">
        <v>74.553233503373377</v>
      </c>
      <c r="F38" t="s">
        <v>267</v>
      </c>
      <c r="G38">
        <v>75.785009379332848</v>
      </c>
      <c r="H38">
        <v>78.239596779150531</v>
      </c>
      <c r="I38">
        <v>61.515066065098289</v>
      </c>
    </row>
    <row r="39" spans="1:9">
      <c r="A39" t="s">
        <v>47</v>
      </c>
      <c r="B39">
        <v>94.977587165508922</v>
      </c>
      <c r="C39">
        <v>76.944374528064429</v>
      </c>
      <c r="D39">
        <v>82.216891185335555</v>
      </c>
      <c r="E39" t="s">
        <v>267</v>
      </c>
      <c r="F39" t="s">
        <v>267</v>
      </c>
      <c r="G39">
        <v>83.581278110018289</v>
      </c>
      <c r="H39">
        <v>91.334708032617868</v>
      </c>
      <c r="I39">
        <v>0</v>
      </c>
    </row>
    <row r="40" spans="1:9">
      <c r="A40" t="s">
        <v>48</v>
      </c>
      <c r="B40">
        <v>93.040146882676169</v>
      </c>
      <c r="C40">
        <v>87.275379379746084</v>
      </c>
      <c r="D40">
        <v>80.543566530317605</v>
      </c>
      <c r="E40">
        <v>86.493729617398643</v>
      </c>
      <c r="F40" t="s">
        <v>267</v>
      </c>
      <c r="G40">
        <v>74.961203697456313</v>
      </c>
      <c r="H40">
        <v>88.608721287178255</v>
      </c>
      <c r="I40">
        <v>75.237074738815963</v>
      </c>
    </row>
    <row r="41" spans="1:9">
      <c r="A41" t="s">
        <v>49</v>
      </c>
      <c r="B41">
        <v>94.614611976093343</v>
      </c>
      <c r="C41">
        <v>86.36363636363636</v>
      </c>
      <c r="D41">
        <v>76.686000227453661</v>
      </c>
      <c r="E41" t="s">
        <v>267</v>
      </c>
      <c r="F41" t="s">
        <v>267</v>
      </c>
      <c r="G41">
        <v>83.362383572089982</v>
      </c>
      <c r="H41">
        <v>91.376162018592296</v>
      </c>
      <c r="I41">
        <v>69.060467690604682</v>
      </c>
    </row>
    <row r="42" spans="1:9">
      <c r="A42" t="s">
        <v>50</v>
      </c>
      <c r="B42">
        <v>95.342608162988839</v>
      </c>
      <c r="C42">
        <v>86.679855391709822</v>
      </c>
      <c r="D42">
        <v>72.323257346858426</v>
      </c>
      <c r="E42">
        <v>86.992498718725258</v>
      </c>
      <c r="F42" t="s">
        <v>267</v>
      </c>
      <c r="G42">
        <v>85.761601324837102</v>
      </c>
      <c r="H42">
        <v>82.382689820801772</v>
      </c>
      <c r="I42">
        <v>71.228109148802261</v>
      </c>
    </row>
    <row r="43" spans="1:9">
      <c r="A43" t="s">
        <v>52</v>
      </c>
      <c r="B43">
        <v>94.934822088245724</v>
      </c>
      <c r="C43">
        <v>88.643001305948005</v>
      </c>
      <c r="D43">
        <v>74.786643377534247</v>
      </c>
      <c r="E43">
        <v>90.373237395352007</v>
      </c>
      <c r="F43" t="s">
        <v>267</v>
      </c>
      <c r="G43">
        <v>74.267589388696649</v>
      </c>
      <c r="H43">
        <v>84.016108751659687</v>
      </c>
      <c r="I43">
        <v>70.544648813494717</v>
      </c>
    </row>
    <row r="44" spans="1:9">
      <c r="A44" t="s">
        <v>53</v>
      </c>
      <c r="B44">
        <v>94.675094034339054</v>
      </c>
      <c r="C44">
        <v>90.36999999999999</v>
      </c>
      <c r="D44">
        <v>91.749808135072911</v>
      </c>
      <c r="E44">
        <v>92.504820051413887</v>
      </c>
      <c r="F44" t="s">
        <v>267</v>
      </c>
      <c r="G44" t="s">
        <v>267</v>
      </c>
      <c r="H44">
        <v>94.029140905356911</v>
      </c>
      <c r="I44">
        <v>0</v>
      </c>
    </row>
    <row r="45" spans="1:9">
      <c r="A45" t="s">
        <v>54</v>
      </c>
      <c r="B45">
        <v>94.98818625697632</v>
      </c>
      <c r="C45">
        <v>87.443529055906637</v>
      </c>
      <c r="D45">
        <v>72.447058642734191</v>
      </c>
      <c r="E45">
        <v>85.604306535626819</v>
      </c>
      <c r="F45" t="s">
        <v>267</v>
      </c>
      <c r="G45">
        <v>76.533431571191741</v>
      </c>
      <c r="H45">
        <v>79.701562190099523</v>
      </c>
      <c r="I45">
        <v>70.998657308023184</v>
      </c>
    </row>
    <row r="46" spans="1:9">
      <c r="A46" t="s">
        <v>55</v>
      </c>
      <c r="B46">
        <v>95.022646972876771</v>
      </c>
      <c r="C46">
        <v>90.299697114618198</v>
      </c>
      <c r="D46">
        <v>84.895312547344176</v>
      </c>
      <c r="E46">
        <v>89.465384615384608</v>
      </c>
      <c r="F46" t="s">
        <v>267</v>
      </c>
      <c r="G46" t="s">
        <v>267</v>
      </c>
      <c r="H46">
        <v>91.635374034850841</v>
      </c>
      <c r="I46">
        <v>82.020111061083597</v>
      </c>
    </row>
    <row r="47" spans="1:9">
      <c r="A47" t="s">
        <v>56</v>
      </c>
      <c r="B47">
        <v>95.28404515178886</v>
      </c>
      <c r="C47">
        <v>90.332669748566857</v>
      </c>
      <c r="D47">
        <v>77.257823074955894</v>
      </c>
      <c r="E47">
        <v>92.99589069676729</v>
      </c>
      <c r="F47" t="s">
        <v>267</v>
      </c>
      <c r="G47">
        <v>74.08145017070396</v>
      </c>
      <c r="H47">
        <v>84.328990668529954</v>
      </c>
      <c r="I47">
        <v>73.103688599532845</v>
      </c>
    </row>
    <row r="48" spans="1:9">
      <c r="A48" t="s">
        <v>57</v>
      </c>
      <c r="B48">
        <v>94.378097278545383</v>
      </c>
      <c r="C48">
        <v>85.904298199196333</v>
      </c>
      <c r="D48">
        <v>73.554896446212609</v>
      </c>
      <c r="E48">
        <v>79.796983437996047</v>
      </c>
      <c r="F48" t="s">
        <v>267</v>
      </c>
      <c r="G48">
        <v>70.696138677428237</v>
      </c>
      <c r="H48">
        <v>81.929931867451216</v>
      </c>
      <c r="I48">
        <v>69.315234458220274</v>
      </c>
    </row>
    <row r="49" spans="1:9">
      <c r="A49" t="s">
        <v>58</v>
      </c>
      <c r="B49">
        <v>94.082252484241451</v>
      </c>
      <c r="C49">
        <v>87.954933608148465</v>
      </c>
      <c r="D49">
        <v>76.146810712811941</v>
      </c>
      <c r="E49">
        <v>83.375286356142936</v>
      </c>
      <c r="F49" t="s">
        <v>267</v>
      </c>
      <c r="G49">
        <v>75.806131232205516</v>
      </c>
      <c r="H49">
        <v>86.619892330773979</v>
      </c>
      <c r="I49">
        <v>71.722882754163052</v>
      </c>
    </row>
    <row r="50" spans="1:9">
      <c r="A50" t="s">
        <v>59</v>
      </c>
      <c r="B50">
        <v>93.330556649576707</v>
      </c>
      <c r="C50">
        <v>82.910111059694586</v>
      </c>
      <c r="D50">
        <v>70.696437268197656</v>
      </c>
      <c r="E50">
        <v>86.3507718696398</v>
      </c>
      <c r="F50" t="s">
        <v>267</v>
      </c>
      <c r="G50" t="s">
        <v>267</v>
      </c>
      <c r="H50">
        <v>80.318163963862858</v>
      </c>
      <c r="I50">
        <v>64.714574451823296</v>
      </c>
    </row>
    <row r="51" spans="1:9">
      <c r="A51" t="s">
        <v>60</v>
      </c>
      <c r="B51">
        <v>94.800516486395452</v>
      </c>
      <c r="C51">
        <v>83.682795698924721</v>
      </c>
      <c r="D51">
        <v>94.669310626385155</v>
      </c>
      <c r="E51">
        <v>83.523965141612194</v>
      </c>
      <c r="F51" t="s">
        <v>267</v>
      </c>
      <c r="G51" t="s">
        <v>267</v>
      </c>
      <c r="H51">
        <v>95.472300159542272</v>
      </c>
      <c r="I51" t="s">
        <v>267</v>
      </c>
    </row>
    <row r="52" spans="1:9">
      <c r="A52" t="s">
        <v>61</v>
      </c>
      <c r="B52">
        <v>99.427090221387573</v>
      </c>
      <c r="C52">
        <v>89.459322280907173</v>
      </c>
      <c r="D52">
        <v>79.626874922523854</v>
      </c>
      <c r="E52">
        <v>94.071146245059296</v>
      </c>
      <c r="F52" t="s">
        <v>267</v>
      </c>
      <c r="G52" t="s">
        <v>267</v>
      </c>
      <c r="H52">
        <v>93.180486375622621</v>
      </c>
      <c r="I52">
        <v>61.82634730538922</v>
      </c>
    </row>
    <row r="54" spans="1:9">
      <c r="A54" s="782" t="s">
        <v>266</v>
      </c>
      <c r="B54" t="s">
        <v>8</v>
      </c>
    </row>
    <row r="56" spans="1:9">
      <c r="A56" t="s">
        <v>268</v>
      </c>
      <c r="B56" t="s">
        <v>269</v>
      </c>
      <c r="C56" t="s">
        <v>270</v>
      </c>
      <c r="D56" t="s">
        <v>271</v>
      </c>
      <c r="E56" t="s">
        <v>272</v>
      </c>
      <c r="F56" t="s">
        <v>273</v>
      </c>
      <c r="G56" t="s">
        <v>274</v>
      </c>
      <c r="H56" t="s">
        <v>275</v>
      </c>
    </row>
    <row r="57" spans="1:9">
      <c r="A57">
        <v>90.023225328553949</v>
      </c>
      <c r="B57">
        <v>84.966699281990202</v>
      </c>
      <c r="C57">
        <v>67.465825817361889</v>
      </c>
      <c r="D57">
        <v>86.418046946448541</v>
      </c>
      <c r="E57">
        <v>0</v>
      </c>
      <c r="F57">
        <v>78.615695740100463</v>
      </c>
      <c r="G57">
        <v>84.395263815126299</v>
      </c>
      <c r="H57">
        <v>61.6690510252742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8" ma:contentTypeDescription="Create a new document." ma:contentTypeScope="" ma:versionID="55b26c83f5843aa33aabf03f8d651484">
  <xsd:schema xmlns:xsd="http://www.w3.org/2001/XMLSchema" xmlns:xs="http://www.w3.org/2001/XMLSchema" xmlns:p="http://schemas.microsoft.com/office/2006/metadata/properties" xmlns:ns1="http://schemas.microsoft.com/sharepoint/v3" xmlns:ns2="d3553cee-4ecc-4eb5-80d8-f24f98131822" xmlns:ns3="fc2f2499-f938-4cc0-a2cd-f3e7b3a200ae" targetNamespace="http://schemas.microsoft.com/office/2006/metadata/properties" ma:root="true" ma:fieldsID="415400e8cda373a00b52e8852c7512ad" ns1:_="" ns2:_="" ns3:_="">
    <xsd:import namespace="http://schemas.microsoft.com/sharepoint/v3"/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57d8738-f617-483e-b1e9-cf95238b6e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a6a8f7f-71d7-4f3a-9b22-3a2166d4d588}" ma:internalName="TaxCatchAll" ma:showField="CatchAllData" ma:web="fc2f2499-f938-4cc0-a2cd-f3e7b3a200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553cee-4ecc-4eb5-80d8-f24f98131822">
      <Terms xmlns="http://schemas.microsoft.com/office/infopath/2007/PartnerControls"/>
    </lcf76f155ced4ddcb4097134ff3c332f>
    <TaxCatchAll xmlns="fc2f2499-f938-4cc0-a2cd-f3e7b3a200ae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0F79F7A-26F3-4ED4-949A-634141BAD330}"/>
</file>

<file path=customXml/itemProps2.xml><?xml version="1.0" encoding="utf-8"?>
<ds:datastoreItem xmlns:ds="http://schemas.openxmlformats.org/officeDocument/2006/customXml" ds:itemID="{8F438844-FA74-4B46-9DCA-7FD40362CBDD}"/>
</file>

<file path=customXml/itemProps3.xml><?xml version="1.0" encoding="utf-8"?>
<ds:datastoreItem xmlns:ds="http://schemas.openxmlformats.org/officeDocument/2006/customXml" ds:itemID="{540855C6-68FE-4ABB-8526-00A97DF93377}"/>
</file>

<file path=docMetadata/LabelInfo.xml><?xml version="1.0" encoding="utf-8"?>
<clbl:labelList xmlns:clbl="http://schemas.microsoft.com/office/2020/mipLabelMetadata">
  <clbl:label id="{00260771-a9fd-4aa8-a138-a40ac53a5467}" enabled="1" method="Privileged" siteId="{eb20950b-168c-497a-9845-2b099844f3e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jmarks</dc:creator>
  <cp:keywords/>
  <dc:description/>
  <cp:lastModifiedBy>MJ Kim</cp:lastModifiedBy>
  <cp:revision/>
  <dcterms:created xsi:type="dcterms:W3CDTF">2000-07-31T12:56:33Z</dcterms:created>
  <dcterms:modified xsi:type="dcterms:W3CDTF">2024-09-06T17:29:10Z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Christiana.Datubo-Brown@SREB.ORG</vt:lpwstr>
  </property>
  <property fmtid="{D5CDD505-2E9C-101B-9397-08002B2CF9AE}" pid="5" name="MSIP_Label_00260771-a9fd-4aa8-a138-a40ac53a5467_SetDate">
    <vt:lpwstr>2018-09-18T18:36:10.2092370Z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  <property fmtid="{D5CDD505-2E9C-101B-9397-08002B2CF9AE}" pid="11" name="MediaServiceImageTags">
    <vt:lpwstr/>
  </property>
</Properties>
</file>