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-my.sharepoint.com/personal/athanasia_platis_sreb_org/Documents/InEdit_Tables/"/>
    </mc:Choice>
  </mc:AlternateContent>
  <xr:revisionPtr revIDLastSave="2451" documentId="13_ncr:1_{B8D44579-1DBF-42B8-99D7-ABCC6BAF1D58}" xr6:coauthVersionLast="47" xr6:coauthVersionMax="47" xr10:uidLastSave="{E0B3DD45-5B6D-4544-97FD-4237F135F1AC}"/>
  <bookViews>
    <workbookView xWindow="-110" yWindow="-110" windowWidth="19420" windowHeight="10420" firstSheet="1" xr2:uid="{00000000-000D-0000-FFFF-FFFF00000000}"/>
  </bookViews>
  <sheets>
    <sheet name="Table 14" sheetId="11" r:id="rId1"/>
    <sheet name="Non-Ag Employment" sheetId="18" r:id="rId2"/>
  </sheets>
  <definedNames>
    <definedName name="_xlnm.Print_Area" localSheetId="0">'Table 14'!$A$1:$V$69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I39" i="18" l="1"/>
  <c r="DI38" i="18"/>
  <c r="DH38" i="18"/>
  <c r="DI52" i="18"/>
  <c r="DH52" i="18"/>
  <c r="DI23" i="18"/>
  <c r="DH23" i="18"/>
  <c r="DI37" i="18"/>
  <c r="DH37" i="18"/>
  <c r="DI22" i="18"/>
  <c r="DH22" i="18"/>
  <c r="DI63" i="18"/>
  <c r="DH63" i="18"/>
  <c r="DI36" i="18"/>
  <c r="DH36" i="18"/>
  <c r="DI21" i="18"/>
  <c r="DH21" i="18"/>
  <c r="DI20" i="18"/>
  <c r="DH20" i="18"/>
  <c r="DI51" i="18"/>
  <c r="DH51" i="18"/>
  <c r="DI19" i="18"/>
  <c r="DH19" i="18"/>
  <c r="DI62" i="18"/>
  <c r="DH62" i="18"/>
  <c r="DI61" i="18"/>
  <c r="DH61" i="18"/>
  <c r="DI35" i="18"/>
  <c r="DH35" i="18"/>
  <c r="DI18" i="18"/>
  <c r="DH18" i="18"/>
  <c r="DI50" i="18"/>
  <c r="DH50" i="18"/>
  <c r="DI49" i="18"/>
  <c r="DH49" i="18"/>
  <c r="DI17" i="18"/>
  <c r="DH17" i="18"/>
  <c r="DI60" i="18"/>
  <c r="DH60" i="18"/>
  <c r="DI34" i="18"/>
  <c r="DH34" i="18"/>
  <c r="DI59" i="18"/>
  <c r="DH59" i="18"/>
  <c r="DI58" i="18"/>
  <c r="DH58" i="18"/>
  <c r="DI33" i="18"/>
  <c r="DH33" i="18"/>
  <c r="DI48" i="18"/>
  <c r="DH48" i="18"/>
  <c r="DI32" i="18"/>
  <c r="DH32" i="18"/>
  <c r="DI47" i="18"/>
  <c r="DH47" i="18"/>
  <c r="DI16" i="18"/>
  <c r="DH16" i="18"/>
  <c r="DI46" i="18"/>
  <c r="DH46" i="18"/>
  <c r="DI45" i="18"/>
  <c r="DH45" i="18"/>
  <c r="DI57" i="18"/>
  <c r="DH57" i="18"/>
  <c r="DI15" i="18"/>
  <c r="DH15" i="18"/>
  <c r="DI56" i="18"/>
  <c r="DH56" i="18"/>
  <c r="DI14" i="18"/>
  <c r="DH14" i="18"/>
  <c r="DI13" i="18"/>
  <c r="DH13" i="18"/>
  <c r="DI44" i="18"/>
  <c r="DH44" i="18"/>
  <c r="DI43" i="18"/>
  <c r="DH43" i="18"/>
  <c r="DI42" i="18"/>
  <c r="DH42" i="18"/>
  <c r="DI41" i="18"/>
  <c r="DH41" i="18"/>
  <c r="DI31" i="18"/>
  <c r="DH31" i="18"/>
  <c r="DI30" i="18"/>
  <c r="DH30" i="18"/>
  <c r="DI12" i="18"/>
  <c r="DH12" i="18"/>
  <c r="DI11" i="18"/>
  <c r="DH11" i="18"/>
  <c r="DI64" i="18"/>
  <c r="DH64" i="18"/>
  <c r="DI10" i="18"/>
  <c r="DH10" i="18"/>
  <c r="DI55" i="18"/>
  <c r="DH55" i="18"/>
  <c r="DI29" i="18"/>
  <c r="DH29" i="18"/>
  <c r="DI28" i="18"/>
  <c r="DH28" i="18"/>
  <c r="DI9" i="18"/>
  <c r="DH9" i="18"/>
  <c r="DI27" i="18"/>
  <c r="DH27" i="18"/>
  <c r="DI26" i="18"/>
  <c r="DH26" i="18"/>
  <c r="DI8" i="18"/>
  <c r="DH8" i="18"/>
  <c r="S65" i="11" l="1"/>
  <c r="S64" i="11"/>
  <c r="S57" i="11"/>
  <c r="S58" i="11"/>
  <c r="S59" i="11"/>
  <c r="S60" i="11"/>
  <c r="S61" i="11"/>
  <c r="S62" i="11"/>
  <c r="S63" i="11"/>
  <c r="S56" i="11"/>
  <c r="S53" i="11"/>
  <c r="S43" i="11"/>
  <c r="S44" i="11"/>
  <c r="S45" i="11"/>
  <c r="S46" i="11"/>
  <c r="S47" i="11"/>
  <c r="S48" i="11"/>
  <c r="S49" i="11"/>
  <c r="S50" i="11"/>
  <c r="S51" i="11"/>
  <c r="S52" i="11"/>
  <c r="S42" i="11"/>
  <c r="S39" i="11"/>
  <c r="S28" i="11"/>
  <c r="S29" i="11"/>
  <c r="S30" i="11"/>
  <c r="S31" i="11"/>
  <c r="S32" i="11"/>
  <c r="S33" i="11"/>
  <c r="S34" i="11"/>
  <c r="S35" i="11"/>
  <c r="S36" i="11"/>
  <c r="S37" i="11"/>
  <c r="S38" i="11"/>
  <c r="S27" i="11"/>
  <c r="S24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9" i="11"/>
  <c r="R50" i="11"/>
  <c r="R51" i="11"/>
  <c r="R52" i="11"/>
  <c r="R35" i="11"/>
  <c r="R19" i="11"/>
  <c r="R20" i="11"/>
  <c r="R17" i="11"/>
  <c r="Q65" i="11"/>
  <c r="Q64" i="11"/>
  <c r="Q57" i="11"/>
  <c r="Q58" i="11"/>
  <c r="Q59" i="11"/>
  <c r="Q60" i="11"/>
  <c r="Q61" i="11"/>
  <c r="Q62" i="11"/>
  <c r="Q63" i="11"/>
  <c r="Q56" i="11"/>
  <c r="Q53" i="11"/>
  <c r="Q43" i="11"/>
  <c r="Q44" i="11"/>
  <c r="Q45" i="11"/>
  <c r="Q46" i="11"/>
  <c r="Q47" i="11"/>
  <c r="Q48" i="11"/>
  <c r="Q49" i="11"/>
  <c r="Q50" i="11"/>
  <c r="Q51" i="11"/>
  <c r="Q52" i="11"/>
  <c r="Q42" i="11"/>
  <c r="Q39" i="11"/>
  <c r="Q28" i="11"/>
  <c r="Q29" i="11"/>
  <c r="Q30" i="11"/>
  <c r="Q31" i="11"/>
  <c r="Q32" i="11"/>
  <c r="Q33" i="11"/>
  <c r="Q34" i="11"/>
  <c r="Q35" i="11"/>
  <c r="Q36" i="11"/>
  <c r="Q37" i="11"/>
  <c r="Q38" i="11"/>
  <c r="Q27" i="11"/>
  <c r="Q24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9" i="11"/>
  <c r="N65" i="11"/>
  <c r="N58" i="11"/>
  <c r="N61" i="11"/>
  <c r="N47" i="11"/>
  <c r="N48" i="11"/>
  <c r="N50" i="11"/>
  <c r="N35" i="11"/>
  <c r="N36" i="11"/>
  <c r="N37" i="11"/>
  <c r="N11" i="11"/>
  <c r="N12" i="11"/>
  <c r="N13" i="11"/>
  <c r="N23" i="11"/>
  <c r="N9" i="11"/>
  <c r="I65" i="11"/>
  <c r="I64" i="11"/>
  <c r="I57" i="11"/>
  <c r="I58" i="11"/>
  <c r="I59" i="11"/>
  <c r="I60" i="11"/>
  <c r="I61" i="11"/>
  <c r="I62" i="11"/>
  <c r="I63" i="11"/>
  <c r="I56" i="11"/>
  <c r="I53" i="11"/>
  <c r="I43" i="11"/>
  <c r="I44" i="11"/>
  <c r="I45" i="11"/>
  <c r="I46" i="11"/>
  <c r="I47" i="11"/>
  <c r="I48" i="11"/>
  <c r="I49" i="11"/>
  <c r="I50" i="11"/>
  <c r="I51" i="11"/>
  <c r="I52" i="11"/>
  <c r="I42" i="11"/>
  <c r="I39" i="11"/>
  <c r="I28" i="11"/>
  <c r="I29" i="11"/>
  <c r="I30" i="11"/>
  <c r="I31" i="11"/>
  <c r="I32" i="11"/>
  <c r="I33" i="11"/>
  <c r="I34" i="11"/>
  <c r="I35" i="11"/>
  <c r="I36" i="11"/>
  <c r="I37" i="11"/>
  <c r="I38" i="11"/>
  <c r="I27" i="11"/>
  <c r="I24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10" i="11"/>
  <c r="I11" i="11"/>
  <c r="I9" i="11"/>
  <c r="H63" i="11"/>
  <c r="CG52" i="18"/>
  <c r="R53" i="11" s="1"/>
  <c r="CF52" i="18"/>
  <c r="CG51" i="18"/>
  <c r="CF51" i="18"/>
  <c r="H53" i="11"/>
  <c r="H46" i="11"/>
  <c r="H47" i="11"/>
  <c r="H49" i="11"/>
  <c r="H52" i="11"/>
  <c r="H31" i="11"/>
  <c r="H32" i="11"/>
  <c r="H34" i="11"/>
  <c r="H24" i="11"/>
  <c r="H11" i="11"/>
  <c r="H12" i="11"/>
  <c r="H13" i="11"/>
  <c r="H14" i="11"/>
  <c r="H21" i="11"/>
  <c r="H22" i="11"/>
  <c r="H23" i="11"/>
  <c r="H9" i="11"/>
  <c r="G65" i="11"/>
  <c r="G64" i="11"/>
  <c r="G53" i="11"/>
  <c r="G51" i="11"/>
  <c r="G52" i="11"/>
  <c r="G57" i="11"/>
  <c r="G58" i="11"/>
  <c r="G59" i="11"/>
  <c r="G60" i="11"/>
  <c r="G61" i="11"/>
  <c r="G62" i="11"/>
  <c r="G63" i="11"/>
  <c r="G56" i="11"/>
  <c r="G43" i="11"/>
  <c r="G44" i="11"/>
  <c r="G45" i="11"/>
  <c r="G46" i="11"/>
  <c r="G47" i="11"/>
  <c r="G48" i="11"/>
  <c r="G49" i="11"/>
  <c r="G50" i="11"/>
  <c r="G42" i="11"/>
  <c r="G39" i="11"/>
  <c r="G28" i="11"/>
  <c r="G29" i="11"/>
  <c r="G30" i="11"/>
  <c r="G31" i="11"/>
  <c r="G32" i="11"/>
  <c r="G33" i="11"/>
  <c r="G34" i="11"/>
  <c r="G35" i="11"/>
  <c r="G36" i="11"/>
  <c r="G37" i="11"/>
  <c r="G38" i="11"/>
  <c r="G27" i="11"/>
  <c r="G24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9" i="11"/>
  <c r="D65" i="11"/>
  <c r="D56" i="11"/>
  <c r="D53" i="11"/>
  <c r="D42" i="11"/>
  <c r="D31" i="11"/>
  <c r="D18" i="11"/>
  <c r="D19" i="11"/>
  <c r="D17" i="11"/>
  <c r="D9" i="11"/>
  <c r="CG26" i="18"/>
  <c r="R27" i="11" s="1"/>
  <c r="CG38" i="18"/>
  <c r="R39" i="11" s="1"/>
  <c r="CF38" i="18"/>
  <c r="CG23" i="18"/>
  <c r="R24" i="11" s="1"/>
  <c r="CF23" i="18"/>
  <c r="CG37" i="18"/>
  <c r="H38" i="11" s="1"/>
  <c r="CF37" i="18"/>
  <c r="CG22" i="18"/>
  <c r="R23" i="11" s="1"/>
  <c r="CF22" i="18"/>
  <c r="CG63" i="18"/>
  <c r="R64" i="11" s="1"/>
  <c r="CF63" i="18"/>
  <c r="CG36" i="18"/>
  <c r="H37" i="11" s="1"/>
  <c r="CF36" i="18"/>
  <c r="CG21" i="18"/>
  <c r="R22" i="11" s="1"/>
  <c r="CF21" i="18"/>
  <c r="CG20" i="18"/>
  <c r="R21" i="11" s="1"/>
  <c r="CF20" i="18"/>
  <c r="CG19" i="18"/>
  <c r="H20" i="11" s="1"/>
  <c r="CF19" i="18"/>
  <c r="CG62" i="18"/>
  <c r="R63" i="11" s="1"/>
  <c r="CF62" i="18"/>
  <c r="CG61" i="18"/>
  <c r="R62" i="11" s="1"/>
  <c r="CF61" i="18"/>
  <c r="CG35" i="18"/>
  <c r="R36" i="11" s="1"/>
  <c r="CF35" i="18"/>
  <c r="CG18" i="18"/>
  <c r="H19" i="11" s="1"/>
  <c r="CF18" i="18"/>
  <c r="CG50" i="18"/>
  <c r="H51" i="11" s="1"/>
  <c r="CF50" i="18"/>
  <c r="CG49" i="18"/>
  <c r="H50" i="11" s="1"/>
  <c r="CF49" i="18"/>
  <c r="CG48" i="18"/>
  <c r="R49" i="11" s="1"/>
  <c r="CF48" i="18"/>
  <c r="CG17" i="18"/>
  <c r="H18" i="11" s="1"/>
  <c r="CF17" i="18"/>
  <c r="CG60" i="18"/>
  <c r="R61" i="11" s="1"/>
  <c r="CF60" i="18"/>
  <c r="CG34" i="18"/>
  <c r="H35" i="11" s="1"/>
  <c r="CF34" i="18"/>
  <c r="CG59" i="18"/>
  <c r="R60" i="11" s="1"/>
  <c r="CF59" i="18"/>
  <c r="CG58" i="18"/>
  <c r="H59" i="11" s="1"/>
  <c r="CF58" i="18"/>
  <c r="CG33" i="18"/>
  <c r="R34" i="11" s="1"/>
  <c r="CF33" i="18"/>
  <c r="CG32" i="18"/>
  <c r="R33" i="11" s="1"/>
  <c r="CF32" i="18"/>
  <c r="CG47" i="18"/>
  <c r="R48" i="11" s="1"/>
  <c r="CF47" i="18"/>
  <c r="CG16" i="18"/>
  <c r="H17" i="11" s="1"/>
  <c r="CF16" i="18"/>
  <c r="CG46" i="18"/>
  <c r="R47" i="11" s="1"/>
  <c r="CF46" i="18"/>
  <c r="CG45" i="18"/>
  <c r="R46" i="11" s="1"/>
  <c r="CF45" i="18"/>
  <c r="CG57" i="18"/>
  <c r="H58" i="11" s="1"/>
  <c r="CF57" i="18"/>
  <c r="CG15" i="18"/>
  <c r="R16" i="11" s="1"/>
  <c r="CF15" i="18"/>
  <c r="CG56" i="18"/>
  <c r="H57" i="11" s="1"/>
  <c r="CF56" i="18"/>
  <c r="CG14" i="18"/>
  <c r="H15" i="11" s="1"/>
  <c r="CF14" i="18"/>
  <c r="CG13" i="18"/>
  <c r="R14" i="11" s="1"/>
  <c r="CF13" i="18"/>
  <c r="CG44" i="18"/>
  <c r="R45" i="11" s="1"/>
  <c r="CF44" i="18"/>
  <c r="CG43" i="18"/>
  <c r="R44" i="11" s="1"/>
  <c r="CF43" i="18"/>
  <c r="CG42" i="18"/>
  <c r="R43" i="11" s="1"/>
  <c r="CF42" i="18"/>
  <c r="CG41" i="18"/>
  <c r="H42" i="11" s="1"/>
  <c r="CF41" i="18"/>
  <c r="CG31" i="18"/>
  <c r="R32" i="11" s="1"/>
  <c r="CF31" i="18"/>
  <c r="CG30" i="18"/>
  <c r="R31" i="11" s="1"/>
  <c r="CF30" i="18"/>
  <c r="CF8" i="18"/>
  <c r="CF9" i="18"/>
  <c r="CF10" i="18"/>
  <c r="CF11" i="18"/>
  <c r="CF12" i="18"/>
  <c r="CF26" i="18"/>
  <c r="CF27" i="18"/>
  <c r="CF28" i="18"/>
  <c r="CF29" i="18"/>
  <c r="CF55" i="18"/>
  <c r="CF64" i="18"/>
  <c r="CG8" i="18"/>
  <c r="R9" i="11" s="1"/>
  <c r="CG9" i="18"/>
  <c r="R10" i="11" s="1"/>
  <c r="CG10" i="18"/>
  <c r="R11" i="11" s="1"/>
  <c r="CG11" i="18"/>
  <c r="R12" i="11" s="1"/>
  <c r="CG12" i="18"/>
  <c r="R13" i="11" s="1"/>
  <c r="CG27" i="18"/>
  <c r="R28" i="11" s="1"/>
  <c r="CG28" i="18"/>
  <c r="R29" i="11" s="1"/>
  <c r="CG29" i="18"/>
  <c r="R30" i="11" s="1"/>
  <c r="CG55" i="18"/>
  <c r="H56" i="11" s="1"/>
  <c r="CG64" i="18"/>
  <c r="R65" i="11" s="1"/>
  <c r="BR39" i="18"/>
  <c r="BS39" i="18"/>
  <c r="G40" i="11" s="1"/>
  <c r="BR53" i="18"/>
  <c r="BS53" i="18"/>
  <c r="G54" i="11" s="1"/>
  <c r="BR24" i="18"/>
  <c r="BS24" i="18"/>
  <c r="G25" i="11" s="1"/>
  <c r="BR5" i="18"/>
  <c r="BS5" i="18"/>
  <c r="BR6" i="18"/>
  <c r="BS6" i="18"/>
  <c r="G7" i="11" s="1"/>
  <c r="AC38" i="18"/>
  <c r="N39" i="11" s="1"/>
  <c r="AC52" i="18"/>
  <c r="AC23" i="18"/>
  <c r="D24" i="11" s="1"/>
  <c r="AC37" i="18"/>
  <c r="D38" i="11" s="1"/>
  <c r="AC22" i="18"/>
  <c r="D23" i="11" s="1"/>
  <c r="AC63" i="18"/>
  <c r="N64" i="11" s="1"/>
  <c r="AC36" i="18"/>
  <c r="D37" i="11" s="1"/>
  <c r="AC21" i="18"/>
  <c r="D22" i="11" s="1"/>
  <c r="AC20" i="18"/>
  <c r="N21" i="11" s="1"/>
  <c r="AC51" i="18"/>
  <c r="N52" i="11" s="1"/>
  <c r="AC19" i="18"/>
  <c r="N20" i="11" s="1"/>
  <c r="AC62" i="18"/>
  <c r="D63" i="11" s="1"/>
  <c r="AC61" i="18"/>
  <c r="D62" i="11" s="1"/>
  <c r="AC35" i="18"/>
  <c r="D36" i="11" s="1"/>
  <c r="AC18" i="18"/>
  <c r="N19" i="11" s="1"/>
  <c r="AC50" i="18"/>
  <c r="N51" i="11" s="1"/>
  <c r="AC49" i="18"/>
  <c r="D50" i="11" s="1"/>
  <c r="AC17" i="18"/>
  <c r="N18" i="11" s="1"/>
  <c r="AC60" i="18"/>
  <c r="D61" i="11" s="1"/>
  <c r="AC34" i="18"/>
  <c r="D35" i="11" s="1"/>
  <c r="AC59" i="18"/>
  <c r="D60" i="11" s="1"/>
  <c r="AC58" i="18"/>
  <c r="D59" i="11" s="1"/>
  <c r="AC33" i="18"/>
  <c r="N34" i="11" s="1"/>
  <c r="AC48" i="18"/>
  <c r="D49" i="11" s="1"/>
  <c r="AC32" i="18"/>
  <c r="N33" i="11" s="1"/>
  <c r="AC47" i="18"/>
  <c r="D48" i="11" s="1"/>
  <c r="AC16" i="18"/>
  <c r="N17" i="11" s="1"/>
  <c r="AC46" i="18"/>
  <c r="D47" i="11" s="1"/>
  <c r="AC45" i="18"/>
  <c r="D46" i="11" s="1"/>
  <c r="AC57" i="18"/>
  <c r="D58" i="11" s="1"/>
  <c r="AC15" i="18"/>
  <c r="D16" i="11" s="1"/>
  <c r="AC56" i="18"/>
  <c r="D57" i="11" s="1"/>
  <c r="AC14" i="18"/>
  <c r="D15" i="11" s="1"/>
  <c r="AC13" i="18"/>
  <c r="N14" i="11" s="1"/>
  <c r="AC44" i="18"/>
  <c r="N45" i="11" s="1"/>
  <c r="AC43" i="18"/>
  <c r="N44" i="11" s="1"/>
  <c r="AC42" i="18"/>
  <c r="N43" i="11" s="1"/>
  <c r="AC41" i="18"/>
  <c r="N42" i="11" s="1"/>
  <c r="AC31" i="18"/>
  <c r="N32" i="11" s="1"/>
  <c r="AC30" i="18"/>
  <c r="N31" i="11" s="1"/>
  <c r="AC12" i="18"/>
  <c r="D13" i="11" s="1"/>
  <c r="AC11" i="18"/>
  <c r="D12" i="11" s="1"/>
  <c r="AC10" i="18"/>
  <c r="D11" i="11" s="1"/>
  <c r="AC55" i="18"/>
  <c r="N56" i="11" s="1"/>
  <c r="AC29" i="18"/>
  <c r="N30" i="11" s="1"/>
  <c r="AC28" i="18"/>
  <c r="N29" i="11" s="1"/>
  <c r="AC9" i="18"/>
  <c r="D10" i="11" s="1"/>
  <c r="AC26" i="18"/>
  <c r="N27" i="11" s="1"/>
  <c r="AC27" i="18"/>
  <c r="D28" i="11" s="1"/>
  <c r="AC8" i="18"/>
  <c r="AB38" i="18"/>
  <c r="AB52" i="18"/>
  <c r="AB23" i="18"/>
  <c r="AB37" i="18"/>
  <c r="AB22" i="18"/>
  <c r="AB63" i="18"/>
  <c r="AB36" i="18"/>
  <c r="AB21" i="18"/>
  <c r="AB20" i="18"/>
  <c r="AB51" i="18"/>
  <c r="AB19" i="18"/>
  <c r="AB62" i="18"/>
  <c r="AB61" i="18"/>
  <c r="AB35" i="18"/>
  <c r="AB18" i="18"/>
  <c r="AB50" i="18"/>
  <c r="AB49" i="18"/>
  <c r="AB17" i="18"/>
  <c r="AB60" i="18"/>
  <c r="AB34" i="18"/>
  <c r="AB59" i="18"/>
  <c r="AB58" i="18"/>
  <c r="AB33" i="18"/>
  <c r="AB48" i="18"/>
  <c r="AB32" i="18"/>
  <c r="AB47" i="18"/>
  <c r="AB16" i="18"/>
  <c r="AB46" i="18"/>
  <c r="AB45" i="18"/>
  <c r="AB57" i="18"/>
  <c r="AB15" i="18"/>
  <c r="AB56" i="18"/>
  <c r="AB14" i="18"/>
  <c r="AB13" i="18"/>
  <c r="AB44" i="18"/>
  <c r="AB43" i="18"/>
  <c r="AB42" i="18"/>
  <c r="AB41" i="18"/>
  <c r="AB31" i="18"/>
  <c r="AB30" i="18"/>
  <c r="AB12" i="18"/>
  <c r="AB11" i="18"/>
  <c r="AB55" i="18"/>
  <c r="AB29" i="18"/>
  <c r="AB28" i="18"/>
  <c r="AB9" i="18"/>
  <c r="AB27" i="18"/>
  <c r="AB26" i="18"/>
  <c r="AB8" i="18"/>
  <c r="BR40" i="18" l="1"/>
  <c r="D14" i="11"/>
  <c r="D27" i="11"/>
  <c r="D39" i="11"/>
  <c r="D52" i="11"/>
  <c r="H16" i="11"/>
  <c r="H36" i="11"/>
  <c r="H65" i="11"/>
  <c r="N16" i="11"/>
  <c r="N28" i="11"/>
  <c r="N63" i="11"/>
  <c r="R15" i="11"/>
  <c r="R38" i="11"/>
  <c r="D44" i="11"/>
  <c r="AB24" i="18"/>
  <c r="D30" i="11"/>
  <c r="D51" i="11"/>
  <c r="D64" i="11"/>
  <c r="H64" i="11"/>
  <c r="N15" i="11"/>
  <c r="N38" i="11"/>
  <c r="N62" i="11"/>
  <c r="R37" i="11"/>
  <c r="R42" i="11"/>
  <c r="D29" i="11"/>
  <c r="R56" i="11"/>
  <c r="D20" i="11"/>
  <c r="G6" i="11"/>
  <c r="H33" i="11"/>
  <c r="H48" i="11"/>
  <c r="N49" i="11"/>
  <c r="N60" i="11"/>
  <c r="R59" i="11"/>
  <c r="D45" i="11"/>
  <c r="N59" i="11"/>
  <c r="R58" i="11"/>
  <c r="R18" i="11"/>
  <c r="R57" i="11"/>
  <c r="D21" i="11"/>
  <c r="D33" i="11"/>
  <c r="D43" i="11"/>
  <c r="H10" i="11"/>
  <c r="H30" i="11"/>
  <c r="H45" i="11"/>
  <c r="H62" i="11"/>
  <c r="N22" i="11"/>
  <c r="N10" i="11"/>
  <c r="N46" i="11"/>
  <c r="N57" i="11"/>
  <c r="D34" i="11"/>
  <c r="D32" i="11"/>
  <c r="H29" i="11"/>
  <c r="H44" i="11"/>
  <c r="H61" i="11"/>
  <c r="N24" i="11"/>
  <c r="H28" i="11"/>
  <c r="H43" i="11"/>
  <c r="H60" i="11"/>
  <c r="H27" i="11"/>
  <c r="H39" i="11"/>
  <c r="CF6" i="18"/>
  <c r="CG6" i="18"/>
  <c r="CF53" i="18"/>
  <c r="CG53" i="18"/>
  <c r="CF24" i="18"/>
  <c r="CG39" i="18"/>
  <c r="CF39" i="18"/>
  <c r="CF5" i="18"/>
  <c r="CG5" i="18"/>
  <c r="CG24" i="18"/>
  <c r="BS40" i="18"/>
  <c r="G41" i="11" s="1"/>
  <c r="BS25" i="18"/>
  <c r="G26" i="11" s="1"/>
  <c r="BS7" i="18"/>
  <c r="G8" i="11" s="1"/>
  <c r="BS54" i="18"/>
  <c r="G55" i="11" s="1"/>
  <c r="BR54" i="18"/>
  <c r="BR25" i="18"/>
  <c r="BR7" i="18"/>
  <c r="AC24" i="18"/>
  <c r="U65" i="11"/>
  <c r="U61" i="11"/>
  <c r="U62" i="11"/>
  <c r="U63" i="11"/>
  <c r="U64" i="11"/>
  <c r="U60" i="11"/>
  <c r="U57" i="11"/>
  <c r="U58" i="11"/>
  <c r="U59" i="11"/>
  <c r="U56" i="11"/>
  <c r="U52" i="11"/>
  <c r="U53" i="11"/>
  <c r="U51" i="11"/>
  <c r="U50" i="11"/>
  <c r="U47" i="11"/>
  <c r="U48" i="11"/>
  <c r="U49" i="11"/>
  <c r="U46" i="11"/>
  <c r="U43" i="11"/>
  <c r="U44" i="11"/>
  <c r="U45" i="11"/>
  <c r="U42" i="11"/>
  <c r="U36" i="11"/>
  <c r="U37" i="11"/>
  <c r="U38" i="11"/>
  <c r="U39" i="11"/>
  <c r="U35" i="11"/>
  <c r="U32" i="11"/>
  <c r="U33" i="11"/>
  <c r="U34" i="11"/>
  <c r="U31" i="11"/>
  <c r="U28" i="11"/>
  <c r="U29" i="11"/>
  <c r="U30" i="11"/>
  <c r="U27" i="11"/>
  <c r="U22" i="11"/>
  <c r="U23" i="11"/>
  <c r="U24" i="11"/>
  <c r="U21" i="11"/>
  <c r="U18" i="11"/>
  <c r="U19" i="11"/>
  <c r="U20" i="11"/>
  <c r="U17" i="11"/>
  <c r="U14" i="11"/>
  <c r="U15" i="11"/>
  <c r="U16" i="11"/>
  <c r="U13" i="11"/>
  <c r="U10" i="11"/>
  <c r="U11" i="11"/>
  <c r="U12" i="11"/>
  <c r="U9" i="11"/>
  <c r="T65" i="11"/>
  <c r="T61" i="11"/>
  <c r="T62" i="11"/>
  <c r="T63" i="11"/>
  <c r="T64" i="11"/>
  <c r="T60" i="11"/>
  <c r="T57" i="11"/>
  <c r="T58" i="11"/>
  <c r="T59" i="11"/>
  <c r="T56" i="11"/>
  <c r="T51" i="11"/>
  <c r="T52" i="11"/>
  <c r="T53" i="11"/>
  <c r="T50" i="11"/>
  <c r="T47" i="11"/>
  <c r="T48" i="11"/>
  <c r="T49" i="11"/>
  <c r="T46" i="11"/>
  <c r="T43" i="11"/>
  <c r="T44" i="11"/>
  <c r="T45" i="11"/>
  <c r="T42" i="11"/>
  <c r="T36" i="11"/>
  <c r="T37" i="11"/>
  <c r="T38" i="11"/>
  <c r="T39" i="11"/>
  <c r="T35" i="11"/>
  <c r="T32" i="11"/>
  <c r="T33" i="11"/>
  <c r="T34" i="11"/>
  <c r="T31" i="11"/>
  <c r="T28" i="11"/>
  <c r="T29" i="11"/>
  <c r="T30" i="11"/>
  <c r="T27" i="11"/>
  <c r="T22" i="11"/>
  <c r="T23" i="11"/>
  <c r="T24" i="11"/>
  <c r="T21" i="11"/>
  <c r="T18" i="11"/>
  <c r="T19" i="11"/>
  <c r="T20" i="11"/>
  <c r="T17" i="11"/>
  <c r="T16" i="11"/>
  <c r="T14" i="11"/>
  <c r="T15" i="11"/>
  <c r="T13" i="11"/>
  <c r="T10" i="11"/>
  <c r="T11" i="11"/>
  <c r="T12" i="11"/>
  <c r="T9" i="11"/>
  <c r="P65" i="11"/>
  <c r="P61" i="11"/>
  <c r="P62" i="11"/>
  <c r="P63" i="11"/>
  <c r="P64" i="11"/>
  <c r="P60" i="11"/>
  <c r="P57" i="11"/>
  <c r="P58" i="11"/>
  <c r="P59" i="11"/>
  <c r="P56" i="11"/>
  <c r="P51" i="11"/>
  <c r="P52" i="11"/>
  <c r="P53" i="11"/>
  <c r="P50" i="11"/>
  <c r="P47" i="11"/>
  <c r="P48" i="11"/>
  <c r="P49" i="11"/>
  <c r="P46" i="11"/>
  <c r="P43" i="11"/>
  <c r="P44" i="11"/>
  <c r="P45" i="11"/>
  <c r="P42" i="11"/>
  <c r="P36" i="11"/>
  <c r="P37" i="11"/>
  <c r="P38" i="11"/>
  <c r="P39" i="11"/>
  <c r="P35" i="11"/>
  <c r="P32" i="11"/>
  <c r="P33" i="11"/>
  <c r="P34" i="11"/>
  <c r="P31" i="11"/>
  <c r="P28" i="11"/>
  <c r="P29" i="11"/>
  <c r="P30" i="11"/>
  <c r="P27" i="11"/>
  <c r="P22" i="11"/>
  <c r="P23" i="11"/>
  <c r="P24" i="11"/>
  <c r="P21" i="11"/>
  <c r="P18" i="11"/>
  <c r="P19" i="11"/>
  <c r="P20" i="11"/>
  <c r="P17" i="11"/>
  <c r="P14" i="11"/>
  <c r="P15" i="11"/>
  <c r="P16" i="11"/>
  <c r="P13" i="11"/>
  <c r="P10" i="11"/>
  <c r="P11" i="11"/>
  <c r="P12" i="11"/>
  <c r="P9" i="11"/>
  <c r="O65" i="11"/>
  <c r="O61" i="11"/>
  <c r="O62" i="11"/>
  <c r="O63" i="11"/>
  <c r="O64" i="11"/>
  <c r="O60" i="11"/>
  <c r="O57" i="11"/>
  <c r="O58" i="11"/>
  <c r="O59" i="11"/>
  <c r="O56" i="11"/>
  <c r="O51" i="11"/>
  <c r="O52" i="11"/>
  <c r="O53" i="11"/>
  <c r="O50" i="11"/>
  <c r="O47" i="11"/>
  <c r="O48" i="11"/>
  <c r="O49" i="11"/>
  <c r="O46" i="11"/>
  <c r="O43" i="11"/>
  <c r="O44" i="11"/>
  <c r="O45" i="11"/>
  <c r="O42" i="11"/>
  <c r="O36" i="11"/>
  <c r="O37" i="11"/>
  <c r="O38" i="11"/>
  <c r="O39" i="11"/>
  <c r="O35" i="11"/>
  <c r="O32" i="11"/>
  <c r="O33" i="11"/>
  <c r="O34" i="11"/>
  <c r="O31" i="11"/>
  <c r="O28" i="11"/>
  <c r="O29" i="11"/>
  <c r="O30" i="11"/>
  <c r="O27" i="11"/>
  <c r="O22" i="11"/>
  <c r="O23" i="11"/>
  <c r="O24" i="11"/>
  <c r="O21" i="11"/>
  <c r="O18" i="11"/>
  <c r="O19" i="11"/>
  <c r="O20" i="11"/>
  <c r="O17" i="11"/>
  <c r="O14" i="11"/>
  <c r="O15" i="11"/>
  <c r="O16" i="11"/>
  <c r="O13" i="11"/>
  <c r="O10" i="11"/>
  <c r="O11" i="11"/>
  <c r="O12" i="11"/>
  <c r="O9" i="11"/>
  <c r="M65" i="11"/>
  <c r="M61" i="11"/>
  <c r="M62" i="11"/>
  <c r="M63" i="11"/>
  <c r="M64" i="11"/>
  <c r="M60" i="11"/>
  <c r="M57" i="11"/>
  <c r="M58" i="11"/>
  <c r="M59" i="11"/>
  <c r="M56" i="11"/>
  <c r="M51" i="11"/>
  <c r="M52" i="11"/>
  <c r="M53" i="11"/>
  <c r="M50" i="11"/>
  <c r="M47" i="11"/>
  <c r="M48" i="11"/>
  <c r="M49" i="11"/>
  <c r="M46" i="11"/>
  <c r="M43" i="11"/>
  <c r="M44" i="11"/>
  <c r="M45" i="11"/>
  <c r="M42" i="11"/>
  <c r="M36" i="11"/>
  <c r="M37" i="11"/>
  <c r="M38" i="11"/>
  <c r="M39" i="11"/>
  <c r="M35" i="11"/>
  <c r="M32" i="11"/>
  <c r="M33" i="11"/>
  <c r="M34" i="11"/>
  <c r="M31" i="11"/>
  <c r="M28" i="11"/>
  <c r="M29" i="11"/>
  <c r="M30" i="11"/>
  <c r="M27" i="11"/>
  <c r="M22" i="11"/>
  <c r="M23" i="11"/>
  <c r="M24" i="11"/>
  <c r="M21" i="11"/>
  <c r="M18" i="11"/>
  <c r="M19" i="11"/>
  <c r="M20" i="11"/>
  <c r="M17" i="11"/>
  <c r="M14" i="11"/>
  <c r="M15" i="11"/>
  <c r="M16" i="11"/>
  <c r="M13" i="11"/>
  <c r="M12" i="11"/>
  <c r="M11" i="11"/>
  <c r="M10" i="11"/>
  <c r="M9" i="11"/>
  <c r="K65" i="11"/>
  <c r="K61" i="11"/>
  <c r="K62" i="11"/>
  <c r="K63" i="11"/>
  <c r="K64" i="11"/>
  <c r="K60" i="11"/>
  <c r="K57" i="11"/>
  <c r="K58" i="11"/>
  <c r="K59" i="11"/>
  <c r="K56" i="11"/>
  <c r="K51" i="11"/>
  <c r="K52" i="11"/>
  <c r="K53" i="11"/>
  <c r="K50" i="11"/>
  <c r="K47" i="11"/>
  <c r="K48" i="11"/>
  <c r="K49" i="11"/>
  <c r="K46" i="11"/>
  <c r="K43" i="11"/>
  <c r="K44" i="11"/>
  <c r="K45" i="11"/>
  <c r="K42" i="11"/>
  <c r="K36" i="11"/>
  <c r="K37" i="11"/>
  <c r="K38" i="11"/>
  <c r="K39" i="11"/>
  <c r="K35" i="11"/>
  <c r="K32" i="11"/>
  <c r="K33" i="11"/>
  <c r="K34" i="11"/>
  <c r="K31" i="11"/>
  <c r="K29" i="11"/>
  <c r="K30" i="11"/>
  <c r="K28" i="11"/>
  <c r="K27" i="11"/>
  <c r="K22" i="11"/>
  <c r="K23" i="11"/>
  <c r="K24" i="11"/>
  <c r="K21" i="11"/>
  <c r="K18" i="11"/>
  <c r="K19" i="11"/>
  <c r="K20" i="11"/>
  <c r="K17" i="11"/>
  <c r="K14" i="11"/>
  <c r="K15" i="11"/>
  <c r="K16" i="11"/>
  <c r="K13" i="11"/>
  <c r="K10" i="11"/>
  <c r="K11" i="11"/>
  <c r="K12" i="11"/>
  <c r="K9" i="11"/>
  <c r="J65" i="11"/>
  <c r="J61" i="11"/>
  <c r="J62" i="11"/>
  <c r="J63" i="11"/>
  <c r="J64" i="11"/>
  <c r="J60" i="11"/>
  <c r="J57" i="11"/>
  <c r="J58" i="11"/>
  <c r="J59" i="11"/>
  <c r="J56" i="11"/>
  <c r="J51" i="11"/>
  <c r="J52" i="11"/>
  <c r="J53" i="11"/>
  <c r="J50" i="11"/>
  <c r="J47" i="11"/>
  <c r="J48" i="11"/>
  <c r="J49" i="11"/>
  <c r="J46" i="11"/>
  <c r="J43" i="11"/>
  <c r="J44" i="11"/>
  <c r="J45" i="11"/>
  <c r="J42" i="11"/>
  <c r="J36" i="11"/>
  <c r="J37" i="11"/>
  <c r="J38" i="11"/>
  <c r="J39" i="11"/>
  <c r="J35" i="11"/>
  <c r="J32" i="11"/>
  <c r="J33" i="11"/>
  <c r="J34" i="11"/>
  <c r="J31" i="11"/>
  <c r="J28" i="11"/>
  <c r="J29" i="11"/>
  <c r="J30" i="11"/>
  <c r="J27" i="11"/>
  <c r="J22" i="11"/>
  <c r="J23" i="11"/>
  <c r="J24" i="11"/>
  <c r="J21" i="11"/>
  <c r="J18" i="11"/>
  <c r="J19" i="11"/>
  <c r="J20" i="11"/>
  <c r="J17" i="11"/>
  <c r="J14" i="11"/>
  <c r="J15" i="11"/>
  <c r="J16" i="11"/>
  <c r="J13" i="11"/>
  <c r="J10" i="11"/>
  <c r="J11" i="11"/>
  <c r="J12" i="11"/>
  <c r="J9" i="11"/>
  <c r="F65" i="11"/>
  <c r="F61" i="11"/>
  <c r="F62" i="11"/>
  <c r="F63" i="11"/>
  <c r="F64" i="11"/>
  <c r="F60" i="11"/>
  <c r="F57" i="11"/>
  <c r="F58" i="11"/>
  <c r="F59" i="11"/>
  <c r="F56" i="11"/>
  <c r="F51" i="11"/>
  <c r="F52" i="11"/>
  <c r="F53" i="11"/>
  <c r="F50" i="11"/>
  <c r="F47" i="11"/>
  <c r="F48" i="11"/>
  <c r="F49" i="11"/>
  <c r="F46" i="11"/>
  <c r="F43" i="11"/>
  <c r="F44" i="11"/>
  <c r="F45" i="11"/>
  <c r="F42" i="11"/>
  <c r="F32" i="11"/>
  <c r="F33" i="11"/>
  <c r="F34" i="11"/>
  <c r="F35" i="11"/>
  <c r="F36" i="11"/>
  <c r="F37" i="11"/>
  <c r="F38" i="11"/>
  <c r="F39" i="11"/>
  <c r="F31" i="11"/>
  <c r="F29" i="11"/>
  <c r="F30" i="11"/>
  <c r="F28" i="11"/>
  <c r="F27" i="11"/>
  <c r="F22" i="11"/>
  <c r="F23" i="11"/>
  <c r="F24" i="11"/>
  <c r="F21" i="11"/>
  <c r="F18" i="11"/>
  <c r="F19" i="11"/>
  <c r="F20" i="11"/>
  <c r="F17" i="11"/>
  <c r="F14" i="11"/>
  <c r="F15" i="11"/>
  <c r="F16" i="11"/>
  <c r="F13" i="11"/>
  <c r="F10" i="11"/>
  <c r="F11" i="11"/>
  <c r="F12" i="11"/>
  <c r="F9" i="11"/>
  <c r="E65" i="11"/>
  <c r="E61" i="11"/>
  <c r="E62" i="11"/>
  <c r="E63" i="11"/>
  <c r="E64" i="11"/>
  <c r="E60" i="11"/>
  <c r="E57" i="11"/>
  <c r="E58" i="11"/>
  <c r="E59" i="11"/>
  <c r="E56" i="11"/>
  <c r="E51" i="11"/>
  <c r="E52" i="11"/>
  <c r="E53" i="11"/>
  <c r="E50" i="11"/>
  <c r="E47" i="11"/>
  <c r="E48" i="11"/>
  <c r="E49" i="11"/>
  <c r="E46" i="11"/>
  <c r="E43" i="11"/>
  <c r="E44" i="11"/>
  <c r="E45" i="11"/>
  <c r="E42" i="11"/>
  <c r="E36" i="11"/>
  <c r="E37" i="11"/>
  <c r="E38" i="11"/>
  <c r="E39" i="11"/>
  <c r="E35" i="11"/>
  <c r="E32" i="11"/>
  <c r="E33" i="11"/>
  <c r="E34" i="11"/>
  <c r="E31" i="11"/>
  <c r="E28" i="11"/>
  <c r="E29" i="11"/>
  <c r="E30" i="11"/>
  <c r="E27" i="11"/>
  <c r="E22" i="11"/>
  <c r="E23" i="11"/>
  <c r="E24" i="11"/>
  <c r="E21" i="11"/>
  <c r="E18" i="11"/>
  <c r="E19" i="11"/>
  <c r="E20" i="11"/>
  <c r="E17" i="11"/>
  <c r="E14" i="11"/>
  <c r="E15" i="11"/>
  <c r="E16" i="11"/>
  <c r="E13" i="11"/>
  <c r="E10" i="11"/>
  <c r="E11" i="11"/>
  <c r="E12" i="11"/>
  <c r="E9" i="11"/>
  <c r="C65" i="11"/>
  <c r="C61" i="11"/>
  <c r="C62" i="11"/>
  <c r="C63" i="11"/>
  <c r="C64" i="11"/>
  <c r="C60" i="11"/>
  <c r="C57" i="11"/>
  <c r="C58" i="11"/>
  <c r="C59" i="11"/>
  <c r="C56" i="11"/>
  <c r="C51" i="11"/>
  <c r="C52" i="11"/>
  <c r="C53" i="11"/>
  <c r="C50" i="11"/>
  <c r="C47" i="11"/>
  <c r="C48" i="11"/>
  <c r="C49" i="11"/>
  <c r="C46" i="11"/>
  <c r="C43" i="11"/>
  <c r="C44" i="11"/>
  <c r="C45" i="11"/>
  <c r="C42" i="11"/>
  <c r="C36" i="11"/>
  <c r="C37" i="11"/>
  <c r="C38" i="11"/>
  <c r="C39" i="11"/>
  <c r="C35" i="11"/>
  <c r="C32" i="11"/>
  <c r="C33" i="11"/>
  <c r="C34" i="11"/>
  <c r="C31" i="11"/>
  <c r="C28" i="11"/>
  <c r="C29" i="11"/>
  <c r="C30" i="11"/>
  <c r="C27" i="11"/>
  <c r="C22" i="11"/>
  <c r="C23" i="11"/>
  <c r="C24" i="11"/>
  <c r="C21" i="11"/>
  <c r="C18" i="11"/>
  <c r="C19" i="11"/>
  <c r="C20" i="11"/>
  <c r="C17" i="11"/>
  <c r="C14" i="11"/>
  <c r="C15" i="11"/>
  <c r="C16" i="11"/>
  <c r="C13" i="11"/>
  <c r="C10" i="11"/>
  <c r="C11" i="11"/>
  <c r="C12" i="11"/>
  <c r="C9" i="11"/>
  <c r="H6" i="11" l="1"/>
  <c r="D25" i="11"/>
  <c r="H40" i="11"/>
  <c r="H54" i="11"/>
  <c r="H7" i="11"/>
  <c r="H25" i="11"/>
  <c r="CF25" i="18"/>
  <c r="CG40" i="18"/>
  <c r="H41" i="11" s="1"/>
  <c r="CF40" i="18"/>
  <c r="CF54" i="18"/>
  <c r="CF7" i="18"/>
  <c r="CG25" i="18"/>
  <c r="H26" i="11" s="1"/>
  <c r="CG54" i="18"/>
  <c r="H55" i="11" s="1"/>
  <c r="CG7" i="18"/>
  <c r="H8" i="11" s="1"/>
  <c r="DV5" i="18"/>
  <c r="DV40" i="18" s="1"/>
  <c r="DW5" i="18"/>
  <c r="DV6" i="18"/>
  <c r="DW6" i="18"/>
  <c r="DV24" i="18"/>
  <c r="DW24" i="18"/>
  <c r="DV39" i="18"/>
  <c r="DW39" i="18"/>
  <c r="DV53" i="18"/>
  <c r="DW53" i="18"/>
  <c r="DH53" i="18"/>
  <c r="DI53" i="18"/>
  <c r="DH39" i="18"/>
  <c r="DH24" i="18"/>
  <c r="DI24" i="18"/>
  <c r="DH5" i="18"/>
  <c r="DI5" i="18"/>
  <c r="DH6" i="18"/>
  <c r="DI6" i="18"/>
  <c r="CT53" i="18"/>
  <c r="CU53" i="18"/>
  <c r="CT39" i="18"/>
  <c r="CU39" i="18"/>
  <c r="CT24" i="18"/>
  <c r="CU24" i="18"/>
  <c r="I25" i="11" l="1"/>
  <c r="I40" i="11"/>
  <c r="I54" i="11"/>
  <c r="DH7" i="18"/>
  <c r="J54" i="11"/>
  <c r="K54" i="11"/>
  <c r="J7" i="11"/>
  <c r="DI54" i="18"/>
  <c r="J55" i="11" s="1"/>
  <c r="J6" i="11"/>
  <c r="K25" i="11"/>
  <c r="J25" i="11"/>
  <c r="K7" i="11"/>
  <c r="K40" i="11"/>
  <c r="DH25" i="18"/>
  <c r="J40" i="11"/>
  <c r="DW25" i="18"/>
  <c r="K26" i="11" s="1"/>
  <c r="K6" i="11"/>
  <c r="DH54" i="18"/>
  <c r="DH40" i="18"/>
  <c r="DW7" i="18"/>
  <c r="K8" i="11" s="1"/>
  <c r="DV7" i="18"/>
  <c r="DW54" i="18"/>
  <c r="DV54" i="18"/>
  <c r="DV25" i="18"/>
  <c r="DW40" i="18"/>
  <c r="K41" i="11" s="1"/>
  <c r="DI7" i="18"/>
  <c r="J8" i="11" s="1"/>
  <c r="DI25" i="18"/>
  <c r="J26" i="11" s="1"/>
  <c r="DI40" i="18"/>
  <c r="J41" i="11" s="1"/>
  <c r="CT5" i="18"/>
  <c r="CU5" i="18"/>
  <c r="CT6" i="18"/>
  <c r="CU6" i="18"/>
  <c r="BD24" i="18"/>
  <c r="BE24" i="18"/>
  <c r="BD39" i="18"/>
  <c r="BE39" i="18"/>
  <c r="BD53" i="18"/>
  <c r="BE53" i="18"/>
  <c r="BD5" i="18"/>
  <c r="BE5" i="18"/>
  <c r="BD6" i="18"/>
  <c r="BE6" i="18"/>
  <c r="AP53" i="18"/>
  <c r="AQ53" i="18"/>
  <c r="AP39" i="18"/>
  <c r="AQ39" i="18"/>
  <c r="AP24" i="18"/>
  <c r="AQ24" i="18"/>
  <c r="AP6" i="18"/>
  <c r="AQ6" i="18"/>
  <c r="AP5" i="18"/>
  <c r="AQ5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D6" i="18"/>
  <c r="AE6" i="18"/>
  <c r="AF6" i="18"/>
  <c r="AG6" i="18"/>
  <c r="AH6" i="18"/>
  <c r="AI6" i="18"/>
  <c r="AJ6" i="18"/>
  <c r="AK6" i="18"/>
  <c r="AL6" i="18"/>
  <c r="AM6" i="18"/>
  <c r="AN6" i="18"/>
  <c r="AO6" i="18"/>
  <c r="AB53" i="18"/>
  <c r="AC53" i="18"/>
  <c r="AB39" i="18"/>
  <c r="AC39" i="18"/>
  <c r="AB5" i="18"/>
  <c r="AB25" i="18" s="1"/>
  <c r="AC5" i="18"/>
  <c r="N53" i="18"/>
  <c r="O53" i="18"/>
  <c r="N39" i="18"/>
  <c r="O39" i="18"/>
  <c r="N24" i="18"/>
  <c r="O24" i="18"/>
  <c r="N5" i="18"/>
  <c r="O5" i="18"/>
  <c r="CS39" i="18"/>
  <c r="N53" i="11"/>
  <c r="DU53" i="18"/>
  <c r="DG53" i="18"/>
  <c r="CS53" i="18"/>
  <c r="CE53" i="18"/>
  <c r="BQ53" i="18"/>
  <c r="BC53" i="18"/>
  <c r="DU39" i="18"/>
  <c r="DG39" i="18"/>
  <c r="CE39" i="18"/>
  <c r="BQ39" i="18"/>
  <c r="BC39" i="18"/>
  <c r="DU24" i="18"/>
  <c r="DG24" i="18"/>
  <c r="CS24" i="18"/>
  <c r="CE24" i="18"/>
  <c r="BQ24" i="18"/>
  <c r="BC24" i="18"/>
  <c r="DU6" i="18"/>
  <c r="DU5" i="18"/>
  <c r="DG6" i="18"/>
  <c r="DG5" i="18"/>
  <c r="CS6" i="18"/>
  <c r="CS5" i="18"/>
  <c r="CE6" i="18"/>
  <c r="CE5" i="18"/>
  <c r="BQ6" i="18"/>
  <c r="BQ5" i="18"/>
  <c r="BC6" i="18"/>
  <c r="BC5" i="18"/>
  <c r="AO53" i="18"/>
  <c r="AO39" i="18"/>
  <c r="AO24" i="18"/>
  <c r="AO5" i="18"/>
  <c r="AA53" i="18"/>
  <c r="AA39" i="18"/>
  <c r="M53" i="18"/>
  <c r="M39" i="18"/>
  <c r="DT53" i="18"/>
  <c r="DT39" i="18"/>
  <c r="DT24" i="18"/>
  <c r="DT6" i="18"/>
  <c r="DT5" i="18"/>
  <c r="DF53" i="18"/>
  <c r="DF39" i="18"/>
  <c r="DF24" i="18"/>
  <c r="DF6" i="18"/>
  <c r="DF5" i="18"/>
  <c r="CR53" i="18"/>
  <c r="CR39" i="18"/>
  <c r="CR24" i="18"/>
  <c r="CR6" i="18"/>
  <c r="CR5" i="18"/>
  <c r="CD53" i="18"/>
  <c r="CD39" i="18"/>
  <c r="CD24" i="18"/>
  <c r="CD6" i="18"/>
  <c r="CD5" i="18"/>
  <c r="BP53" i="18"/>
  <c r="BP39" i="18"/>
  <c r="BP24" i="18"/>
  <c r="BP6" i="18"/>
  <c r="BP5" i="18"/>
  <c r="BB53" i="18"/>
  <c r="BB39" i="18"/>
  <c r="BB24" i="18"/>
  <c r="BB6" i="18"/>
  <c r="BB5" i="18"/>
  <c r="AN53" i="18"/>
  <c r="AN39" i="18"/>
  <c r="AN24" i="18"/>
  <c r="AN5" i="18"/>
  <c r="Z53" i="18"/>
  <c r="Z39" i="18"/>
  <c r="Z24" i="18"/>
  <c r="Z5" i="18"/>
  <c r="L53" i="18"/>
  <c r="L39" i="18"/>
  <c r="L24" i="18"/>
  <c r="L5" i="18"/>
  <c r="J5" i="18"/>
  <c r="AM5" i="18"/>
  <c r="J53" i="18"/>
  <c r="J39" i="18"/>
  <c r="J24" i="18"/>
  <c r="D40" i="11" l="1"/>
  <c r="D54" i="11"/>
  <c r="I7" i="11"/>
  <c r="D7" i="11"/>
  <c r="N7" i="11"/>
  <c r="CU25" i="18"/>
  <c r="I26" i="11" s="1"/>
  <c r="I6" i="11"/>
  <c r="AC25" i="18"/>
  <c r="D26" i="11" s="1"/>
  <c r="D6" i="11"/>
  <c r="F40" i="11"/>
  <c r="E40" i="11"/>
  <c r="F25" i="11"/>
  <c r="C6" i="11"/>
  <c r="M6" i="11"/>
  <c r="E54" i="11"/>
  <c r="E25" i="11"/>
  <c r="C25" i="11"/>
  <c r="M25" i="11"/>
  <c r="F7" i="11"/>
  <c r="C40" i="11"/>
  <c r="M40" i="11"/>
  <c r="C7" i="11"/>
  <c r="M7" i="11"/>
  <c r="E6" i="11"/>
  <c r="F6" i="11"/>
  <c r="C54" i="11"/>
  <c r="M54" i="11"/>
  <c r="E7" i="11"/>
  <c r="O7" i="11"/>
  <c r="F54" i="11"/>
  <c r="CU40" i="18"/>
  <c r="I41" i="11" s="1"/>
  <c r="CT7" i="18"/>
  <c r="CT54" i="18"/>
  <c r="CT40" i="18"/>
  <c r="CT25" i="18"/>
  <c r="CU54" i="18"/>
  <c r="I55" i="11" s="1"/>
  <c r="CU7" i="18"/>
  <c r="I8" i="11" s="1"/>
  <c r="BD25" i="18"/>
  <c r="BD40" i="18"/>
  <c r="AP54" i="18"/>
  <c r="BC40" i="18"/>
  <c r="BD7" i="18"/>
  <c r="BD54" i="18"/>
  <c r="BE54" i="18"/>
  <c r="F55" i="11" s="1"/>
  <c r="BE40" i="18"/>
  <c r="F41" i="11" s="1"/>
  <c r="BE25" i="18"/>
  <c r="F26" i="11" s="1"/>
  <c r="BE7" i="18"/>
  <c r="F8" i="11" s="1"/>
  <c r="AP7" i="18"/>
  <c r="AP25" i="18"/>
  <c r="AB40" i="18"/>
  <c r="AC40" i="18"/>
  <c r="D41" i="11" s="1"/>
  <c r="AC54" i="18"/>
  <c r="D55" i="11" s="1"/>
  <c r="N40" i="18"/>
  <c r="AP40" i="18"/>
  <c r="AQ40" i="18"/>
  <c r="E41" i="11" s="1"/>
  <c r="AQ7" i="18"/>
  <c r="E8" i="11" s="1"/>
  <c r="AQ25" i="18"/>
  <c r="E26" i="11" s="1"/>
  <c r="AQ54" i="18"/>
  <c r="E55" i="11" s="1"/>
  <c r="AB54" i="18"/>
  <c r="AC7" i="18"/>
  <c r="D8" i="11" s="1"/>
  <c r="AB7" i="18"/>
  <c r="O7" i="18"/>
  <c r="C8" i="11" s="1"/>
  <c r="N25" i="18"/>
  <c r="N54" i="18"/>
  <c r="N7" i="18"/>
  <c r="O54" i="18"/>
  <c r="C55" i="11" s="1"/>
  <c r="O40" i="18"/>
  <c r="C41" i="11" s="1"/>
  <c r="O25" i="18"/>
  <c r="C26" i="11" s="1"/>
  <c r="CS40" i="18"/>
  <c r="BQ54" i="18"/>
  <c r="CE40" i="18"/>
  <c r="DU25" i="18"/>
  <c r="CS7" i="18"/>
  <c r="BQ40" i="18"/>
  <c r="DU7" i="18"/>
  <c r="DG7" i="18"/>
  <c r="BC7" i="18"/>
  <c r="CE54" i="18"/>
  <c r="DG40" i="18"/>
  <c r="BP25" i="18"/>
  <c r="BQ25" i="18"/>
  <c r="DU40" i="18"/>
  <c r="BC25" i="18"/>
  <c r="BQ7" i="18"/>
  <c r="BP54" i="18"/>
  <c r="CE25" i="18"/>
  <c r="BC54" i="18"/>
  <c r="CE7" i="18"/>
  <c r="CS25" i="18"/>
  <c r="DG25" i="18"/>
  <c r="CS54" i="18"/>
  <c r="DG54" i="18"/>
  <c r="DU54" i="18"/>
  <c r="K55" i="11" s="1"/>
  <c r="AO54" i="18"/>
  <c r="AO7" i="18"/>
  <c r="AO25" i="18"/>
  <c r="AO40" i="18"/>
  <c r="CR25" i="18"/>
  <c r="AA5" i="18"/>
  <c r="AA24" i="18"/>
  <c r="DT54" i="18"/>
  <c r="BP40" i="18"/>
  <c r="CR7" i="18"/>
  <c r="DF54" i="18"/>
  <c r="CR40" i="18"/>
  <c r="M5" i="18"/>
  <c r="M24" i="18"/>
  <c r="BB7" i="18"/>
  <c r="BB25" i="18"/>
  <c r="CD25" i="18"/>
  <c r="CD40" i="18"/>
  <c r="DF7" i="18"/>
  <c r="BB54" i="18"/>
  <c r="BP7" i="18"/>
  <c r="CD54" i="18"/>
  <c r="DF25" i="18"/>
  <c r="DT40" i="18"/>
  <c r="DF40" i="18"/>
  <c r="DT7" i="18"/>
  <c r="BB40" i="18"/>
  <c r="CD7" i="18"/>
  <c r="CR54" i="18"/>
  <c r="DT25" i="18"/>
  <c r="AN25" i="18"/>
  <c r="AN54" i="18"/>
  <c r="Z40" i="18"/>
  <c r="AN7" i="18"/>
  <c r="AN40" i="18"/>
  <c r="L25" i="18"/>
  <c r="L40" i="18"/>
  <c r="L54" i="18"/>
  <c r="Z7" i="18"/>
  <c r="Z25" i="18"/>
  <c r="L7" i="18"/>
  <c r="Z54" i="18"/>
  <c r="J7" i="18"/>
  <c r="J25" i="18"/>
  <c r="J40" i="18"/>
  <c r="J54" i="18"/>
  <c r="DP53" i="18"/>
  <c r="CH53" i="18"/>
  <c r="AV53" i="18"/>
  <c r="DP39" i="18"/>
  <c r="CH39" i="18"/>
  <c r="AV39" i="18"/>
  <c r="DP24" i="18"/>
  <c r="CH24" i="18"/>
  <c r="AV24" i="18"/>
  <c r="DP6" i="18"/>
  <c r="CH6" i="18"/>
  <c r="AV6" i="18"/>
  <c r="DP5" i="18"/>
  <c r="DS53" i="18"/>
  <c r="DS39" i="18"/>
  <c r="DS24" i="18"/>
  <c r="DS5" i="18"/>
  <c r="DS6" i="18"/>
  <c r="DE53" i="18"/>
  <c r="DE39" i="18"/>
  <c r="DE24" i="18"/>
  <c r="DE5" i="18"/>
  <c r="DE6" i="18"/>
  <c r="CQ53" i="18"/>
  <c r="CQ39" i="18"/>
  <c r="CQ24" i="18"/>
  <c r="CQ5" i="18"/>
  <c r="CQ6" i="18"/>
  <c r="CC53" i="18"/>
  <c r="CC39" i="18"/>
  <c r="CC24" i="18"/>
  <c r="CC5" i="18"/>
  <c r="CC6" i="18"/>
  <c r="BO53" i="18"/>
  <c r="BO39" i="18"/>
  <c r="BO24" i="18"/>
  <c r="BO5" i="18"/>
  <c r="BO6" i="18"/>
  <c r="BA53" i="18"/>
  <c r="BA39" i="18"/>
  <c r="BA24" i="18"/>
  <c r="BA5" i="18"/>
  <c r="BA6" i="18"/>
  <c r="AM53" i="18"/>
  <c r="AM39" i="18"/>
  <c r="AM40" i="18" s="1"/>
  <c r="AM24" i="18"/>
  <c r="AM7" i="18"/>
  <c r="Y53" i="18"/>
  <c r="Y39" i="18"/>
  <c r="Y24" i="18"/>
  <c r="Y5" i="18"/>
  <c r="K53" i="18"/>
  <c r="K39" i="18"/>
  <c r="K24" i="18"/>
  <c r="K5" i="18"/>
  <c r="M7" i="18" l="1"/>
  <c r="AA7" i="18"/>
  <c r="AA54" i="18"/>
  <c r="AA40" i="18"/>
  <c r="AA25" i="18"/>
  <c r="M54" i="18"/>
  <c r="M40" i="18"/>
  <c r="M25" i="18"/>
  <c r="DE25" i="18"/>
  <c r="BA7" i="18"/>
  <c r="K25" i="18"/>
  <c r="K40" i="18"/>
  <c r="Y54" i="18"/>
  <c r="DE40" i="18"/>
  <c r="CQ40" i="18"/>
  <c r="DS7" i="18"/>
  <c r="BA25" i="18"/>
  <c r="DS54" i="18"/>
  <c r="BA54" i="18"/>
  <c r="DS40" i="18"/>
  <c r="AM54" i="18"/>
  <c r="CC7" i="18"/>
  <c r="CC54" i="18"/>
  <c r="DE54" i="18"/>
  <c r="DS25" i="18"/>
  <c r="DE7" i="18"/>
  <c r="K54" i="18"/>
  <c r="AM25" i="18"/>
  <c r="BA40" i="18"/>
  <c r="CC40" i="18"/>
  <c r="CQ7" i="18"/>
  <c r="BO7" i="18"/>
  <c r="CC25" i="18"/>
  <c r="BO25" i="18"/>
  <c r="Y7" i="18"/>
  <c r="CQ54" i="18"/>
  <c r="K7" i="18"/>
  <c r="Y25" i="18"/>
  <c r="CQ25" i="18"/>
  <c r="BO40" i="18"/>
  <c r="Y40" i="18"/>
  <c r="BO54" i="18"/>
  <c r="DR53" i="18"/>
  <c r="U54" i="11" s="1"/>
  <c r="DR39" i="18"/>
  <c r="U40" i="11" s="1"/>
  <c r="DR24" i="18"/>
  <c r="U25" i="11" s="1"/>
  <c r="DR6" i="18"/>
  <c r="U7" i="11" s="1"/>
  <c r="DR5" i="18"/>
  <c r="U6" i="11" s="1"/>
  <c r="DD53" i="18"/>
  <c r="T54" i="11" s="1"/>
  <c r="DD39" i="18"/>
  <c r="T40" i="11" s="1"/>
  <c r="DD24" i="18"/>
  <c r="T25" i="11" s="1"/>
  <c r="DD6" i="18"/>
  <c r="T7" i="11" s="1"/>
  <c r="DD5" i="18"/>
  <c r="T6" i="11" s="1"/>
  <c r="CP53" i="18"/>
  <c r="S54" i="11" s="1"/>
  <c r="CP39" i="18"/>
  <c r="S40" i="11" s="1"/>
  <c r="CP24" i="18"/>
  <c r="S25" i="11" s="1"/>
  <c r="CP6" i="18"/>
  <c r="S7" i="11" s="1"/>
  <c r="CP5" i="18"/>
  <c r="S6" i="11" s="1"/>
  <c r="CB53" i="18"/>
  <c r="R54" i="11" s="1"/>
  <c r="CB39" i="18"/>
  <c r="R40" i="11" s="1"/>
  <c r="CB24" i="18"/>
  <c r="R25" i="11" s="1"/>
  <c r="CB6" i="18"/>
  <c r="R7" i="11" s="1"/>
  <c r="CB5" i="18"/>
  <c r="R6" i="11" s="1"/>
  <c r="BN53" i="18"/>
  <c r="Q54" i="11" s="1"/>
  <c r="BN39" i="18"/>
  <c r="Q40" i="11" s="1"/>
  <c r="BN24" i="18"/>
  <c r="Q25" i="11" s="1"/>
  <c r="BN6" i="18"/>
  <c r="BN5" i="18"/>
  <c r="AZ53" i="18"/>
  <c r="P54" i="11" s="1"/>
  <c r="AZ39" i="18"/>
  <c r="P40" i="11" s="1"/>
  <c r="AZ24" i="18"/>
  <c r="P25" i="11" s="1"/>
  <c r="AZ5" i="18"/>
  <c r="P6" i="11" s="1"/>
  <c r="AZ6" i="18"/>
  <c r="P7" i="11" s="1"/>
  <c r="AL53" i="18"/>
  <c r="O54" i="11" s="1"/>
  <c r="AL39" i="18"/>
  <c r="O40" i="11" s="1"/>
  <c r="AL24" i="18"/>
  <c r="O25" i="11" s="1"/>
  <c r="AL5" i="18"/>
  <c r="O6" i="11" s="1"/>
  <c r="X53" i="18"/>
  <c r="N54" i="11" s="1"/>
  <c r="X39" i="18"/>
  <c r="N40" i="11" s="1"/>
  <c r="X24" i="18"/>
  <c r="N25" i="11" s="1"/>
  <c r="X5" i="18"/>
  <c r="N6" i="11" s="1"/>
  <c r="P24" i="18"/>
  <c r="P25" i="18" s="1"/>
  <c r="P7" i="18"/>
  <c r="P39" i="18"/>
  <c r="P40" i="18" s="1"/>
  <c r="P53" i="18"/>
  <c r="P54" i="18" s="1"/>
  <c r="DD54" i="18" l="1"/>
  <c r="BN54" i="18"/>
  <c r="DD25" i="18"/>
  <c r="BN25" i="18"/>
  <c r="CP25" i="18"/>
  <c r="CP40" i="18"/>
  <c r="CP54" i="18"/>
  <c r="X40" i="18"/>
  <c r="X54" i="18"/>
  <c r="AZ25" i="18"/>
  <c r="AZ40" i="18"/>
  <c r="DR7" i="18"/>
  <c r="AZ54" i="18"/>
  <c r="CB25" i="18"/>
  <c r="DR25" i="18"/>
  <c r="AL25" i="18"/>
  <c r="CB40" i="18"/>
  <c r="DR40" i="18"/>
  <c r="AL40" i="18"/>
  <c r="CB54" i="18"/>
  <c r="DR54" i="18"/>
  <c r="AL54" i="18"/>
  <c r="X25" i="18"/>
  <c r="BN40" i="18"/>
  <c r="DD40" i="18"/>
  <c r="DD7" i="18"/>
  <c r="CP7" i="18"/>
  <c r="CB7" i="18"/>
  <c r="BN7" i="18"/>
  <c r="AZ7" i="18"/>
  <c r="AL7" i="18"/>
  <c r="X7" i="18"/>
  <c r="DQ5" i="18" l="1"/>
  <c r="DC5" i="18"/>
  <c r="DB5" i="18"/>
  <c r="CO5" i="18"/>
  <c r="CN5" i="18"/>
  <c r="CA5" i="18"/>
  <c r="BZ5" i="18"/>
  <c r="BM5" i="18"/>
  <c r="BL5" i="18"/>
  <c r="Q6" i="11" s="1"/>
  <c r="AY5" i="18"/>
  <c r="AX5" i="18"/>
  <c r="AK5" i="18"/>
  <c r="AJ5" i="18"/>
  <c r="W5" i="18"/>
  <c r="V5" i="18"/>
  <c r="I5" i="18"/>
  <c r="F1" i="18"/>
  <c r="I1" i="18" s="1"/>
  <c r="G1" i="18"/>
  <c r="H1" i="18" s="1"/>
  <c r="H5" i="18"/>
  <c r="B24" i="18"/>
  <c r="DQ6" i="18"/>
  <c r="DQ24" i="18"/>
  <c r="DQ39" i="18"/>
  <c r="DQ53" i="18"/>
  <c r="DB53" i="18"/>
  <c r="DC53" i="18"/>
  <c r="DB39" i="18"/>
  <c r="DC39" i="18"/>
  <c r="DB24" i="18"/>
  <c r="DC24" i="18"/>
  <c r="DB6" i="18"/>
  <c r="DC6" i="18"/>
  <c r="CN6" i="18"/>
  <c r="CO6" i="18"/>
  <c r="CN24" i="18"/>
  <c r="CO24" i="18"/>
  <c r="CN39" i="18"/>
  <c r="CO39" i="18"/>
  <c r="CO53" i="18"/>
  <c r="CN53" i="18"/>
  <c r="BZ53" i="18"/>
  <c r="CA53" i="18"/>
  <c r="BZ39" i="18"/>
  <c r="CA39" i="18"/>
  <c r="BZ24" i="18"/>
  <c r="CA24" i="18"/>
  <c r="BZ6" i="18"/>
  <c r="CA6" i="18"/>
  <c r="BL6" i="18"/>
  <c r="Q7" i="11" s="1"/>
  <c r="BM6" i="18"/>
  <c r="BL24" i="18"/>
  <c r="BM24" i="18"/>
  <c r="BL39" i="18"/>
  <c r="BM39" i="18"/>
  <c r="BL53" i="18"/>
  <c r="BM53" i="18"/>
  <c r="AX53" i="18"/>
  <c r="AY53" i="18"/>
  <c r="AX39" i="18"/>
  <c r="AY39" i="18"/>
  <c r="AX24" i="18"/>
  <c r="AY24" i="18"/>
  <c r="AX6" i="18"/>
  <c r="AY6" i="18"/>
  <c r="AJ24" i="18"/>
  <c r="AK24" i="18"/>
  <c r="AJ39" i="18"/>
  <c r="AK39" i="18"/>
  <c r="AJ53" i="18"/>
  <c r="AK53" i="18"/>
  <c r="V53" i="18"/>
  <c r="W53" i="18"/>
  <c r="V39" i="18"/>
  <c r="W39" i="18"/>
  <c r="V24" i="18"/>
  <c r="W24" i="18"/>
  <c r="H53" i="18"/>
  <c r="I53" i="18"/>
  <c r="H39" i="18"/>
  <c r="I39" i="18"/>
  <c r="H24" i="18"/>
  <c r="I24" i="18"/>
  <c r="AK54" i="18" l="1"/>
  <c r="H40" i="18"/>
  <c r="H7" i="18"/>
  <c r="AX7" i="18"/>
  <c r="DB7" i="18"/>
  <c r="DP40" i="18"/>
  <c r="DP25" i="18"/>
  <c r="DP54" i="18"/>
  <c r="DP7" i="18"/>
  <c r="AK7" i="18"/>
  <c r="I40" i="18"/>
  <c r="I54" i="18"/>
  <c r="CO7" i="18"/>
  <c r="H54" i="18"/>
  <c r="CO54" i="18"/>
  <c r="BL25" i="18"/>
  <c r="AJ40" i="18"/>
  <c r="CA7" i="18"/>
  <c r="AJ54" i="18"/>
  <c r="BZ7" i="18"/>
  <c r="W25" i="18"/>
  <c r="CA25" i="18"/>
  <c r="CN54" i="18"/>
  <c r="H25" i="18"/>
  <c r="V25" i="18"/>
  <c r="AX25" i="18"/>
  <c r="BZ25" i="18"/>
  <c r="DB25" i="18"/>
  <c r="CA40" i="18"/>
  <c r="AJ25" i="18"/>
  <c r="AX40" i="18"/>
  <c r="BZ40" i="18"/>
  <c r="W54" i="18"/>
  <c r="BL54" i="18"/>
  <c r="V7" i="18"/>
  <c r="W40" i="18"/>
  <c r="V40" i="18"/>
  <c r="CN25" i="18"/>
  <c r="DB40" i="18"/>
  <c r="V54" i="18"/>
  <c r="AX54" i="18"/>
  <c r="BZ54" i="18"/>
  <c r="DB54" i="18"/>
  <c r="DQ40" i="18"/>
  <c r="AY7" i="18"/>
  <c r="DC54" i="18"/>
  <c r="DQ7" i="18"/>
  <c r="BM40" i="18"/>
  <c r="DQ54" i="18"/>
  <c r="I7" i="18"/>
  <c r="DC25" i="18"/>
  <c r="DC40" i="18"/>
  <c r="DQ25" i="18"/>
  <c r="BM54" i="18"/>
  <c r="W7" i="18"/>
  <c r="CA54" i="18"/>
  <c r="DC7" i="18"/>
  <c r="AY40" i="18"/>
  <c r="BL7" i="18"/>
  <c r="BL40" i="18"/>
  <c r="BM25" i="18"/>
  <c r="I25" i="18"/>
  <c r="CN7" i="18"/>
  <c r="CN40" i="18"/>
  <c r="AK25" i="18"/>
  <c r="CO25" i="18"/>
  <c r="AK40" i="18"/>
  <c r="CO40" i="18"/>
  <c r="AY25" i="18"/>
  <c r="AY54" i="18"/>
  <c r="BM7" i="18"/>
  <c r="AJ7" i="18"/>
  <c r="G53" i="18"/>
  <c r="G39" i="18"/>
  <c r="G24" i="18"/>
  <c r="U53" i="18"/>
  <c r="U39" i="18"/>
  <c r="U24" i="18"/>
  <c r="AI53" i="18"/>
  <c r="AI39" i="18"/>
  <c r="AI24" i="18"/>
  <c r="AW6" i="18"/>
  <c r="AW24" i="18"/>
  <c r="AW39" i="18"/>
  <c r="AW53" i="18"/>
  <c r="BK53" i="18"/>
  <c r="BK39" i="18"/>
  <c r="BK24" i="18"/>
  <c r="BK6" i="18"/>
  <c r="BY53" i="18"/>
  <c r="BY39" i="18"/>
  <c r="BY24" i="18"/>
  <c r="BY6" i="18"/>
  <c r="CM53" i="18"/>
  <c r="CM39" i="18"/>
  <c r="CM24" i="18"/>
  <c r="CM6" i="18"/>
  <c r="DA53" i="18"/>
  <c r="DA39" i="18"/>
  <c r="DA24" i="18"/>
  <c r="DA6" i="18"/>
  <c r="DO6" i="18"/>
  <c r="DO24" i="18"/>
  <c r="DO39" i="18"/>
  <c r="DO53" i="18"/>
  <c r="G40" i="18" l="1"/>
  <c r="U7" i="18"/>
  <c r="DO25" i="18"/>
  <c r="G54" i="18"/>
  <c r="BY7" i="18"/>
  <c r="DA25" i="18"/>
  <c r="BY25" i="18"/>
  <c r="AV40" i="18"/>
  <c r="U25" i="18"/>
  <c r="BK40" i="18"/>
  <c r="CM54" i="18"/>
  <c r="BY40" i="18"/>
  <c r="U40" i="18"/>
  <c r="AI40" i="18"/>
  <c r="DO7" i="18"/>
  <c r="U54" i="18"/>
  <c r="DA40" i="18"/>
  <c r="DA54" i="18"/>
  <c r="BY54" i="18"/>
  <c r="DO54" i="18"/>
  <c r="CM7" i="18"/>
  <c r="BK7" i="18"/>
  <c r="AI7" i="18"/>
  <c r="G7" i="18"/>
  <c r="CM40" i="18"/>
  <c r="AI54" i="18"/>
  <c r="DO40" i="18"/>
  <c r="CM25" i="18"/>
  <c r="AI25" i="18"/>
  <c r="G25" i="18"/>
  <c r="AW40" i="18"/>
  <c r="AW25" i="18"/>
  <c r="AV25" i="18"/>
  <c r="AW7" i="18"/>
  <c r="AV7" i="18"/>
  <c r="AW54" i="18"/>
  <c r="AV54" i="18"/>
  <c r="BK25" i="18"/>
  <c r="DA7" i="18"/>
  <c r="BK54" i="18"/>
  <c r="DM53" i="18"/>
  <c r="DN53" i="18"/>
  <c r="DM39" i="18"/>
  <c r="DN39" i="18"/>
  <c r="DM24" i="18"/>
  <c r="DN24" i="18"/>
  <c r="DM6" i="18"/>
  <c r="DN6" i="18"/>
  <c r="CY53" i="18"/>
  <c r="CZ53" i="18"/>
  <c r="CY39" i="18"/>
  <c r="CZ39" i="18"/>
  <c r="CY24" i="18"/>
  <c r="CZ24" i="18"/>
  <c r="CY6" i="18"/>
  <c r="CZ6" i="18"/>
  <c r="CK53" i="18"/>
  <c r="CL53" i="18"/>
  <c r="CK39" i="18"/>
  <c r="CL39" i="18"/>
  <c r="CK24" i="18"/>
  <c r="CL24" i="18"/>
  <c r="CK6" i="18"/>
  <c r="CL6" i="18"/>
  <c r="BW53" i="18"/>
  <c r="BX53" i="18"/>
  <c r="BW39" i="18"/>
  <c r="BX39" i="18"/>
  <c r="BW24" i="18"/>
  <c r="BX24" i="18"/>
  <c r="BW6" i="18"/>
  <c r="BX6" i="18"/>
  <c r="BI53" i="18"/>
  <c r="BJ53" i="18"/>
  <c r="BI39" i="18"/>
  <c r="BJ39" i="18"/>
  <c r="BI24" i="18"/>
  <c r="BJ24" i="18"/>
  <c r="BI6" i="18"/>
  <c r="BJ6" i="18"/>
  <c r="AU53" i="18"/>
  <c r="AU39" i="18"/>
  <c r="AU24" i="18"/>
  <c r="AU6" i="18"/>
  <c r="AG53" i="18"/>
  <c r="AH53" i="18"/>
  <c r="AG39" i="18"/>
  <c r="AH39" i="18"/>
  <c r="AG24" i="18"/>
  <c r="AH24" i="18"/>
  <c r="S53" i="18"/>
  <c r="T53" i="18"/>
  <c r="S39" i="18"/>
  <c r="T39" i="18"/>
  <c r="S24" i="18"/>
  <c r="T24" i="18"/>
  <c r="E53" i="18"/>
  <c r="F53" i="18"/>
  <c r="E39" i="18"/>
  <c r="F39" i="18"/>
  <c r="E24" i="18"/>
  <c r="F24" i="18"/>
  <c r="AH54" i="18" l="1"/>
  <c r="T54" i="18"/>
  <c r="AH7" i="18"/>
  <c r="BJ54" i="18"/>
  <c r="BX54" i="18"/>
  <c r="CL54" i="18"/>
  <c r="CZ54" i="18"/>
  <c r="DN54" i="18"/>
  <c r="F54" i="18"/>
  <c r="CZ25" i="18"/>
  <c r="F7" i="18"/>
  <c r="CL40" i="18"/>
  <c r="F40" i="18"/>
  <c r="T40" i="18"/>
  <c r="AH40" i="18"/>
  <c r="BJ7" i="18"/>
  <c r="CL7" i="18"/>
  <c r="CZ7" i="18"/>
  <c r="DN7" i="18"/>
  <c r="E25" i="18"/>
  <c r="AG25" i="18"/>
  <c r="AU25" i="18"/>
  <c r="BW25" i="18"/>
  <c r="CY25" i="18"/>
  <c r="DM25" i="18"/>
  <c r="E40" i="18"/>
  <c r="AG40" i="18"/>
  <c r="BI40" i="18"/>
  <c r="CY40" i="18"/>
  <c r="S54" i="18"/>
  <c r="AU54" i="18"/>
  <c r="BW54" i="18"/>
  <c r="CK54" i="18"/>
  <c r="DM54" i="18"/>
  <c r="E7" i="18"/>
  <c r="S7" i="18"/>
  <c r="AG7" i="18"/>
  <c r="AU7" i="18"/>
  <c r="BI7" i="18"/>
  <c r="BW7" i="18"/>
  <c r="CK7" i="18"/>
  <c r="CY7" i="18"/>
  <c r="DM7" i="18"/>
  <c r="S25" i="18"/>
  <c r="BI25" i="18"/>
  <c r="CK25" i="18"/>
  <c r="S40" i="18"/>
  <c r="AU40" i="18"/>
  <c r="BW40" i="18"/>
  <c r="CK40" i="18"/>
  <c r="DM40" i="18"/>
  <c r="E54" i="18"/>
  <c r="AG54" i="18"/>
  <c r="BI54" i="18"/>
  <c r="CY54" i="18"/>
  <c r="BJ25" i="18"/>
  <c r="BJ40" i="18"/>
  <c r="CZ40" i="18"/>
  <c r="AH25" i="18"/>
  <c r="BX7" i="18"/>
  <c r="BX25" i="18"/>
  <c r="BX40" i="18"/>
  <c r="CL25" i="18"/>
  <c r="F25" i="18"/>
  <c r="T7" i="18"/>
  <c r="T25" i="18"/>
  <c r="DN25" i="18"/>
  <c r="DN40" i="18"/>
  <c r="BT53" i="18" l="1"/>
  <c r="BU53" i="18"/>
  <c r="BU54" i="18" s="1"/>
  <c r="BV53" i="18"/>
  <c r="DL53" i="18"/>
  <c r="DK53" i="18"/>
  <c r="DJ53" i="18"/>
  <c r="CX53" i="18"/>
  <c r="CW53" i="18"/>
  <c r="CV53" i="18"/>
  <c r="CJ53" i="18"/>
  <c r="CI53" i="18"/>
  <c r="CH54" i="18" s="1"/>
  <c r="BH53" i="18"/>
  <c r="BG53" i="18"/>
  <c r="BF53" i="18"/>
  <c r="AT53" i="18"/>
  <c r="AS53" i="18"/>
  <c r="AR53" i="18"/>
  <c r="AF53" i="18"/>
  <c r="AE53" i="18"/>
  <c r="AD53" i="18"/>
  <c r="R53" i="18"/>
  <c r="Q53" i="18"/>
  <c r="D53" i="18"/>
  <c r="C53" i="18"/>
  <c r="B53" i="18"/>
  <c r="DL39" i="18"/>
  <c r="DK39" i="18"/>
  <c r="DJ39" i="18"/>
  <c r="CX39" i="18"/>
  <c r="CW39" i="18"/>
  <c r="CV39" i="18"/>
  <c r="CJ39" i="18"/>
  <c r="CI39" i="18"/>
  <c r="CH40" i="18" s="1"/>
  <c r="BV39" i="18"/>
  <c r="BU39" i="18"/>
  <c r="BT39" i="18"/>
  <c r="BH39" i="18"/>
  <c r="BG39" i="18"/>
  <c r="BF39" i="18"/>
  <c r="AT39" i="18"/>
  <c r="AS39" i="18"/>
  <c r="AR39" i="18"/>
  <c r="AF39" i="18"/>
  <c r="AE39" i="18"/>
  <c r="AD39" i="18"/>
  <c r="R39" i="18"/>
  <c r="Q39" i="18"/>
  <c r="D39" i="18"/>
  <c r="C39" i="18"/>
  <c r="B39" i="18"/>
  <c r="DL24" i="18"/>
  <c r="DK24" i="18"/>
  <c r="DJ24" i="18"/>
  <c r="CX24" i="18"/>
  <c r="CW24" i="18"/>
  <c r="CV24" i="18"/>
  <c r="CJ24" i="18"/>
  <c r="CI24" i="18"/>
  <c r="CH25" i="18" s="1"/>
  <c r="BV24" i="18"/>
  <c r="BU24" i="18"/>
  <c r="BT24" i="18"/>
  <c r="BH24" i="18"/>
  <c r="BG24" i="18"/>
  <c r="BF24" i="18"/>
  <c r="AT24" i="18"/>
  <c r="AS24" i="18"/>
  <c r="AR24" i="18"/>
  <c r="AF24" i="18"/>
  <c r="AE24" i="18"/>
  <c r="AD24" i="18"/>
  <c r="R24" i="18"/>
  <c r="Q24" i="18"/>
  <c r="D24" i="18"/>
  <c r="C24" i="18"/>
  <c r="DL6" i="18"/>
  <c r="DK6" i="18"/>
  <c r="DJ6" i="18"/>
  <c r="CX6" i="18"/>
  <c r="CW6" i="18"/>
  <c r="CV6" i="18"/>
  <c r="CJ6" i="18"/>
  <c r="CI6" i="18"/>
  <c r="CH7" i="18" s="1"/>
  <c r="BV6" i="18"/>
  <c r="BU6" i="18"/>
  <c r="BT6" i="18"/>
  <c r="BH6" i="18"/>
  <c r="BG6" i="18"/>
  <c r="BF6" i="18"/>
  <c r="AT6" i="18"/>
  <c r="AS6" i="18"/>
  <c r="AR6" i="18"/>
  <c r="C6" i="18"/>
  <c r="C7" i="18" s="1"/>
  <c r="B6" i="18"/>
  <c r="BV54" i="18" l="1"/>
  <c r="BT54" i="18"/>
  <c r="CW25" i="18"/>
  <c r="DJ25" i="18"/>
  <c r="CV40" i="18"/>
  <c r="BU25" i="18"/>
  <c r="CI40" i="18"/>
  <c r="B25" i="18"/>
  <c r="AF25" i="18"/>
  <c r="AS7" i="18"/>
  <c r="Q54" i="18"/>
  <c r="AD54" i="18"/>
  <c r="BF54" i="18"/>
  <c r="CJ54" i="18"/>
  <c r="C54" i="18"/>
  <c r="AE54" i="18"/>
  <c r="AR54" i="18"/>
  <c r="BG54" i="18"/>
  <c r="CI54" i="18"/>
  <c r="CX54" i="18"/>
  <c r="DK54" i="18"/>
  <c r="B40" i="18"/>
  <c r="Q40" i="18"/>
  <c r="AD40" i="18"/>
  <c r="BF40" i="18"/>
  <c r="BU40" i="18"/>
  <c r="CJ40" i="18"/>
  <c r="C40" i="18"/>
  <c r="AE40" i="18"/>
  <c r="AR40" i="18"/>
  <c r="BG40" i="18"/>
  <c r="BT40" i="18"/>
  <c r="DK40" i="18"/>
  <c r="D25" i="18"/>
  <c r="Q25" i="18"/>
  <c r="AD25" i="18"/>
  <c r="AS25" i="18"/>
  <c r="BF25" i="18"/>
  <c r="BH25" i="18"/>
  <c r="CJ25" i="18"/>
  <c r="C25" i="18"/>
  <c r="AE25" i="18"/>
  <c r="AR25" i="18"/>
  <c r="BG25" i="18"/>
  <c r="BT25" i="18"/>
  <c r="CI25" i="18"/>
  <c r="DK25" i="18"/>
  <c r="B7" i="18"/>
  <c r="D7" i="18"/>
  <c r="Q7" i="18"/>
  <c r="AD7" i="18"/>
  <c r="AF7" i="18"/>
  <c r="BF7" i="18"/>
  <c r="BU7" i="18"/>
  <c r="CJ7" i="18"/>
  <c r="CW7" i="18"/>
  <c r="AE7" i="18"/>
  <c r="AR7" i="18"/>
  <c r="AT7" i="18"/>
  <c r="BG7" i="18"/>
  <c r="BT7" i="18"/>
  <c r="CV7" i="18"/>
  <c r="CX7" i="18"/>
  <c r="DK7" i="18"/>
  <c r="BH54" i="18" l="1"/>
  <c r="BH7" i="18"/>
  <c r="CI7" i="18"/>
  <c r="CX40" i="18"/>
  <c r="BH40" i="18"/>
  <c r="R7" i="18"/>
  <c r="DJ7" i="18"/>
  <c r="CW40" i="18"/>
  <c r="CW54" i="18"/>
  <c r="DL7" i="18"/>
  <c r="CV25" i="18"/>
  <c r="B54" i="18"/>
  <c r="CX25" i="18"/>
  <c r="R25" i="18"/>
  <c r="AS40" i="18"/>
  <c r="D40" i="18"/>
  <c r="AS54" i="18"/>
  <c r="D54" i="18"/>
  <c r="BV40" i="18"/>
  <c r="DJ40" i="18"/>
  <c r="AF40" i="18"/>
  <c r="DJ54" i="18"/>
  <c r="AF54" i="18"/>
  <c r="DL40" i="18"/>
  <c r="CV54" i="18"/>
  <c r="DL54" i="18"/>
  <c r="BV25" i="18"/>
  <c r="DL25" i="18"/>
  <c r="AT25" i="18"/>
  <c r="R40" i="18"/>
  <c r="AT54" i="18"/>
  <c r="AT40" i="18"/>
  <c r="BV7" i="18"/>
  <c r="R54" i="18"/>
</calcChain>
</file>

<file path=xl/sharedStrings.xml><?xml version="1.0" encoding="utf-8"?>
<sst xmlns="http://schemas.openxmlformats.org/spreadsheetml/2006/main" count="250" uniqueCount="105">
  <si>
    <t>Table 14</t>
  </si>
  <si>
    <t>Nonagricultural Employment</t>
  </si>
  <si>
    <t>continued</t>
  </si>
  <si>
    <t>2022 (in thousands)</t>
  </si>
  <si>
    <t>Percent Change, 2017 to 2022</t>
  </si>
  <si>
    <t>Total</t>
  </si>
  <si>
    <t>Mining, Logging 
and Construction</t>
  </si>
  <si>
    <t>Manufacturing</t>
  </si>
  <si>
    <t>Trade, Transportation and Utilities</t>
  </si>
  <si>
    <t>Information</t>
  </si>
  <si>
    <t>Financial,
Professional and 
Business Services</t>
  </si>
  <si>
    <t>Education 
and 
Health Services</t>
  </si>
  <si>
    <t>Leisure, Hospitality and 
Other Services</t>
  </si>
  <si>
    <t>Government</t>
  </si>
  <si>
    <t>50 states and D.C.</t>
  </si>
  <si>
    <t>SREB states</t>
  </si>
  <si>
    <r>
      <t xml:space="preserve">    as a percent of U.S.</t>
    </r>
    <r>
      <rPr>
        <vertAlign val="superscript"/>
        <sz val="10"/>
        <rFont val="Arial"/>
        <family val="2"/>
      </rPr>
      <t>1</t>
    </r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</si>
  <si>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</si>
  <si>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</si>
  <si>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</si>
  <si>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</si>
  <si>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</si>
  <si>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</si>
  <si>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</si>
  <si>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</si>
  <si>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</si>
  <si>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</si>
  <si>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</si>
  <si>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</si>
  <si>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</si>
  <si>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</si>
  <si>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</si>
  <si>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</si>
  <si>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</si>
  <si>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</si>
  <si>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</si>
  <si>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</si>
  <si>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</si>
  <si>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</si>
  <si>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</si>
  <si>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</si>
  <si>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</si>
  <si>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</si>
  <si>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</si>
  <si>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</si>
  <si>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</si>
  <si>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</si>
  <si>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</si>
  <si>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</si>
  <si>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</si>
  <si>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</si>
  <si>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</si>
  <si>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</si>
  <si>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</si>
  <si>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</si>
  <si>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</si>
  <si>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</si>
  <si>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</si>
  <si>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</si>
  <si>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</si>
  <si>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</si>
  <si>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</si>
  <si>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</si>
  <si>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</si>
  <si>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</si>
  <si>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Kersey</t>
  </si>
  <si>
    <t>New York</t>
  </si>
  <si>
    <t>Pennsylvania</t>
  </si>
  <si>
    <t>Rhode Island</t>
  </si>
  <si>
    <t>Vermont</t>
  </si>
  <si>
    <t>District of Columbia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</si>
  <si>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Totals may not equal the sums of the figures shown, due to rounding.</t>
    </r>
  </si>
  <si>
    <t xml:space="preserve">Sources:   </t>
  </si>
  <si>
    <t>U.S. Bureau of Labor Statistics, Current Employment Statistics, State and Area Employment, Hours, and Earnings 2009 to 2022 (2023) — www.bls.gov/data/.</t>
  </si>
  <si>
    <t>September 2024</t>
  </si>
  <si>
    <t>State Employment by Super Sector (in 000s)</t>
  </si>
  <si>
    <t>Total Non-Farm</t>
  </si>
  <si>
    <t>Mining, Logging, and Construction</t>
  </si>
  <si>
    <t>Trade, Transportation, and Utilities</t>
  </si>
  <si>
    <t xml:space="preserve">Financial Activities, and Professional and Business Services </t>
  </si>
  <si>
    <t xml:space="preserve">Education and Health Services </t>
  </si>
  <si>
    <t>Leisure and Hospitality, and Other Services</t>
  </si>
  <si>
    <t xml:space="preserve"> (BLS "Super Sector" = 00)</t>
  </si>
  <si>
    <t xml:space="preserve"> (BLS "Super Sectors" = 10,15 &amp; 20)</t>
  </si>
  <si>
    <t xml:space="preserve"> (BLS "Super Sector" = 30)</t>
  </si>
  <si>
    <t xml:space="preserve"> (BLS "Super Sector" = 40)</t>
  </si>
  <si>
    <t xml:space="preserve"> (BLS "Super Sector" = 50)</t>
  </si>
  <si>
    <t xml:space="preserve"> (BLS "Super Sectors" = 55 &amp; 60)</t>
  </si>
  <si>
    <t xml:space="preserve"> (BLS "Super Sector" = 65)</t>
  </si>
  <si>
    <t>(BLS "Super Sectors" = 70 &amp; 80)</t>
  </si>
  <si>
    <t xml:space="preserve"> (BLS "Super Sector" = 90)</t>
  </si>
  <si>
    <t xml:space="preserve">   as a percent of U.S.</t>
  </si>
  <si>
    <t>120.8.</t>
  </si>
  <si>
    <t>New Jersey</t>
  </si>
  <si>
    <t>Not seasonally adjusted</t>
  </si>
  <si>
    <t>Source:</t>
  </si>
  <si>
    <t>National: Employment, Hours, and Earnings from the Current Employment Statistics Survey 2005-2018 Annual Averages</t>
  </si>
  <si>
    <t>2021-22 resource: https://www.bls.gov/sae/tables/annual-average/table-1-employees-on-nonfarm-payrolls-in-states-and-selected-areas-by-major-industry.htm</t>
  </si>
  <si>
    <t>2021-22: https://www.bls.gov/sae/tables/annual-average/table-1-employees-on-nonfarm-payrolls-in-states-and-selected-areas-by-major-industry.htm</t>
  </si>
  <si>
    <t>Data extracted on: March 19, 2019 (www.bls.gov)</t>
  </si>
  <si>
    <t>Not seasonally adjusted.</t>
  </si>
  <si>
    <t>State and Area Employment, Hours, and Earnings - (Current Employment Statistics - CES)</t>
  </si>
  <si>
    <t>Multi-screen data retireval. Not seasonally adjusted.</t>
  </si>
  <si>
    <t>Data extracted on: March 25, 2020 (www.bls.gov)</t>
  </si>
  <si>
    <t>Calculated sums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</si>
</sst>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_)"/>
    <numFmt numFmtId="165" formatCode="#,##0.0"/>
    <numFmt numFmtId="166" formatCode="0.0"/>
    <numFmt numFmtId="167" formatCode="#0.0"/>
  </numFmts>
  <fonts count="13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sz val="8"/>
      <name val="Arial"/>
      <family val="2"/>
    </font>
    <font>
      <b/>
      <sz val="8"/>
      <name val="Arial"/>
      <family val="2"/>
    </font>
    <font>
      <sz val="10"/>
      <color rgb="FF0033CC"/>
      <name val="Arial"/>
      <family val="2"/>
    </font>
    <font>
      <vertAlign val="superscript"/>
      <sz val="10"/>
      <name val="Arial"/>
      <family val="2"/>
    </font>
    <font>
      <sz val="11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249977111117893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5" fillId="0" borderId="0">
      <alignment horizontal="left" wrapText="1"/>
    </xf>
    <xf numFmtId="43" fontId="7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2" borderId="0" xfId="0" applyFont="1" applyFill="1" applyAlignment="1">
      <alignment horizontal="right" wrapText="1"/>
    </xf>
    <xf numFmtId="0" fontId="3" fillId="5" borderId="0" xfId="0" applyFont="1" applyFill="1" applyAlignment="1">
      <alignment horizontal="right" wrapText="1"/>
    </xf>
    <xf numFmtId="0" fontId="3" fillId="7" borderId="0" xfId="0" applyFont="1" applyFill="1" applyAlignment="1">
      <alignment horizontal="right" wrapText="1"/>
    </xf>
    <xf numFmtId="0" fontId="3" fillId="9" borderId="0" xfId="0" applyFont="1" applyFill="1" applyAlignment="1">
      <alignment horizontal="right" wrapText="1"/>
    </xf>
    <xf numFmtId="0" fontId="3" fillId="11" borderId="0" xfId="0" applyFont="1" applyFill="1" applyAlignment="1">
      <alignment horizontal="right" wrapText="1"/>
    </xf>
    <xf numFmtId="0" fontId="3" fillId="13" borderId="0" xfId="0" applyFont="1" applyFill="1" applyAlignment="1">
      <alignment horizontal="right" wrapText="1"/>
    </xf>
    <xf numFmtId="0" fontId="3" fillId="15" borderId="0" xfId="0" applyFont="1" applyFill="1" applyAlignment="1">
      <alignment horizontal="right" wrapText="1"/>
    </xf>
    <xf numFmtId="0" fontId="3" fillId="17" borderId="0" xfId="0" applyFont="1" applyFill="1" applyAlignment="1">
      <alignment horizontal="right" wrapText="1"/>
    </xf>
    <xf numFmtId="0" fontId="3" fillId="15" borderId="7" xfId="0" applyFont="1" applyFill="1" applyBorder="1" applyAlignment="1">
      <alignment horizontal="right" wrapText="1"/>
    </xf>
    <xf numFmtId="0" fontId="3" fillId="17" borderId="7" xfId="0" applyFont="1" applyFill="1" applyBorder="1" applyAlignment="1">
      <alignment horizontal="right" wrapText="1"/>
    </xf>
    <xf numFmtId="0" fontId="3" fillId="13" borderId="7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 wrapText="1"/>
    </xf>
    <xf numFmtId="0" fontId="3" fillId="7" borderId="7" xfId="0" applyFont="1" applyFill="1" applyBorder="1" applyAlignment="1">
      <alignment horizontal="right" wrapText="1"/>
    </xf>
    <xf numFmtId="0" fontId="3" fillId="9" borderId="7" xfId="0" applyFont="1" applyFill="1" applyBorder="1" applyAlignment="1">
      <alignment horizontal="right" wrapText="1"/>
    </xf>
    <xf numFmtId="0" fontId="3" fillId="11" borderId="7" xfId="0" applyFont="1" applyFill="1" applyBorder="1" applyAlignment="1">
      <alignment horizontal="right" wrapText="1"/>
    </xf>
    <xf numFmtId="166" fontId="1" fillId="0" borderId="0" xfId="1" applyNumberFormat="1" applyFont="1" applyAlignment="1"/>
    <xf numFmtId="37" fontId="1" fillId="0" borderId="0" xfId="1" applyNumberFormat="1" applyFont="1" applyAlignment="1"/>
    <xf numFmtId="0" fontId="1" fillId="0" borderId="0" xfId="0" applyFont="1" applyAlignment="1">
      <alignment horizontal="left"/>
    </xf>
    <xf numFmtId="3" fontId="1" fillId="0" borderId="0" xfId="1" applyNumberFormat="1" applyFont="1" applyAlignment="1"/>
    <xf numFmtId="3" fontId="1" fillId="0" borderId="0" xfId="1" applyNumberFormat="1" applyFont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37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horizontal="right"/>
    </xf>
    <xf numFmtId="165" fontId="1" fillId="0" borderId="0" xfId="1" applyNumberFormat="1" applyFont="1" applyAlignment="1"/>
    <xf numFmtId="1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7" fontId="1" fillId="0" borderId="5" xfId="1" applyNumberFormat="1" applyFont="1" applyBorder="1" applyAlignment="1"/>
    <xf numFmtId="165" fontId="0" fillId="0" borderId="5" xfId="0" applyNumberFormat="1" applyBorder="1"/>
    <xf numFmtId="165" fontId="0" fillId="0" borderId="8" xfId="0" applyNumberFormat="1" applyBorder="1"/>
    <xf numFmtId="165" fontId="6" fillId="0" borderId="0" xfId="0" applyNumberFormat="1" applyFont="1"/>
    <xf numFmtId="165" fontId="6" fillId="0" borderId="7" xfId="0" applyNumberFormat="1" applyFont="1" applyBorder="1"/>
    <xf numFmtId="165" fontId="0" fillId="0" borderId="0" xfId="0" applyNumberFormat="1"/>
    <xf numFmtId="165" fontId="0" fillId="0" borderId="7" xfId="0" applyNumberFormat="1" applyBorder="1"/>
    <xf numFmtId="37" fontId="1" fillId="0" borderId="6" xfId="1" applyNumberFormat="1" applyFont="1" applyBorder="1" applyAlignment="1"/>
    <xf numFmtId="165" fontId="0" fillId="0" borderId="6" xfId="0" applyNumberFormat="1" applyBorder="1"/>
    <xf numFmtId="165" fontId="0" fillId="0" borderId="9" xfId="0" applyNumberFormat="1" applyBorder="1"/>
    <xf numFmtId="0" fontId="8" fillId="0" borderId="0" xfId="0" applyFont="1"/>
    <xf numFmtId="0" fontId="9" fillId="3" borderId="0" xfId="0" applyFont="1" applyFill="1" applyAlignment="1">
      <alignment horizontal="centerContinuous"/>
    </xf>
    <xf numFmtId="0" fontId="9" fillId="14" borderId="7" xfId="0" applyFont="1" applyFill="1" applyBorder="1" applyAlignment="1">
      <alignment horizontal="centerContinuous"/>
    </xf>
    <xf numFmtId="0" fontId="9" fillId="14" borderId="0" xfId="0" applyFont="1" applyFill="1" applyAlignment="1">
      <alignment horizontal="centerContinuous"/>
    </xf>
    <xf numFmtId="0" fontId="9" fillId="16" borderId="7" xfId="0" applyFont="1" applyFill="1" applyBorder="1" applyAlignment="1">
      <alignment horizontal="centerContinuous"/>
    </xf>
    <xf numFmtId="0" fontId="9" fillId="16" borderId="0" xfId="0" applyFont="1" applyFill="1" applyAlignment="1">
      <alignment horizontal="centerContinuous"/>
    </xf>
    <xf numFmtId="0" fontId="9" fillId="12" borderId="7" xfId="0" applyFont="1" applyFill="1" applyBorder="1" applyAlignment="1">
      <alignment horizontal="centerContinuous"/>
    </xf>
    <xf numFmtId="0" fontId="9" fillId="12" borderId="0" xfId="0" applyFont="1" applyFill="1" applyAlignment="1">
      <alignment horizontal="centerContinuous"/>
    </xf>
    <xf numFmtId="0" fontId="9" fillId="4" borderId="7" xfId="0" applyFont="1" applyFill="1" applyBorder="1" applyAlignment="1">
      <alignment horizontal="centerContinuous"/>
    </xf>
    <xf numFmtId="0" fontId="9" fillId="4" borderId="0" xfId="0" applyFont="1" applyFill="1" applyAlignment="1">
      <alignment horizontal="centerContinuous"/>
    </xf>
    <xf numFmtId="0" fontId="9" fillId="6" borderId="7" xfId="0" applyFont="1" applyFill="1" applyBorder="1" applyAlignment="1">
      <alignment horizontal="centerContinuous"/>
    </xf>
    <xf numFmtId="0" fontId="9" fillId="6" borderId="0" xfId="0" applyFont="1" applyFill="1" applyAlignment="1">
      <alignment horizontal="centerContinuous"/>
    </xf>
    <xf numFmtId="0" fontId="9" fillId="8" borderId="7" xfId="0" applyFont="1" applyFill="1" applyBorder="1" applyAlignment="1">
      <alignment horizontal="centerContinuous"/>
    </xf>
    <xf numFmtId="0" fontId="9" fillId="8" borderId="0" xfId="0" applyFont="1" applyFill="1" applyAlignment="1">
      <alignment horizontal="centerContinuous"/>
    </xf>
    <xf numFmtId="0" fontId="9" fillId="10" borderId="7" xfId="0" applyFont="1" applyFill="1" applyBorder="1" applyAlignment="1">
      <alignment horizontal="centerContinuous"/>
    </xf>
    <xf numFmtId="0" fontId="9" fillId="10" borderId="0" xfId="0" applyFont="1" applyFill="1" applyAlignment="1">
      <alignment horizontal="centerContinuous"/>
    </xf>
    <xf numFmtId="0" fontId="9" fillId="0" borderId="0" xfId="0" applyFont="1"/>
    <xf numFmtId="0" fontId="8" fillId="3" borderId="0" xfId="0" applyFont="1" applyFill="1" applyAlignment="1">
      <alignment horizontal="centerContinuous"/>
    </xf>
    <xf numFmtId="0" fontId="8" fillId="14" borderId="7" xfId="0" applyFont="1" applyFill="1" applyBorder="1" applyAlignment="1">
      <alignment horizontal="centerContinuous"/>
    </xf>
    <xf numFmtId="0" fontId="8" fillId="14" borderId="0" xfId="0" applyFont="1" applyFill="1" applyAlignment="1">
      <alignment horizontal="centerContinuous"/>
    </xf>
    <xf numFmtId="0" fontId="8" fillId="16" borderId="0" xfId="0" applyFont="1" applyFill="1" applyAlignment="1">
      <alignment horizontal="centerContinuous"/>
    </xf>
    <xf numFmtId="0" fontId="8" fillId="12" borderId="7" xfId="0" applyFont="1" applyFill="1" applyBorder="1" applyAlignment="1">
      <alignment horizontal="centerContinuous"/>
    </xf>
    <xf numFmtId="0" fontId="8" fillId="12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8" fillId="6" borderId="0" xfId="0" applyFont="1" applyFill="1" applyAlignment="1">
      <alignment horizontal="centerContinuous"/>
    </xf>
    <xf numFmtId="0" fontId="8" fillId="8" borderId="0" xfId="0" applyFont="1" applyFill="1" applyAlignment="1">
      <alignment horizontal="centerContinuous"/>
    </xf>
    <xf numFmtId="0" fontId="8" fillId="10" borderId="0" xfId="0" applyFont="1" applyFill="1" applyAlignment="1">
      <alignment horizontal="centerContinuous"/>
    </xf>
    <xf numFmtId="0" fontId="3" fillId="19" borderId="7" xfId="0" applyFont="1" applyFill="1" applyBorder="1" applyAlignment="1">
      <alignment horizontal="right" wrapText="1"/>
    </xf>
    <xf numFmtId="0" fontId="3" fillId="19" borderId="0" xfId="0" applyFont="1" applyFill="1" applyAlignment="1">
      <alignment horizontal="right" wrapText="1"/>
    </xf>
    <xf numFmtId="0" fontId="9" fillId="18" borderId="7" xfId="0" applyFont="1" applyFill="1" applyBorder="1" applyAlignment="1">
      <alignment horizontal="centerContinuous"/>
    </xf>
    <xf numFmtId="0" fontId="9" fillId="18" borderId="0" xfId="0" applyFont="1" applyFill="1" applyAlignment="1">
      <alignment horizontal="centerContinuous"/>
    </xf>
    <xf numFmtId="0" fontId="8" fillId="18" borderId="7" xfId="0" applyFont="1" applyFill="1" applyBorder="1" applyAlignment="1">
      <alignment horizontal="centerContinuous"/>
    </xf>
    <xf numFmtId="0" fontId="8" fillId="18" borderId="0" xfId="0" applyFont="1" applyFill="1" applyAlignment="1">
      <alignment horizontal="centerContinuous"/>
    </xf>
    <xf numFmtId="0" fontId="8" fillId="16" borderId="7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/>
    </xf>
    <xf numFmtId="0" fontId="8" fillId="6" borderId="7" xfId="0" applyFont="1" applyFill="1" applyBorder="1" applyAlignment="1">
      <alignment horizontal="centerContinuous"/>
    </xf>
    <xf numFmtId="0" fontId="8" fillId="8" borderId="7" xfId="0" applyFont="1" applyFill="1" applyBorder="1" applyAlignment="1">
      <alignment horizontal="centerContinuous"/>
    </xf>
    <xf numFmtId="0" fontId="8" fillId="10" borderId="7" xfId="0" applyFont="1" applyFill="1" applyBorder="1" applyAlignment="1">
      <alignment horizontal="centerContinuous"/>
    </xf>
    <xf numFmtId="165" fontId="3" fillId="0" borderId="0" xfId="0" applyNumberFormat="1" applyFont="1"/>
    <xf numFmtId="165" fontId="10" fillId="20" borderId="5" xfId="0" applyNumberFormat="1" applyFont="1" applyFill="1" applyBorder="1"/>
    <xf numFmtId="0" fontId="1" fillId="20" borderId="0" xfId="0" applyFont="1" applyFill="1"/>
    <xf numFmtId="165" fontId="10" fillId="0" borderId="5" xfId="0" applyNumberFormat="1" applyFont="1" applyBorder="1"/>
    <xf numFmtId="165" fontId="6" fillId="0" borderId="2" xfId="0" applyNumberFormat="1" applyFont="1" applyBorder="1"/>
    <xf numFmtId="165" fontId="1" fillId="21" borderId="0" xfId="1" applyNumberFormat="1" applyFont="1" applyFill="1" applyAlignment="1"/>
    <xf numFmtId="167" fontId="0" fillId="0" borderId="0" xfId="0" applyNumberFormat="1" applyAlignment="1">
      <alignment horizontal="right"/>
    </xf>
    <xf numFmtId="3" fontId="1" fillId="0" borderId="6" xfId="1" applyNumberFormat="1" applyFont="1" applyBorder="1" applyAlignment="1"/>
    <xf numFmtId="165" fontId="1" fillId="0" borderId="6" xfId="1" applyNumberFormat="1" applyFont="1" applyBorder="1" applyAlignment="1"/>
    <xf numFmtId="3" fontId="1" fillId="0" borderId="6" xfId="1" applyNumberFormat="1" applyFont="1" applyBorder="1" applyAlignment="1">
      <alignment horizontal="right"/>
    </xf>
    <xf numFmtId="2" fontId="0" fillId="0" borderId="0" xfId="0" applyNumberFormat="1"/>
    <xf numFmtId="3" fontId="1" fillId="3" borderId="0" xfId="1" applyNumberFormat="1" applyFont="1" applyFill="1" applyAlignment="1"/>
    <xf numFmtId="0" fontId="3" fillId="18" borderId="0" xfId="0" applyFont="1" applyFill="1" applyAlignment="1">
      <alignment horizontal="right" wrapText="1"/>
    </xf>
    <xf numFmtId="0" fontId="9" fillId="22" borderId="0" xfId="0" applyFont="1" applyFill="1" applyAlignment="1">
      <alignment horizontal="centerContinuous"/>
    </xf>
    <xf numFmtId="0" fontId="8" fillId="22" borderId="0" xfId="0" applyFont="1" applyFill="1" applyAlignment="1">
      <alignment horizontal="centerContinuous"/>
    </xf>
    <xf numFmtId="0" fontId="3" fillId="14" borderId="0" xfId="0" applyFont="1" applyFill="1" applyAlignment="1">
      <alignment horizontal="right" wrapText="1"/>
    </xf>
    <xf numFmtId="0" fontId="3" fillId="16" borderId="0" xfId="0" applyFont="1" applyFill="1" applyAlignment="1">
      <alignment horizontal="right" wrapText="1"/>
    </xf>
    <xf numFmtId="17" fontId="3" fillId="12" borderId="0" xfId="0" applyNumberFormat="1" applyFont="1" applyFill="1" applyAlignment="1">
      <alignment horizontal="right" wrapText="1"/>
    </xf>
    <xf numFmtId="166" fontId="0" fillId="0" borderId="0" xfId="0" applyNumberFormat="1"/>
    <xf numFmtId="0" fontId="3" fillId="4" borderId="0" xfId="0" applyFont="1" applyFill="1" applyAlignment="1">
      <alignment horizontal="right" wrapText="1"/>
    </xf>
    <xf numFmtId="17" fontId="3" fillId="4" borderId="0" xfId="0" applyNumberFormat="1" applyFont="1" applyFill="1" applyAlignment="1">
      <alignment horizontal="right" wrapText="1"/>
    </xf>
    <xf numFmtId="0" fontId="3" fillId="8" borderId="0" xfId="0" applyFont="1" applyFill="1" applyAlignment="1">
      <alignment horizontal="right" wrapText="1"/>
    </xf>
    <xf numFmtId="0" fontId="3" fillId="22" borderId="0" xfId="0" applyFont="1" applyFill="1" applyAlignment="1">
      <alignment horizontal="right" wrapText="1"/>
    </xf>
    <xf numFmtId="0" fontId="3" fillId="6" borderId="0" xfId="0" applyFont="1" applyFill="1" applyAlignment="1">
      <alignment horizontal="right" wrapText="1"/>
    </xf>
    <xf numFmtId="0" fontId="3" fillId="3" borderId="0" xfId="0" applyFont="1" applyFill="1" applyAlignment="1">
      <alignment horizontal="right" wrapText="1"/>
    </xf>
    <xf numFmtId="3" fontId="1" fillId="3" borderId="6" xfId="1" applyNumberFormat="1" applyFont="1" applyFill="1" applyBorder="1" applyAlignment="1"/>
    <xf numFmtId="0" fontId="4" fillId="0" borderId="0" xfId="0" applyFont="1"/>
    <xf numFmtId="0" fontId="12" fillId="0" borderId="0" xfId="0" applyFont="1" applyAlignment="1">
      <alignment horizontal="right"/>
    </xf>
    <xf numFmtId="0" fontId="12" fillId="23" borderId="0" xfId="0" applyFont="1" applyFill="1" applyAlignment="1">
      <alignment horizontal="right"/>
    </xf>
    <xf numFmtId="0" fontId="3" fillId="10" borderId="0" xfId="0" applyFont="1" applyFill="1" applyAlignment="1">
      <alignment horizontal="right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Fill="1" applyBorder="1"/>
    <xf numFmtId="0" fontId="1" fillId="0" borderId="4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/>
    <xf numFmtId="0" fontId="1" fillId="0" borderId="0" xfId="0" applyFont="1" applyFill="1" applyBorder="1" applyAlignment="1">
      <alignment horizontal="center" wrapText="1"/>
    </xf>
    <xf numFmtId="3" fontId="1" fillId="0" borderId="0" xfId="1" applyNumberFormat="1" applyFont="1" applyBorder="1" applyAlignment="1"/>
    <xf numFmtId="165" fontId="1" fillId="0" borderId="0" xfId="1" applyNumberFormat="1" applyFont="1" applyBorder="1" applyAlignment="1"/>
    <xf numFmtId="3" fontId="1" fillId="3" borderId="0" xfId="1" applyNumberFormat="1" applyFont="1" applyFill="1" applyBorder="1" applyAlignment="1"/>
    <xf numFmtId="165" fontId="1" fillId="3" borderId="0" xfId="1" applyNumberFormat="1" applyFont="1" applyFill="1" applyAlignment="1"/>
    <xf numFmtId="3" fontId="1" fillId="3" borderId="0" xfId="1" applyNumberFormat="1" applyFont="1" applyFill="1" applyAlignment="1">
      <alignment horizontal="right"/>
    </xf>
    <xf numFmtId="0" fontId="1" fillId="0" borderId="10" xfId="0" applyFont="1" applyFill="1" applyBorder="1" applyAlignment="1">
      <alignment horizontal="centerContinuous"/>
    </xf>
    <xf numFmtId="3" fontId="1" fillId="0" borderId="10" xfId="1" applyNumberFormat="1" applyFont="1" applyBorder="1" applyAlignment="1"/>
    <xf numFmtId="3" fontId="1" fillId="0" borderId="11" xfId="1" applyNumberFormat="1" applyFont="1" applyBorder="1" applyAlignment="1"/>
    <xf numFmtId="165" fontId="1" fillId="3" borderId="6" xfId="1" applyNumberFormat="1" applyFont="1" applyFill="1" applyBorder="1" applyAlignment="1"/>
    <xf numFmtId="3" fontId="1" fillId="3" borderId="6" xfId="1" applyNumberFormat="1" applyFont="1" applyFill="1" applyBorder="1" applyAlignment="1">
      <alignment horizontal="right"/>
    </xf>
    <xf numFmtId="0" fontId="1" fillId="0" borderId="0" xfId="0" applyFont="1" applyFill="1" applyBorder="1"/>
    <xf numFmtId="3" fontId="1" fillId="3" borderId="11" xfId="1" applyNumberFormat="1" applyFont="1" applyFill="1" applyBorder="1" applyAlignment="1"/>
    <xf numFmtId="3" fontId="1" fillId="3" borderId="10" xfId="1" applyNumberFormat="1" applyFont="1" applyFill="1" applyBorder="1" applyAlignment="1"/>
    <xf numFmtId="165" fontId="1" fillId="21" borderId="11" xfId="1" applyNumberFormat="1" applyFont="1" applyFill="1" applyBorder="1" applyAlignment="1"/>
    <xf numFmtId="165" fontId="1" fillId="0" borderId="11" xfId="1" applyNumberFormat="1" applyFont="1" applyBorder="1" applyAlignment="1"/>
    <xf numFmtId="3" fontId="1" fillId="0" borderId="11" xfId="1" applyNumberFormat="1" applyFont="1" applyBorder="1" applyAlignment="1">
      <alignment horizontal="right"/>
    </xf>
    <xf numFmtId="165" fontId="1" fillId="3" borderId="11" xfId="1" applyNumberFormat="1" applyFont="1" applyFill="1" applyBorder="1" applyAlignment="1"/>
    <xf numFmtId="3" fontId="1" fillId="3" borderId="11" xfId="1" applyNumberFormat="1" applyFont="1" applyFill="1" applyBorder="1" applyAlignment="1">
      <alignment horizontal="right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CCECFF"/>
      <color rgb="FFFFFF99"/>
      <color rgb="FFFFFFCC"/>
      <color rgb="FFFFFF66"/>
      <color rgb="FF0033CC"/>
      <color rgb="FF006600"/>
      <color rgb="FFA50021"/>
      <color rgb="FF0033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Change in Nonagricultural Employment 2017 to 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66883421214234E-2"/>
          <c:y val="0.14807933218370362"/>
          <c:w val="0.84960006208799044"/>
          <c:h val="0.52527123270722331"/>
        </c:manualLayout>
      </c:layout>
      <c:barChart>
        <c:barDir val="col"/>
        <c:grouping val="clustered"/>
        <c:varyColors val="0"/>
        <c:ser>
          <c:idx val="1"/>
          <c:order val="0"/>
          <c:tx>
            <c:v>United States</c:v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14'!$M$5:$U$5</c:f>
              <c:strCache>
                <c:ptCount val="9"/>
                <c:pt idx="0">
                  <c:v>Total</c:v>
                </c:pt>
                <c:pt idx="1">
                  <c:v>Mining, Logging 
and Construction</c:v>
                </c:pt>
                <c:pt idx="2">
                  <c:v>Manufacturing</c:v>
                </c:pt>
                <c:pt idx="3">
                  <c:v>Trade, Transportation and Utilities</c:v>
                </c:pt>
                <c:pt idx="4">
                  <c:v>Information</c:v>
                </c:pt>
                <c:pt idx="5">
                  <c:v>Financial,
Professional and 
Business Services</c:v>
                </c:pt>
                <c:pt idx="6">
                  <c:v>Education 
and 
Health Services</c:v>
                </c:pt>
                <c:pt idx="7">
                  <c:v>Leisure, Hospitality and 
Other Services</c:v>
                </c:pt>
                <c:pt idx="8">
                  <c:v>Government</c:v>
                </c:pt>
              </c:strCache>
            </c:strRef>
          </c:cat>
          <c:val>
            <c:numRef>
              <c:f>'Table 14'!$M$6:$U$6</c:f>
              <c:numCache>
                <c:formatCode>#,##0.0</c:formatCode>
                <c:ptCount val="9"/>
                <c:pt idx="0">
                  <c:v>4.1025382109849495</c:v>
                </c:pt>
                <c:pt idx="1">
                  <c:v>9.5980559569157737</c:v>
                </c:pt>
                <c:pt idx="2">
                  <c:v>2.8465256943383443</c:v>
                </c:pt>
                <c:pt idx="3">
                  <c:v>4.1769658020239699</c:v>
                </c:pt>
                <c:pt idx="4">
                  <c:v>10.043668122270761</c:v>
                </c:pt>
                <c:pt idx="5">
                  <c:v>10.253384434906453</c:v>
                </c:pt>
                <c:pt idx="6">
                  <c:v>5.2485960945707113</c:v>
                </c:pt>
                <c:pt idx="7">
                  <c:v>-0.58906082653175273</c:v>
                </c:pt>
                <c:pt idx="8">
                  <c:v>-1.7189298360887042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1-4EC9-8255-4F61C24C7EFA}"/>
            </c:ext>
          </c:extLst>
        </c:ser>
        <c:ser>
          <c:idx val="2"/>
          <c:order val="1"/>
          <c:tx>
            <c:v>SREB states</c:v>
          </c:tx>
          <c:spPr>
            <a:solidFill>
              <a:srgbClr val="A50021"/>
            </a:solidFill>
          </c:spPr>
          <c:invertIfNegative val="0"/>
          <c:cat>
            <c:strRef>
              <c:f>'Table 14'!$M$5:$U$5</c:f>
              <c:strCache>
                <c:ptCount val="9"/>
                <c:pt idx="0">
                  <c:v>Total</c:v>
                </c:pt>
                <c:pt idx="1">
                  <c:v>Mining, Logging 
and Construction</c:v>
                </c:pt>
                <c:pt idx="2">
                  <c:v>Manufacturing</c:v>
                </c:pt>
                <c:pt idx="3">
                  <c:v>Trade, Transportation and Utilities</c:v>
                </c:pt>
                <c:pt idx="4">
                  <c:v>Information</c:v>
                </c:pt>
                <c:pt idx="5">
                  <c:v>Financial,
Professional and 
Business Services</c:v>
                </c:pt>
                <c:pt idx="6">
                  <c:v>Education 
and 
Health Services</c:v>
                </c:pt>
                <c:pt idx="7">
                  <c:v>Leisure, Hospitality and 
Other Services</c:v>
                </c:pt>
                <c:pt idx="8">
                  <c:v>Government</c:v>
                </c:pt>
              </c:strCache>
            </c:strRef>
          </c:cat>
          <c:val>
            <c:numRef>
              <c:f>'Table 14'!$M$7:$U$7</c:f>
              <c:numCache>
                <c:formatCode>#,##0.0</c:formatCode>
                <c:ptCount val="9"/>
                <c:pt idx="0">
                  <c:v>6.6470443953887681</c:v>
                </c:pt>
                <c:pt idx="1">
                  <c:v>7.9534525870359367</c:v>
                </c:pt>
                <c:pt idx="2">
                  <c:v>5.380583738039145</c:v>
                </c:pt>
                <c:pt idx="3">
                  <c:v>7.9262295880113145</c:v>
                </c:pt>
                <c:pt idx="4">
                  <c:v>8.1693500298151314</c:v>
                </c:pt>
                <c:pt idx="5">
                  <c:v>15.06722974612881</c:v>
                </c:pt>
                <c:pt idx="6">
                  <c:v>6.3891486103771156</c:v>
                </c:pt>
                <c:pt idx="7">
                  <c:v>2.7218460999386913</c:v>
                </c:pt>
                <c:pt idx="8">
                  <c:v>-0.12301564056001406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1-4EC9-8255-4F61C24C7EFA}"/>
            </c:ext>
          </c:extLst>
        </c:ser>
        <c:ser>
          <c:idx val="0"/>
          <c:order val="2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14'!$M$15:$U$15</c:f>
              <c:numCache>
                <c:formatCode>#,##0.0</c:formatCode>
                <c:ptCount val="9"/>
                <c:pt idx="0">
                  <c:v>-2.5773718924403832</c:v>
                </c:pt>
                <c:pt idx="1">
                  <c:v>-11.64459161147904</c:v>
                </c:pt>
                <c:pt idx="2">
                  <c:v>-0.22321428571429416</c:v>
                </c:pt>
                <c:pt idx="3">
                  <c:v>-1.9412381951731315</c:v>
                </c:pt>
                <c:pt idx="4">
                  <c:v>1.310043668122274</c:v>
                </c:pt>
                <c:pt idx="5">
                  <c:v>2.4438573315719871</c:v>
                </c:pt>
                <c:pt idx="6">
                  <c:v>0.5356385235468798</c:v>
                </c:pt>
                <c:pt idx="7">
                  <c:v>-7.6822916666666723</c:v>
                </c:pt>
                <c:pt idx="8">
                  <c:v>-4.9511002444987735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1-4EC9-8255-4F61C24C7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04448"/>
        <c:axId val="55978816"/>
      </c:barChart>
      <c:catAx>
        <c:axId val="9290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 b="1"/>
            </a:pPr>
            <a:endParaRPr lang="en-US"/>
          </a:p>
        </c:txPr>
        <c:crossAx val="55978816"/>
        <c:crosses val="autoZero"/>
        <c:auto val="1"/>
        <c:lblAlgn val="ctr"/>
        <c:lblOffset val="100"/>
        <c:noMultiLvlLbl val="0"/>
      </c:catAx>
      <c:valAx>
        <c:axId val="5597881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92904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702445911544379"/>
          <c:y val="9.9030096584362473E-2"/>
          <c:w val="0.30203935417163769"/>
          <c:h val="8.75810204575492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107155</xdr:colOff>
      <xdr:row>40</xdr:row>
      <xdr:rowOff>150787</xdr:rowOff>
    </xdr:from>
    <xdr:to>
      <xdr:col>28</xdr:col>
      <xdr:colOff>212360</xdr:colOff>
      <xdr:row>50</xdr:row>
      <xdr:rowOff>30618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573874" y="7496943"/>
          <a:ext cx="1391080" cy="1546706"/>
        </a:xfrm>
        <a:prstGeom prst="wedgeEllipseCallout">
          <a:avLst>
            <a:gd name="adj1" fmla="val -157081"/>
            <a:gd name="adj2" fmla="val 22000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 and raw data.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23</xdr:col>
      <xdr:colOff>5363</xdr:colOff>
      <xdr:row>4</xdr:row>
      <xdr:rowOff>171903</xdr:rowOff>
    </xdr:from>
    <xdr:to>
      <xdr:col>35</xdr:col>
      <xdr:colOff>63633</xdr:colOff>
      <xdr:row>33</xdr:row>
      <xdr:rowOff>31750</xdr:rowOff>
    </xdr:to>
    <xdr:graphicFrame macro="">
      <xdr:nvGraphicFramePr>
        <xdr:cNvPr id="3079" name="Chart 2">
          <a:extLst>
            <a:ext uri="{FF2B5EF4-FFF2-40B4-BE49-F238E27FC236}">
              <a16:creationId xmlns:a16="http://schemas.microsoft.com/office/drawing/2014/main" id="{00000000-0008-0000-0000-0000070C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628195</xdr:colOff>
      <xdr:row>30</xdr:row>
      <xdr:rowOff>86630</xdr:rowOff>
    </xdr:from>
    <xdr:to>
      <xdr:col>33</xdr:col>
      <xdr:colOff>451302</xdr:colOff>
      <xdr:row>40</xdr:row>
      <xdr:rowOff>137885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371528" y="5537047"/>
          <a:ext cx="3051024" cy="1638755"/>
        </a:xfrm>
        <a:prstGeom prst="wedgeEllipseCallout">
          <a:avLst>
            <a:gd name="adj1" fmla="val -36674"/>
            <a:gd name="adj2" fmla="val -18446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0">
              <a:solidFill>
                <a:srgbClr val="C00000"/>
              </a:solidFill>
            </a:rPr>
            <a:t>Click</a:t>
          </a:r>
          <a:r>
            <a:rPr lang="en-US" sz="1000" b="1" i="0" baseline="0">
              <a:solidFill>
                <a:srgbClr val="C00000"/>
              </a:solidFill>
            </a:rPr>
            <a:t> on state bar to see state highlighted  above.  Move highlight box from state to state to change view.</a:t>
          </a:r>
          <a:endParaRPr lang="en-US" sz="1000" b="1" i="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6"/>
  </sheetPr>
  <dimension ref="A1:V111"/>
  <sheetViews>
    <sheetView showGridLines="0" tabSelected="1" view="pageBreakPreview" zoomScale="70" zoomScaleNormal="100" zoomScaleSheetLayoutView="70" workbookViewId="0">
      <selection activeCell="K31" sqref="K31"/>
    </sheetView>
  </sheetViews>
  <sheetFormatPr defaultColWidth="9.7109375" defaultRowHeight="12.6"/>
  <cols>
    <col min="1" max="1" width="8.28515625" style="2" customWidth="1"/>
    <col min="2" max="2" width="12.42578125" style="2" customWidth="1"/>
    <col min="3" max="3" width="9" style="2" customWidth="1"/>
    <col min="4" max="4" width="12.42578125" style="2" customWidth="1"/>
    <col min="5" max="5" width="13.28515625" style="2" customWidth="1"/>
    <col min="6" max="6" width="13.7109375" style="2" customWidth="1"/>
    <col min="7" max="7" width="11" style="2" customWidth="1"/>
    <col min="8" max="8" width="11.7109375" style="2" customWidth="1"/>
    <col min="9" max="10" width="11" style="2" customWidth="1"/>
    <col min="11" max="11" width="12" style="2" customWidth="1"/>
    <col min="12" max="12" width="2.28515625" style="128" customWidth="1"/>
    <col min="13" max="13" width="8.140625" style="2" customWidth="1"/>
    <col min="14" max="14" width="11.85546875" style="2" customWidth="1"/>
    <col min="15" max="15" width="13.28515625" style="2" customWidth="1"/>
    <col min="16" max="16" width="14" style="2" customWidth="1"/>
    <col min="17" max="17" width="11.85546875" style="2" customWidth="1"/>
    <col min="18" max="18" width="12.42578125" style="2" customWidth="1"/>
    <col min="19" max="19" width="11" style="2" customWidth="1"/>
    <col min="20" max="21" width="11.5703125" style="2" customWidth="1"/>
    <col min="22" max="22" width="19.28515625" style="25" customWidth="1"/>
    <col min="23" max="16384" width="9.7109375" style="2"/>
  </cols>
  <sheetData>
    <row r="1" spans="1:22" ht="12.95">
      <c r="A1" s="21" t="s">
        <v>0</v>
      </c>
      <c r="B1" s="21"/>
      <c r="C1" s="24"/>
      <c r="D1" s="108"/>
      <c r="E1" s="24"/>
      <c r="F1" s="24"/>
      <c r="G1" s="24"/>
      <c r="H1" s="24"/>
      <c r="I1" s="24"/>
      <c r="J1" s="24"/>
      <c r="K1" s="24"/>
      <c r="L1" s="127"/>
      <c r="M1" s="24"/>
      <c r="N1" s="24"/>
      <c r="O1" s="24"/>
      <c r="P1" s="24"/>
      <c r="Q1" s="24"/>
      <c r="R1" s="24"/>
      <c r="S1" s="24"/>
      <c r="T1" s="24"/>
      <c r="U1" s="24"/>
      <c r="V1" s="25" t="s">
        <v>0</v>
      </c>
    </row>
    <row r="2" spans="1:22" ht="12.95">
      <c r="A2" s="21" t="s">
        <v>1</v>
      </c>
      <c r="B2" s="21"/>
      <c r="C2" s="24"/>
      <c r="E2" s="24"/>
      <c r="F2" s="24"/>
      <c r="G2" s="24"/>
      <c r="H2" s="24"/>
      <c r="I2" s="24"/>
      <c r="J2" s="24"/>
      <c r="K2" s="24"/>
      <c r="L2" s="127"/>
      <c r="M2" s="24"/>
      <c r="N2" s="24"/>
      <c r="O2" s="24"/>
      <c r="P2" s="24"/>
      <c r="Q2" s="24"/>
      <c r="R2" s="24"/>
      <c r="S2" s="24"/>
      <c r="T2" s="24"/>
      <c r="U2" s="24"/>
      <c r="V2" s="1" t="s">
        <v>2</v>
      </c>
    </row>
    <row r="3" spans="1:22">
      <c r="A3" s="26"/>
      <c r="B3" s="26"/>
    </row>
    <row r="4" spans="1:22" s="123" customFormat="1">
      <c r="A4" s="119"/>
      <c r="B4" s="119"/>
      <c r="C4" s="120" t="s">
        <v>3</v>
      </c>
      <c r="D4" s="120"/>
      <c r="E4" s="120"/>
      <c r="F4" s="120"/>
      <c r="G4" s="120"/>
      <c r="H4" s="120"/>
      <c r="I4" s="120"/>
      <c r="J4" s="120"/>
      <c r="K4" s="120"/>
      <c r="L4" s="135"/>
      <c r="M4" s="121" t="s">
        <v>4</v>
      </c>
      <c r="N4" s="121"/>
      <c r="O4" s="121"/>
      <c r="P4" s="121"/>
      <c r="Q4" s="121"/>
      <c r="R4" s="121"/>
      <c r="S4" s="121"/>
      <c r="T4" s="121"/>
      <c r="U4" s="121"/>
      <c r="V4" s="122"/>
    </row>
    <row r="5" spans="1:22" s="123" customFormat="1" ht="66.75" customHeight="1">
      <c r="C5" s="124" t="s">
        <v>5</v>
      </c>
      <c r="D5" s="125" t="s">
        <v>6</v>
      </c>
      <c r="E5" s="125" t="s">
        <v>7</v>
      </c>
      <c r="F5" s="125" t="s">
        <v>8</v>
      </c>
      <c r="G5" s="125" t="s">
        <v>9</v>
      </c>
      <c r="H5" s="125" t="s">
        <v>10</v>
      </c>
      <c r="I5" s="125" t="s">
        <v>11</v>
      </c>
      <c r="J5" s="125" t="s">
        <v>12</v>
      </c>
      <c r="K5" s="125" t="s">
        <v>13</v>
      </c>
      <c r="L5" s="129"/>
      <c r="M5" s="124" t="s">
        <v>5</v>
      </c>
      <c r="N5" s="125" t="s">
        <v>6</v>
      </c>
      <c r="O5" s="125" t="s">
        <v>7</v>
      </c>
      <c r="P5" s="125" t="s">
        <v>8</v>
      </c>
      <c r="Q5" s="125" t="s">
        <v>9</v>
      </c>
      <c r="R5" s="125" t="s">
        <v>10</v>
      </c>
      <c r="S5" s="125" t="s">
        <v>11</v>
      </c>
      <c r="T5" s="125" t="s">
        <v>12</v>
      </c>
      <c r="U5" s="125" t="s">
        <v>13</v>
      </c>
      <c r="V5" s="126"/>
    </row>
    <row r="6" spans="1:22">
      <c r="A6" s="89" t="s">
        <v>14</v>
      </c>
      <c r="B6" s="89"/>
      <c r="C6" s="89">
        <f>'Non-Ag Employment'!O5</f>
        <v>152580.80000000002</v>
      </c>
      <c r="D6" s="89">
        <f>'Non-Ag Employment'!AC5</f>
        <v>8343.6999999999989</v>
      </c>
      <c r="E6" s="89">
        <f>'Non-Ag Employment'!AQ5</f>
        <v>12786.600000000002</v>
      </c>
      <c r="F6" s="89">
        <f>'Non-Ag Employment'!BE5</f>
        <v>28659.5</v>
      </c>
      <c r="G6" s="89">
        <f>'Non-Ag Employment'!BS5</f>
        <v>3053</v>
      </c>
      <c r="H6" s="89">
        <f>'Non-Ag Employment'!CG5</f>
        <v>31672.600000000006</v>
      </c>
      <c r="I6" s="89">
        <f>'Non-Ag Employment'!CU5</f>
        <v>24345.999999999996</v>
      </c>
      <c r="J6" s="89">
        <f>'Non-Ag Employment'!DI5</f>
        <v>21534.000000000004</v>
      </c>
      <c r="K6" s="89">
        <f>'Non-Ag Employment'!DW5</f>
        <v>22287.1</v>
      </c>
      <c r="L6" s="136"/>
      <c r="M6" s="90">
        <f>(('Non-Ag Employment'!O5-'Non-Ag Employment'!J5)/'Non-Ag Employment'!J5)*100</f>
        <v>4.1025382109849495</v>
      </c>
      <c r="N6" s="90">
        <f>(('Non-Ag Employment'!AC5-'Non-Ag Employment'!X5)/'Non-Ag Employment'!X5)*100</f>
        <v>9.5980559569157737</v>
      </c>
      <c r="O6" s="90">
        <f>(('Non-Ag Employment'!AQ5-'Non-Ag Employment'!AL5)/'Non-Ag Employment'!AL5)*100</f>
        <v>2.8465256943383443</v>
      </c>
      <c r="P6" s="90">
        <f>(('Non-Ag Employment'!BE5-'Non-Ag Employment'!AZ5)/'Non-Ag Employment'!AZ5)*100</f>
        <v>4.1769658020239699</v>
      </c>
      <c r="Q6" s="90">
        <f>(('Non-Ag Employment'!BS5-'Non-Ag Employment'!BL5)/'Non-Ag Employment'!BN5)*100</f>
        <v>10.043668122270761</v>
      </c>
      <c r="R6" s="90">
        <f>(('Non-Ag Employment'!CG5-'Non-Ag Employment'!CB5)/'Non-Ag Employment'!CB5)*100</f>
        <v>10.253384434906453</v>
      </c>
      <c r="S6" s="90">
        <f>(('Non-Ag Employment'!CU5-'Non-Ag Employment'!CP5)/'Non-Ag Employment'!CP5)*100</f>
        <v>5.2485960945707113</v>
      </c>
      <c r="T6" s="90">
        <f>(('Non-Ag Employment'!DI5-'Non-Ag Employment'!DD5)/'Non-Ag Employment'!DD5)*100</f>
        <v>-0.58906082653175273</v>
      </c>
      <c r="U6" s="90">
        <f>(('Non-Ag Employment'!DW5-'Non-Ag Employment'!DR5)/'Non-Ag Employment'!DR5)*100</f>
        <v>-1.7189298360887042</v>
      </c>
      <c r="V6" s="91" t="s">
        <v>14</v>
      </c>
    </row>
    <row r="7" spans="1:22">
      <c r="A7" s="22" t="s">
        <v>15</v>
      </c>
      <c r="B7" s="22"/>
      <c r="C7" s="22">
        <f>'Non-Ag Employment'!O6</f>
        <v>56089.200000000004</v>
      </c>
      <c r="D7" s="22">
        <f>'Non-Ag Employment'!AC6</f>
        <v>3367.4999999999991</v>
      </c>
      <c r="E7" s="22">
        <f>'Non-Ag Employment'!AQ6</f>
        <v>4383.2</v>
      </c>
      <c r="F7" s="22">
        <f>'Non-Ag Employment'!BE6</f>
        <v>11083.7</v>
      </c>
      <c r="G7" s="22">
        <f>'Non-Ag Employment'!BS6</f>
        <v>905.3</v>
      </c>
      <c r="H7" s="22">
        <f>'Non-Ag Employment'!CG6</f>
        <v>11852.499999999998</v>
      </c>
      <c r="I7" s="22">
        <f>'Non-Ag Employment'!CU6</f>
        <v>7851.2000000000007</v>
      </c>
      <c r="J7" s="22">
        <f>'Non-Ag Employment'!DI6</f>
        <v>8208.4000000000015</v>
      </c>
      <c r="K7" s="22">
        <f>'Non-Ag Employment'!DW6</f>
        <v>8525</v>
      </c>
      <c r="L7" s="130"/>
      <c r="M7" s="30">
        <f>(('Non-Ag Employment'!O6-'Non-Ag Employment'!J6)/'Non-Ag Employment'!J6)*100</f>
        <v>6.6470443953887681</v>
      </c>
      <c r="N7" s="30">
        <f>(('Non-Ag Employment'!AC6-'Non-Ag Employment'!X6)/'Non-Ag Employment'!X6)*100</f>
        <v>7.9534525870359367</v>
      </c>
      <c r="O7" s="30">
        <f>(('Non-Ag Employment'!AQ6-'Non-Ag Employment'!AL6)/'Non-Ag Employment'!AL6)*100</f>
        <v>5.380583738039145</v>
      </c>
      <c r="P7" s="30">
        <f>(('Non-Ag Employment'!BE6-'Non-Ag Employment'!AZ6)/'Non-Ag Employment'!AZ6)*100</f>
        <v>7.9262295880113145</v>
      </c>
      <c r="Q7" s="30">
        <f>(('Non-Ag Employment'!BS6-'Non-Ag Employment'!BL6)/'Non-Ag Employment'!BN6)*100</f>
        <v>8.1693500298151314</v>
      </c>
      <c r="R7" s="30">
        <f>(('Non-Ag Employment'!CG6-'Non-Ag Employment'!CB6)/'Non-Ag Employment'!CB6)*100</f>
        <v>15.06722974612881</v>
      </c>
      <c r="S7" s="30">
        <f>(('Non-Ag Employment'!CU6-'Non-Ag Employment'!CP6)/'Non-Ag Employment'!CP6)*100</f>
        <v>6.3891486103771156</v>
      </c>
      <c r="T7" s="30">
        <f>(('Non-Ag Employment'!DI6-'Non-Ag Employment'!DD6)/'Non-Ag Employment'!DD6)*100</f>
        <v>2.7218460999386913</v>
      </c>
      <c r="U7" s="30">
        <f>(('Non-Ag Employment'!DW6-'Non-Ag Employment'!DR6)/'Non-Ag Employment'!DR6)*100</f>
        <v>-0.12301564056001406</v>
      </c>
      <c r="V7" s="23" t="s">
        <v>15</v>
      </c>
    </row>
    <row r="8" spans="1:22" ht="14.45">
      <c r="A8" s="22" t="s">
        <v>16</v>
      </c>
      <c r="B8" s="22"/>
      <c r="C8" s="22">
        <f>'Non-Ag Employment'!O7</f>
        <v>36.760326332015559</v>
      </c>
      <c r="D8" s="22">
        <f>'Non-Ag Employment'!AC7</f>
        <v>40.359792418231713</v>
      </c>
      <c r="E8" s="22">
        <f>'Non-Ag Employment'!AQ7</f>
        <v>34.279636494455126</v>
      </c>
      <c r="F8" s="22">
        <f>'Non-Ag Employment'!BE7</f>
        <v>38.673738201992364</v>
      </c>
      <c r="G8" s="22">
        <f>'Non-Ag Employment'!BS7</f>
        <v>29.652800524074678</v>
      </c>
      <c r="H8" s="22">
        <f>'Non-Ag Employment'!CG7</f>
        <v>37.421935679420052</v>
      </c>
      <c r="I8" s="22">
        <f>'Non-Ag Employment'!CU7</f>
        <v>32.248418631397364</v>
      </c>
      <c r="J8" s="22">
        <f>'Non-Ag Employment'!DI7</f>
        <v>38.118324510077088</v>
      </c>
      <c r="K8" s="22">
        <f>'Non-Ag Employment'!DW7</f>
        <v>38.250826711416025</v>
      </c>
      <c r="L8" s="131"/>
      <c r="M8" s="30"/>
      <c r="N8" s="30"/>
      <c r="O8" s="30"/>
      <c r="P8" s="30"/>
      <c r="Q8" s="30"/>
      <c r="R8" s="30"/>
      <c r="S8" s="30"/>
      <c r="T8" s="30"/>
      <c r="U8" s="30"/>
      <c r="V8" s="23"/>
    </row>
    <row r="9" spans="1:22" s="123" customFormat="1">
      <c r="A9" s="93" t="s">
        <v>17</v>
      </c>
      <c r="B9" s="93"/>
      <c r="C9" s="93">
        <f>'Non-Ag Employment'!O8</f>
        <v>2111.6999999999998</v>
      </c>
      <c r="D9" s="93">
        <f>'Non-Ag Employment'!AC8</f>
        <v>108.19999999999999</v>
      </c>
      <c r="E9" s="93">
        <f>'Non-Ag Employment'!AQ8</f>
        <v>274</v>
      </c>
      <c r="F9" s="93">
        <f>'Non-Ag Employment'!BE8</f>
        <v>405.1</v>
      </c>
      <c r="G9" s="93">
        <f>'Non-Ag Employment'!BS8</f>
        <v>22.6</v>
      </c>
      <c r="H9" s="93">
        <f>'Non-Ag Employment'!CG8</f>
        <v>364.1</v>
      </c>
      <c r="I9" s="93">
        <f>'Non-Ag Employment'!CU8</f>
        <v>247.8</v>
      </c>
      <c r="J9" s="93">
        <f>'Non-Ag Employment'!DI8</f>
        <v>297.2</v>
      </c>
      <c r="K9" s="93">
        <f>'Non-Ag Employment'!DW8</f>
        <v>392.6</v>
      </c>
      <c r="L9" s="132"/>
      <c r="M9" s="133">
        <f>(('Non-Ag Employment'!O8-'Non-Ag Employment'!J8)/'Non-Ag Employment'!J8)*100</f>
        <v>4.7730091788637967</v>
      </c>
      <c r="N9" s="133">
        <f>(('Non-Ag Employment'!AC8-'Non-Ag Employment'!X8)/'Non-Ag Employment'!X8)*100</f>
        <v>14.135021097046405</v>
      </c>
      <c r="O9" s="133">
        <f>(('Non-Ag Employment'!AQ8-'Non-Ag Employment'!AL8)/'Non-Ag Employment'!AL8)*100</f>
        <v>4.0638055450056925</v>
      </c>
      <c r="P9" s="133">
        <f>(('Non-Ag Employment'!BE8-'Non-Ag Employment'!AZ8)/'Non-Ag Employment'!AZ8)*100</f>
        <v>6.9429778247096117</v>
      </c>
      <c r="Q9" s="133">
        <f>(('Non-Ag Employment'!BS8-'Non-Ag Employment'!BN8)/'Non-Ag Employment'!BN8)*100</f>
        <v>8.1339712918660432</v>
      </c>
      <c r="R9" s="133">
        <f>(('Non-Ag Employment'!CG8-'Non-Ag Employment'!CB8)/'Non-Ag Employment'!CB8)*100</f>
        <v>8.4922526817640041</v>
      </c>
      <c r="S9" s="133">
        <f>(('Non-Ag Employment'!CU8-'Non-Ag Employment'!CP8)/'Non-Ag Employment'!C8)*100</f>
        <v>0.3420996365191365</v>
      </c>
      <c r="T9" s="133">
        <f>(('Non-Ag Employment'!DI8-'Non-Ag Employment'!DD8)/'Non-Ag Employment'!DD8)*100</f>
        <v>0.54127198917454866</v>
      </c>
      <c r="U9" s="133">
        <f>(('Non-Ag Employment'!DW8-'Non-Ag Employment'!DR8)/'Non-Ag Employment'!DR8)*100</f>
        <v>1.9475460919241756</v>
      </c>
      <c r="V9" s="134" t="s">
        <v>17</v>
      </c>
    </row>
    <row r="10" spans="1:22" s="123" customFormat="1">
      <c r="A10" s="93" t="s">
        <v>18</v>
      </c>
      <c r="B10" s="93"/>
      <c r="C10" s="93">
        <f>'Non-Ag Employment'!O9</f>
        <v>1335</v>
      </c>
      <c r="D10" s="93">
        <f>'Non-Ag Employment'!AC9</f>
        <v>62.800000000000004</v>
      </c>
      <c r="E10" s="93">
        <f>'Non-Ag Employment'!AQ9</f>
        <v>162.30000000000001</v>
      </c>
      <c r="F10" s="93">
        <f>'Non-Ag Employment'!BE9</f>
        <v>270.2</v>
      </c>
      <c r="G10" s="93">
        <f>'Non-Ag Employment'!BS9</f>
        <v>12.7</v>
      </c>
      <c r="H10" s="93">
        <f>'Non-Ag Employment'!CG9</f>
        <v>222.6</v>
      </c>
      <c r="I10" s="93">
        <f>'Non-Ag Employment'!CU9</f>
        <v>199</v>
      </c>
      <c r="J10" s="93">
        <f>'Non-Ag Employment'!DI9</f>
        <v>197.5</v>
      </c>
      <c r="K10" s="93">
        <f>'Non-Ag Employment'!DW9</f>
        <v>208</v>
      </c>
      <c r="L10" s="132"/>
      <c r="M10" s="133">
        <f>(('Non-Ag Employment'!O9-'Non-Ag Employment'!J9)/'Non-Ag Employment'!J9)*100</f>
        <v>7.7307940606843077</v>
      </c>
      <c r="N10" s="133">
        <f>(('Non-Ag Employment'!AC9-'Non-Ag Employment'!X9)/'Non-Ag Employment'!X9)*100</f>
        <v>9.790209790209806</v>
      </c>
      <c r="O10" s="133">
        <f>(('Non-Ag Employment'!AQ9-'Non-Ag Employment'!AL9)/'Non-Ag Employment'!AL9)*100</f>
        <v>3.3099936346276366</v>
      </c>
      <c r="P10" s="133">
        <f>(('Non-Ag Employment'!BE9-'Non-Ag Employment'!AZ9)/'Non-Ag Employment'!AZ9)*100</f>
        <v>7.7782209812524927</v>
      </c>
      <c r="Q10" s="133">
        <f>(('Non-Ag Employment'!BS9-'Non-Ag Employment'!BN9)/'Non-Ag Employment'!BN9)*100</f>
        <v>-3.7878787878787881</v>
      </c>
      <c r="R10" s="133">
        <f>(('Non-Ag Employment'!CG9-'Non-Ag Employment'!CB9)/'Non-Ag Employment'!CB9)*100</f>
        <v>12.880324543610552</v>
      </c>
      <c r="S10" s="133">
        <f>(('Non-Ag Employment'!CU9-'Non-Ag Employment'!CP9)/'Non-Ag Employment'!C9)*100</f>
        <v>1.006018916595012</v>
      </c>
      <c r="T10" s="133">
        <f>(('Non-Ag Employment'!DI9-'Non-Ag Employment'!DD9)/'Non-Ag Employment'!DD9)*100</f>
        <v>19.479733817301867</v>
      </c>
      <c r="U10" s="133">
        <f>(('Non-Ag Employment'!DW9-'Non-Ag Employment'!DR9)/'Non-Ag Employment'!DR9)*100</f>
        <v>-1.5617605300520638</v>
      </c>
      <c r="V10" s="134" t="s">
        <v>18</v>
      </c>
    </row>
    <row r="11" spans="1:22" s="123" customFormat="1">
      <c r="A11" s="93" t="s">
        <v>19</v>
      </c>
      <c r="B11" s="93"/>
      <c r="C11" s="93">
        <f>'Non-Ag Employment'!O10</f>
        <v>472.1</v>
      </c>
      <c r="D11" s="93">
        <f>'Non-Ag Employment'!AC10</f>
        <v>23.6</v>
      </c>
      <c r="E11" s="93">
        <f>'Non-Ag Employment'!AQ10</f>
        <v>26.1</v>
      </c>
      <c r="F11" s="93">
        <f>'Non-Ag Employment'!BE10</f>
        <v>89.5</v>
      </c>
      <c r="G11" s="93">
        <f>'Non-Ag Employment'!BS10</f>
        <v>3.8</v>
      </c>
      <c r="H11" s="93">
        <f>'Non-Ag Employment'!CG10</f>
        <v>114.8</v>
      </c>
      <c r="I11" s="93">
        <f>'Non-Ag Employment'!CU10</f>
        <v>79.2</v>
      </c>
      <c r="J11" s="93">
        <f>'Non-Ag Employment'!DI10</f>
        <v>68.099999999999994</v>
      </c>
      <c r="K11" s="93">
        <f>'Non-Ag Employment'!DW10</f>
        <v>67.2</v>
      </c>
      <c r="L11" s="132"/>
      <c r="M11" s="133">
        <f>(('Non-Ag Employment'!O10-'Non-Ag Employment'!J10)/'Non-Ag Employment'!J10)*100</f>
        <v>3.5761298815269877</v>
      </c>
      <c r="N11" s="133">
        <f>(('Non-Ag Employment'!AC10-'Non-Ag Employment'!X10)/'Non-Ag Employment'!X10)*100</f>
        <v>7.7625570776255843</v>
      </c>
      <c r="O11" s="133">
        <f>(('Non-Ag Employment'!AQ10-'Non-Ag Employment'!AL10)/'Non-Ag Employment'!AL10)*100</f>
        <v>0.7722007722007832</v>
      </c>
      <c r="P11" s="133">
        <f>(('Non-Ag Employment'!BE10-'Non-Ag Employment'!AZ10)/'Non-Ag Employment'!AZ10)*100</f>
        <v>10.630407911001228</v>
      </c>
      <c r="Q11" s="133">
        <f>(('Non-Ag Employment'!BS10-'Non-Ag Employment'!BN10)/'Non-Ag Employment'!BN10)*100</f>
        <v>-17.391304347826082</v>
      </c>
      <c r="R11" s="133">
        <f>(('Non-Ag Employment'!CG10-'Non-Ag Employment'!CB10)/'Non-Ag Employment'!CB10)*100</f>
        <v>4.3636363636363615</v>
      </c>
      <c r="S11" s="133">
        <f>(('Non-Ag Employment'!CU10-'Non-Ag Employment'!CP10)/'Non-Ag Employment'!C10)*100</f>
        <v>0.2658289028516212</v>
      </c>
      <c r="T11" s="133">
        <f>(('Non-Ag Employment'!DI10-'Non-Ag Employment'!DD10)/'Non-Ag Employment'!DD10)*100</f>
        <v>-0.14662756598241719</v>
      </c>
      <c r="U11" s="133">
        <f>(('Non-Ag Employment'!DW10-'Non-Ag Employment'!DR10)/'Non-Ag Employment'!DR10)*100</f>
        <v>1.5105740181268881</v>
      </c>
      <c r="V11" s="134" t="s">
        <v>19</v>
      </c>
    </row>
    <row r="12" spans="1:22" s="123" customFormat="1">
      <c r="A12" s="93" t="s">
        <v>20</v>
      </c>
      <c r="B12" s="93"/>
      <c r="C12" s="93">
        <f>'Non-Ag Employment'!O11</f>
        <v>9423.2000000000007</v>
      </c>
      <c r="D12" s="93">
        <f>'Non-Ag Employment'!AC11</f>
        <v>606.4</v>
      </c>
      <c r="E12" s="93">
        <f>'Non-Ag Employment'!AQ11</f>
        <v>410.5</v>
      </c>
      <c r="F12" s="93">
        <f>'Non-Ag Employment'!BE11</f>
        <v>1927.5</v>
      </c>
      <c r="G12" s="93">
        <f>'Non-Ag Employment'!BS11</f>
        <v>155.5</v>
      </c>
      <c r="H12" s="93">
        <f>'Non-Ag Employment'!CG11</f>
        <v>2247.6</v>
      </c>
      <c r="I12" s="93">
        <f>'Non-Ag Employment'!CU11</f>
        <v>1395.5</v>
      </c>
      <c r="J12" s="93">
        <f>'Non-Ag Employment'!DI11</f>
        <v>1588.5</v>
      </c>
      <c r="K12" s="93">
        <f>'Non-Ag Employment'!DW11</f>
        <v>1091.7</v>
      </c>
      <c r="L12" s="132"/>
      <c r="M12" s="133">
        <f>(('Non-Ag Employment'!O11-'Non-Ag Employment'!J11)/'Non-Ag Employment'!J11)*100</f>
        <v>9.9967315683802767</v>
      </c>
      <c r="N12" s="133">
        <f>(('Non-Ag Employment'!AC11-'Non-Ag Employment'!X11)/'Non-Ag Employment'!X11)*100</f>
        <v>18.85535084280674</v>
      </c>
      <c r="O12" s="133">
        <f>(('Non-Ag Employment'!AQ11-'Non-Ag Employment'!AL11)/'Non-Ag Employment'!AL11)*100</f>
        <v>12.898789878987893</v>
      </c>
      <c r="P12" s="133">
        <f>(('Non-Ag Employment'!BE11-'Non-Ag Employment'!AZ11)/'Non-Ag Employment'!AZ11)*100</f>
        <v>10.604234808056463</v>
      </c>
      <c r="Q12" s="133">
        <f>(('Non-Ag Employment'!BS11-'Non-Ag Employment'!BN11)/'Non-Ag Employment'!BN11)*100</f>
        <v>12.59956553222303</v>
      </c>
      <c r="R12" s="133">
        <f>(('Non-Ag Employment'!CG11-'Non-Ag Employment'!CB11)/'Non-Ag Employment'!CB11)*100</f>
        <v>19.312028877800174</v>
      </c>
      <c r="S12" s="133">
        <f>(('Non-Ag Employment'!CU11-'Non-Ag Employment'!CP11)/'Non-Ag Employment'!C11)*100</f>
        <v>1.7119993308145933</v>
      </c>
      <c r="T12" s="133">
        <f>(('Non-Ag Employment'!DI11-'Non-Ag Employment'!DD11)/'Non-Ag Employment'!DD11)*100</f>
        <v>2.5367931835786184</v>
      </c>
      <c r="U12" s="133">
        <f>(('Non-Ag Employment'!DW11-'Non-Ag Employment'!DR11)/'Non-Ag Employment'!DR11)*100</f>
        <v>-1.346466654617736</v>
      </c>
      <c r="V12" s="134" t="s">
        <v>20</v>
      </c>
    </row>
    <row r="13" spans="1:22">
      <c r="A13" s="22" t="s">
        <v>21</v>
      </c>
      <c r="B13" s="22"/>
      <c r="C13" s="22">
        <f>'Non-Ag Employment'!O12</f>
        <v>4797.7</v>
      </c>
      <c r="D13" s="22">
        <f>'Non-Ag Employment'!AC12</f>
        <v>223.6</v>
      </c>
      <c r="E13" s="22">
        <f>'Non-Ag Employment'!AQ12</f>
        <v>415.1</v>
      </c>
      <c r="F13" s="22">
        <f>'Non-Ag Employment'!BE12</f>
        <v>1026</v>
      </c>
      <c r="G13" s="22">
        <f>'Non-Ag Employment'!BH1</f>
        <v>127.9</v>
      </c>
      <c r="H13" s="22">
        <f>'Non-Ag Employment'!CG12</f>
        <v>1049.7</v>
      </c>
      <c r="I13" s="22">
        <f>'Non-Ag Employment'!CU12</f>
        <v>628.5</v>
      </c>
      <c r="J13" s="22">
        <f>'Non-Ag Employment'!DI12</f>
        <v>649.5</v>
      </c>
      <c r="K13" s="22">
        <f>'Non-Ag Employment'!DW12</f>
        <v>677.5</v>
      </c>
      <c r="L13" s="130"/>
      <c r="M13" s="87">
        <f>(('Non-Ag Employment'!O12-'Non-Ag Employment'!J12)/'Non-Ag Employment'!J12)*100</f>
        <v>7.7626288717683662</v>
      </c>
      <c r="N13" s="30">
        <f>(('Non-Ag Employment'!AC12-'Non-Ag Employment'!X12)/'Non-Ag Employment'!X12)*100</f>
        <v>15.615305067218193</v>
      </c>
      <c r="O13" s="87">
        <f>(('Non-Ag Employment'!AQ12-'Non-Ag Employment'!AL12)/'Non-Ag Employment'!AL12)*100</f>
        <v>4.4276729559748489</v>
      </c>
      <c r="P13" s="87">
        <f>(('Non-Ag Employment'!BE12-'Non-Ag Employment'!AZ12)/'Non-Ag Employment'!AZ12)*100</f>
        <v>9.1837820581036436</v>
      </c>
      <c r="Q13" s="30">
        <f>(('Non-Ag Employment'!BH1-'Non-Ag Employment'!BN12)/'Non-Ag Employment'!BN12)*100</f>
        <v>10.068846815834769</v>
      </c>
      <c r="R13" s="30">
        <f>(('Non-Ag Employment'!CG12-'Non-Ag Employment'!CB12)/'Non-Ag Employment'!CB12)*100</f>
        <v>15.275642433560291</v>
      </c>
      <c r="S13" s="30">
        <f>(('Non-Ag Employment'!CU12-'Non-Ag Employment'!CP12)/'Non-Ag Employment'!C12)*100</f>
        <v>1.5102061962490922</v>
      </c>
      <c r="T13" s="87">
        <f>(('Non-Ag Employment'!DI12-'Non-Ag Employment'!DD12)/'Non-Ag Employment'!DD12)*100</f>
        <v>1.9463192591429881</v>
      </c>
      <c r="U13" s="87">
        <f>(('Non-Ag Employment'!DW12-'Non-Ag Employment'!DR12)/'Non-Ag Employment'!DR12)*100</f>
        <v>-1.4258693438091017</v>
      </c>
      <c r="V13" s="23" t="s">
        <v>21</v>
      </c>
    </row>
    <row r="14" spans="1:22">
      <c r="A14" s="22" t="s">
        <v>22</v>
      </c>
      <c r="B14" s="22"/>
      <c r="C14" s="22">
        <f>'Non-Ag Employment'!O13</f>
        <v>1961.4</v>
      </c>
      <c r="D14" s="22">
        <f>'Non-Ag Employment'!AC13</f>
        <v>90.8</v>
      </c>
      <c r="E14" s="22">
        <f>'Non-Ag Employment'!AQ13</f>
        <v>252.5</v>
      </c>
      <c r="F14" s="22">
        <f>'Non-Ag Employment'!BE13</f>
        <v>424.6</v>
      </c>
      <c r="G14" s="22">
        <f>'Non-Ag Employment'!BS13</f>
        <v>21.5</v>
      </c>
      <c r="H14" s="22">
        <f>'Non-Ag Employment'!CG13</f>
        <v>324.3</v>
      </c>
      <c r="I14" s="22">
        <f>'Non-Ag Employment'!CU13</f>
        <v>287.8</v>
      </c>
      <c r="J14" s="22">
        <f>'Non-Ag Employment'!DI13</f>
        <v>261.2</v>
      </c>
      <c r="K14" s="22">
        <f>'Non-Ag Employment'!DW13</f>
        <v>298.89999999999998</v>
      </c>
      <c r="L14" s="130"/>
      <c r="M14" s="87">
        <f>(('Non-Ag Employment'!O13-'Non-Ag Employment'!J13)/'Non-Ag Employment'!J13)*100</f>
        <v>2.1349718808581546</v>
      </c>
      <c r="N14" s="30">
        <f>(('Non-Ag Employment'!AC13-'Non-Ag Employment'!X13)/'Non-Ag Employment'!X13)*100</f>
        <v>3.8901601830663686</v>
      </c>
      <c r="O14" s="87">
        <f>(('Non-Ag Employment'!AQ13-'Non-Ag Employment'!AL13)/'Non-Ag Employment'!AL13)*100</f>
        <v>0.95961615353858687</v>
      </c>
      <c r="P14" s="87">
        <f>(('Non-Ag Employment'!BE13-'Non-Ag Employment'!AZ13)/'Non-Ag Employment'!AZ13)*100</f>
        <v>5.7007717201892047</v>
      </c>
      <c r="Q14" s="30">
        <f>(('Non-Ag Employment'!BS13-'Non-Ag Employment'!BN13)/'Non-Ag Employment'!BN13)*100</f>
        <v>-5.2863436123347993</v>
      </c>
      <c r="R14" s="30">
        <f>(('Non-Ag Employment'!CG13-'Non-Ag Employment'!CB13)/'Non-Ag Employment'!CB13)*100</f>
        <v>5.4291287386215821</v>
      </c>
      <c r="S14" s="30">
        <f>(('Non-Ag Employment'!CU13-'Non-Ag Employment'!CP13)/'Non-Ag Employment'!C13)*100</f>
        <v>0.89245111414279155</v>
      </c>
      <c r="T14" s="87">
        <f>(('Non-Ag Employment'!DI13-'Non-Ag Employment'!DD13)/'Non-Ag Employment'!DD13)*100</f>
        <v>-0.68441064638783711</v>
      </c>
      <c r="U14" s="87">
        <f>(('Non-Ag Employment'!DW13-'Non-Ag Employment'!DR13)/'Non-Ag Employment'!DR13)*100</f>
        <v>-5.3514882837238869</v>
      </c>
      <c r="V14" s="23" t="s">
        <v>22</v>
      </c>
    </row>
    <row r="15" spans="1:22">
      <c r="A15" s="22" t="s">
        <v>23</v>
      </c>
      <c r="B15" s="22"/>
      <c r="C15" s="22">
        <f>'Non-Ag Employment'!O14</f>
        <v>1920.2</v>
      </c>
      <c r="D15" s="22">
        <f>'Non-Ag Employment'!AC14</f>
        <v>160.1</v>
      </c>
      <c r="E15" s="22">
        <f>'Non-Ag Employment'!AQ14</f>
        <v>134.1</v>
      </c>
      <c r="F15" s="22">
        <f>'Non-Ag Employment'!BE14</f>
        <v>373.8</v>
      </c>
      <c r="G15" s="22">
        <f>'Non-Ag Employment'!BS14</f>
        <v>23.2</v>
      </c>
      <c r="H15" s="22">
        <f>'Non-Ag Employment'!CG14</f>
        <v>310.2</v>
      </c>
      <c r="I15" s="22">
        <f>'Non-Ag Employment'!CU14</f>
        <v>324.39999999999998</v>
      </c>
      <c r="J15" s="22">
        <f>'Non-Ag Employment'!DI14</f>
        <v>283.60000000000002</v>
      </c>
      <c r="K15" s="22">
        <f>'Non-Ag Employment'!DW14</f>
        <v>311</v>
      </c>
      <c r="L15" s="130"/>
      <c r="M15" s="87">
        <f>(('Non-Ag Employment'!O14-'Non-Ag Employment'!J14)/'Non-Ag Employment'!J14)*100</f>
        <v>-2.5773718924403832</v>
      </c>
      <c r="N15" s="30">
        <f>(('Non-Ag Employment'!AC14-'Non-Ag Employment'!X14)/'Non-Ag Employment'!X14)*100</f>
        <v>-11.64459161147904</v>
      </c>
      <c r="O15" s="87">
        <f>(('Non-Ag Employment'!AQ14-'Non-Ag Employment'!AL14)/'Non-Ag Employment'!AL14)*100</f>
        <v>-0.22321428571429416</v>
      </c>
      <c r="P15" s="87">
        <f>(('Non-Ag Employment'!BE14-'Non-Ag Employment'!AZ14)/'Non-Ag Employment'!AZ14)*100</f>
        <v>-1.9412381951731315</v>
      </c>
      <c r="Q15" s="30">
        <f>(('Non-Ag Employment'!BS14-'Non-Ag Employment'!BN14)/'Non-Ag Employment'!BN14)*100</f>
        <v>1.310043668122274</v>
      </c>
      <c r="R15" s="30">
        <f>(('Non-Ag Employment'!CG14-'Non-Ag Employment'!CB14)/'Non-Ag Employment'!CB14)*100</f>
        <v>2.4438573315719871</v>
      </c>
      <c r="S15" s="30">
        <f>(('Non-Ag Employment'!CU14-'Non-Ag Employment'!CP14)/'Non-Ag Employment'!C14)*100</f>
        <v>0.5356385235468798</v>
      </c>
      <c r="T15" s="87">
        <f>(('Non-Ag Employment'!DI14-'Non-Ag Employment'!DD14)/'Non-Ag Employment'!DD14)*100</f>
        <v>-7.6822916666666723</v>
      </c>
      <c r="U15" s="87">
        <f>(('Non-Ag Employment'!DW14-'Non-Ag Employment'!DR14)/'Non-Ag Employment'!DR14)*100</f>
        <v>-4.9511002444987735</v>
      </c>
      <c r="V15" s="23" t="s">
        <v>23</v>
      </c>
    </row>
    <row r="16" spans="1:22">
      <c r="A16" s="22" t="s">
        <v>24</v>
      </c>
      <c r="B16" s="22"/>
      <c r="C16" s="22">
        <f>'Non-Ag Employment'!O15</f>
        <v>2708.8</v>
      </c>
      <c r="D16" s="22">
        <f>'Non-Ag Employment'!AC15</f>
        <v>162.20000000000002</v>
      </c>
      <c r="E16" s="22">
        <f>'Non-Ag Employment'!AQ15</f>
        <v>110</v>
      </c>
      <c r="F16" s="22">
        <f>'Non-Ag Employment'!BE15</f>
        <v>476.3</v>
      </c>
      <c r="G16" s="22">
        <f>'Non-Ag Employment'!BS15</f>
        <v>35.4</v>
      </c>
      <c r="H16" s="22">
        <f>'Non-Ag Employment'!CG15</f>
        <v>610.20000000000005</v>
      </c>
      <c r="I16" s="22">
        <f>'Non-Ag Employment'!CU15</f>
        <v>446.4</v>
      </c>
      <c r="J16" s="22">
        <f>'Non-Ag Employment'!DI15</f>
        <v>355.7</v>
      </c>
      <c r="K16" s="22">
        <f>'Non-Ag Employment'!DW15</f>
        <v>512.70000000000005</v>
      </c>
      <c r="L16" s="130"/>
      <c r="M16" s="87">
        <f>(('Non-Ag Employment'!O15-'Non-Ag Employment'!J15)/'Non-Ag Employment'!J15)*100</f>
        <v>-0.45568131706598697</v>
      </c>
      <c r="N16" s="30">
        <f>(('Non-Ag Employment'!AC15-'Non-Ag Employment'!X15)/'Non-Ag Employment'!X15)*100</f>
        <v>-0.61274509803921562</v>
      </c>
      <c r="O16" s="87">
        <f>(('Non-Ag Employment'!AQ15-'Non-Ag Employment'!AL15)/'Non-Ag Employment'!AL15)*100</f>
        <v>3.0927835051546366</v>
      </c>
      <c r="P16" s="87">
        <f>(('Non-Ag Employment'!BE15-'Non-Ag Employment'!AZ15)/'Non-Ag Employment'!AZ15)*100</f>
        <v>2.0788684097728223</v>
      </c>
      <c r="Q16" s="30">
        <f>(('Non-Ag Employment'!BS15-'Non-Ag Employment'!BN15)/'Non-Ag Employment'!BN15)*100</f>
        <v>-5.0938337801608542</v>
      </c>
      <c r="R16" s="30">
        <f>(('Non-Ag Employment'!CG15-'Non-Ag Employment'!CB15)/'Non-Ag Employment'!CB15)*100</f>
        <v>3.4763439036798371</v>
      </c>
      <c r="S16" s="30">
        <f>(('Non-Ag Employment'!CU15-'Non-Ag Employment'!CP15)/'Non-Ag Employment'!C15)*100</f>
        <v>-0.59601859578018834</v>
      </c>
      <c r="T16" s="87">
        <f>(('Non-Ag Employment'!DI15-'Non-Ag Employment'!DD15)/'Non-Ag Employment'!DD15)*100</f>
        <v>-9.2602040816326561</v>
      </c>
      <c r="U16" s="87">
        <f>(('Non-Ag Employment'!DW15-'Non-Ag Employment'!DR15)/'Non-Ag Employment'!DR15)*100</f>
        <v>1.7060107121602899</v>
      </c>
      <c r="V16" s="23" t="s">
        <v>24</v>
      </c>
    </row>
    <row r="17" spans="1:22" s="123" customFormat="1">
      <c r="A17" s="93" t="s">
        <v>25</v>
      </c>
      <c r="B17" s="93"/>
      <c r="C17" s="93">
        <f>'Non-Ag Employment'!O16</f>
        <v>1164.8</v>
      </c>
      <c r="D17" s="93">
        <f>'Non-Ag Employment'!AC16</f>
        <v>52.2</v>
      </c>
      <c r="E17" s="93">
        <f>'Non-Ag Employment'!AQ16</f>
        <v>147.9</v>
      </c>
      <c r="F17" s="93">
        <f>'Non-Ag Employment'!BE16</f>
        <v>243.5</v>
      </c>
      <c r="G17" s="93">
        <f>'Non-Ag Employment'!BS16</f>
        <v>10.199999999999999</v>
      </c>
      <c r="H17" s="93">
        <f>'Non-Ag Employment'!CG16</f>
        <v>162</v>
      </c>
      <c r="I17" s="93">
        <f>'Non-Ag Employment'!CU16</f>
        <v>144.4</v>
      </c>
      <c r="J17" s="93">
        <f>'Non-Ag Employment'!DI16</f>
        <v>245.9</v>
      </c>
      <c r="K17" s="93">
        <f>'Non-Ag Employment'!DW16</f>
        <v>232.8</v>
      </c>
      <c r="L17" s="132"/>
      <c r="M17" s="133">
        <f>(('Non-Ag Employment'!O16-'Non-Ag Employment'!J16)/'Non-Ag Employment'!J16)*100</f>
        <v>1.1111111111111072</v>
      </c>
      <c r="N17" s="133">
        <f>(('Non-Ag Employment'!AC16-'Non-Ag Employment'!X16)/'Non-Ag Employment'!X16)*100</f>
        <v>3.984063745019935</v>
      </c>
      <c r="O17" s="133">
        <f>(('Non-Ag Employment'!AQ16-'Non-Ag Employment'!AL16)/'Non-Ag Employment'!AL16)*100</f>
        <v>2.708333333333337</v>
      </c>
      <c r="P17" s="133">
        <f>(('Non-Ag Employment'!BE16-'Non-Ag Employment'!AZ16)/'Non-Ag Employment'!AZ16)*100</f>
        <v>5.1381692573402447</v>
      </c>
      <c r="Q17" s="133">
        <f>(('Non-Ag Employment'!BS16-'Non-Ag Employment'!BN16)/'Non-Ag Employment'!BN16)*100</f>
        <v>-12.068965517241383</v>
      </c>
      <c r="R17" s="133">
        <f>(('Non-Ag Employment'!CG16-'Non-Ag Employment'!CB16)/'Non-Ag Employment'!CB16)*100</f>
        <v>6.2295081967213122</v>
      </c>
      <c r="S17" s="133">
        <f>(('Non-Ag Employment'!CU16-'Non-Ag Employment'!CP16)/'Non-Ag Employment'!C16)*100</f>
        <v>2.7459954233410654E-2</v>
      </c>
      <c r="T17" s="133">
        <f>(('Non-Ag Employment'!DI16-'Non-Ag Employment'!DD16)/'Non-Ag Employment'!DD16)*100</f>
        <v>40.193842645382006</v>
      </c>
      <c r="U17" s="133">
        <f>(('Non-Ag Employment'!DW16-'Non-Ag Employment'!DR16)/'Non-Ag Employment'!DR16)*100</f>
        <v>-4.0395713107996629</v>
      </c>
      <c r="V17" s="134" t="s">
        <v>25</v>
      </c>
    </row>
    <row r="18" spans="1:22" s="123" customFormat="1">
      <c r="A18" s="93" t="s">
        <v>26</v>
      </c>
      <c r="B18" s="93"/>
      <c r="C18" s="93">
        <f>'Non-Ag Employment'!O17</f>
        <v>4797.2</v>
      </c>
      <c r="D18" s="93">
        <f>'Non-Ag Employment'!AC17</f>
        <v>253.1</v>
      </c>
      <c r="E18" s="93">
        <f>'Non-Ag Employment'!AQ17</f>
        <v>473.9</v>
      </c>
      <c r="F18" s="93">
        <f>'Non-Ag Employment'!BE17</f>
        <v>920</v>
      </c>
      <c r="G18" s="93">
        <f>'Non-Ag Employment'!BS17</f>
        <v>81.8</v>
      </c>
      <c r="H18" s="93">
        <f>'Non-Ag Employment'!CG17</f>
        <v>1027.6999999999998</v>
      </c>
      <c r="I18" s="93">
        <f>'Non-Ag Employment'!CU17</f>
        <v>652.79999999999995</v>
      </c>
      <c r="J18" s="93">
        <f>'Non-Ag Employment'!DI17</f>
        <v>670.3</v>
      </c>
      <c r="K18" s="93">
        <f>'Non-Ag Employment'!DW17</f>
        <v>717.7</v>
      </c>
      <c r="L18" s="132"/>
      <c r="M18" s="133">
        <f>(('Non-Ag Employment'!O17-'Non-Ag Employment'!J17)/'Non-Ag Employment'!J17)*100</f>
        <v>8.6593127817164639</v>
      </c>
      <c r="N18" s="133">
        <f>(('Non-Ag Employment'!AC17-'Non-Ag Employment'!X17)/'Non-Ag Employment'!X17)*100</f>
        <v>18.105459636024271</v>
      </c>
      <c r="O18" s="133">
        <f>(('Non-Ag Employment'!AQ17-'Non-Ag Employment'!AL17)/'Non-Ag Employment'!AL17)*100</f>
        <v>1.3906718014548567</v>
      </c>
      <c r="P18" s="133">
        <f>(('Non-Ag Employment'!BE17-'Non-Ag Employment'!AZ17)/'Non-Ag Employment'!AZ17)*100</f>
        <v>11.232015475758672</v>
      </c>
      <c r="Q18" s="133">
        <f>(('Non-Ag Employment'!BS17-'Non-Ag Employment'!BN17)/'Non-Ag Employment'!BN17)*100</f>
        <v>3.413400758533506</v>
      </c>
      <c r="R18" s="133">
        <f>(('Non-Ag Employment'!CG17-'Non-Ag Employment'!CB17)/'Non-Ag Employment'!CB17)*100</f>
        <v>20.849012229539021</v>
      </c>
      <c r="S18" s="133">
        <f>(('Non-Ag Employment'!CU17-'Non-Ag Employment'!CP17)/'Non-Ag Employment'!C17)*100</f>
        <v>1.3903245813520766</v>
      </c>
      <c r="T18" s="133">
        <f>(('Non-Ag Employment'!DI17-'Non-Ag Employment'!DD17)/'Non-Ag Employment'!DD17)*100</f>
        <v>3.97083914999223</v>
      </c>
      <c r="U18" s="133">
        <f>(('Non-Ag Employment'!DW17-'Non-Ag Employment'!DR17)/'Non-Ag Employment'!DR17)*100</f>
        <v>-2.0873124147339639</v>
      </c>
      <c r="V18" s="134" t="s">
        <v>26</v>
      </c>
    </row>
    <row r="19" spans="1:22" s="123" customFormat="1">
      <c r="A19" s="93" t="s">
        <v>27</v>
      </c>
      <c r="B19" s="93"/>
      <c r="C19" s="93">
        <f>'Non-Ag Employment'!O18</f>
        <v>1697.8</v>
      </c>
      <c r="D19" s="93">
        <f>'Non-Ag Employment'!AC18</f>
        <v>110</v>
      </c>
      <c r="E19" s="93">
        <f>'Non-Ag Employment'!AQ18</f>
        <v>133.19999999999999</v>
      </c>
      <c r="F19" s="93">
        <f>'Non-Ag Employment'!BE18</f>
        <v>321.3</v>
      </c>
      <c r="G19" s="93">
        <f>'Non-Ag Employment'!BS18</f>
        <v>17.8</v>
      </c>
      <c r="H19" s="93">
        <f>'Non-Ag Employment'!CG18</f>
        <v>283.7</v>
      </c>
      <c r="I19" s="93">
        <f>'Non-Ag Employment'!CU18</f>
        <v>242.3</v>
      </c>
      <c r="J19" s="93">
        <f>'Non-Ag Employment'!DI18</f>
        <v>240.60000000000002</v>
      </c>
      <c r="K19" s="93">
        <f>'Non-Ag Employment'!DW18</f>
        <v>348.9</v>
      </c>
      <c r="L19" s="132"/>
      <c r="M19" s="133">
        <f>(('Non-Ag Employment'!O18-'Non-Ag Employment'!J18)/'Non-Ag Employment'!J18)*100</f>
        <v>2.1540312876052918</v>
      </c>
      <c r="N19" s="133">
        <f>(('Non-Ag Employment'!AC18-'Non-Ag Employment'!X18)/'Non-Ag Employment'!X18)*100</f>
        <v>-12.140575079872207</v>
      </c>
      <c r="O19" s="133">
        <f>(('Non-Ag Employment'!AQ18-'Non-Ag Employment'!AL18)/'Non-Ag Employment'!AL18)*100</f>
        <v>3.9001560062402496</v>
      </c>
      <c r="P19" s="133">
        <f>(('Non-Ag Employment'!BE18-'Non-Ag Employment'!AZ18)/'Non-Ag Employment'!AZ18)*100</f>
        <v>5.9696569920844409</v>
      </c>
      <c r="Q19" s="133">
        <f>(('Non-Ag Employment'!BS18-'Non-Ag Employment'!BN18)/'Non-Ag Employment'!BN18)*100</f>
        <v>-13.170731707317071</v>
      </c>
      <c r="R19" s="133">
        <f>(('Non-Ag Employment'!CG18-'Non-Ag Employment'!CB18)/'Non-Ag Employment'!CB18)*100</f>
        <v>7.2589792060491449</v>
      </c>
      <c r="S19" s="133">
        <f>(('Non-Ag Employment'!CU18-'Non-Ag Employment'!CP18)/'Non-Ag Employment'!C18)*100</f>
        <v>0.48843187660668524</v>
      </c>
      <c r="T19" s="133">
        <f>(('Non-Ag Employment'!DI18-'Non-Ag Employment'!DD18)/'Non-Ag Employment'!DD18)*100</f>
        <v>1.9923696481560054</v>
      </c>
      <c r="U19" s="133">
        <f>(('Non-Ag Employment'!DW18-'Non-Ag Employment'!DR18)/'Non-Ag Employment'!DR18)*100</f>
        <v>-0.34275921165382617</v>
      </c>
      <c r="V19" s="134" t="s">
        <v>27</v>
      </c>
    </row>
    <row r="20" spans="1:22" s="123" customFormat="1">
      <c r="A20" s="93" t="s">
        <v>28</v>
      </c>
      <c r="B20" s="93"/>
      <c r="C20" s="93">
        <f>'Non-Ag Employment'!O19</f>
        <v>2243.5</v>
      </c>
      <c r="D20" s="93">
        <f>'Non-Ag Employment'!AC19</f>
        <v>113.10000000000001</v>
      </c>
      <c r="E20" s="93">
        <f>'Non-Ag Employment'!AQ19</f>
        <v>261.3</v>
      </c>
      <c r="F20" s="93">
        <f>'Non-Ag Employment'!BE19</f>
        <v>433.6</v>
      </c>
      <c r="G20" s="93">
        <f>'Non-Ag Employment'!BS19</f>
        <v>30.3</v>
      </c>
      <c r="H20" s="93">
        <f>'Non-Ag Employment'!CG19</f>
        <v>425.7</v>
      </c>
      <c r="I20" s="93">
        <f>'Non-Ag Employment'!CU19</f>
        <v>266</v>
      </c>
      <c r="J20" s="93">
        <f>'Non-Ag Employment'!DI19</f>
        <v>346.29999999999995</v>
      </c>
      <c r="K20" s="93">
        <f>'Non-Ag Employment'!DW19</f>
        <v>367.1</v>
      </c>
      <c r="L20" s="132"/>
      <c r="M20" s="133">
        <f>(('Non-Ag Employment'!O19-'Non-Ag Employment'!J19)/'Non-Ag Employment'!J19)*100</f>
        <v>7.2931611669057874</v>
      </c>
      <c r="N20" s="133">
        <f>(('Non-Ag Employment'!AC19-'Non-Ag Employment'!X19)/'Non-Ag Employment'!X19)*100</f>
        <v>7.6117982873453993</v>
      </c>
      <c r="O20" s="133">
        <f>(('Non-Ag Employment'!AQ19-'Non-Ag Employment'!AL19)/'Non-Ag Employment'!AL19)*100</f>
        <v>8.6034912718204559</v>
      </c>
      <c r="P20" s="133">
        <f>(('Non-Ag Employment'!BE19-'Non-Ag Employment'!AZ19)/'Non-Ag Employment'!AZ19)*100</f>
        <v>9.1916393855452032</v>
      </c>
      <c r="Q20" s="133">
        <f>(('Non-Ag Employment'!BS19-'Non-Ag Employment'!BN19)/'Non-Ag Employment'!BN19)*100</f>
        <v>9.7826086956521703</v>
      </c>
      <c r="R20" s="133">
        <f>(('Non-Ag Employment'!CG19-'Non-Ag Employment'!CB19)/'Non-Ag Employment'!CB19)*100</f>
        <v>12.410879324003151</v>
      </c>
      <c r="S20" s="133">
        <f>(('Non-Ag Employment'!CU19-'Non-Ag Employment'!CP19)/'Non-Ag Employment'!C19)*100</f>
        <v>1.0875565860660255</v>
      </c>
      <c r="T20" s="133">
        <f>(('Non-Ag Employment'!DI19-'Non-Ag Employment'!DD19)/'Non-Ag Employment'!DD19)*100</f>
        <v>5.0667475728155127</v>
      </c>
      <c r="U20" s="133">
        <f>(('Non-Ag Employment'!DW19-'Non-Ag Employment'!DR19)/'Non-Ag Employment'!DR19)*100</f>
        <v>0.30054644808743791</v>
      </c>
      <c r="V20" s="134" t="s">
        <v>28</v>
      </c>
    </row>
    <row r="21" spans="1:22">
      <c r="A21" s="22" t="s">
        <v>29</v>
      </c>
      <c r="B21" s="22"/>
      <c r="C21" s="22">
        <f>'Non-Ag Employment'!O20</f>
        <v>3244.8</v>
      </c>
      <c r="D21" s="22">
        <f>'Non-Ag Employment'!AC20</f>
        <v>151.5</v>
      </c>
      <c r="E21" s="22">
        <f>'Non-Ag Employment'!AQ20</f>
        <v>364.9</v>
      </c>
      <c r="F21" s="22">
        <f>'Non-Ag Employment'!BE20</f>
        <v>676.6</v>
      </c>
      <c r="G21" s="22">
        <f>'Non-Ag Employment'!BS20</f>
        <v>54.5</v>
      </c>
      <c r="H21" s="22">
        <f>'Non-Ag Employment'!CG20</f>
        <v>639.29999999999995</v>
      </c>
      <c r="I21" s="22">
        <f>'Non-Ag Employment'!CU20</f>
        <v>450.8</v>
      </c>
      <c r="J21" s="22">
        <f>'Non-Ag Employment'!DI20</f>
        <v>469.8</v>
      </c>
      <c r="K21" s="22">
        <f>'Non-Ag Employment'!DW20</f>
        <v>436.9</v>
      </c>
      <c r="L21" s="130"/>
      <c r="M21" s="87">
        <f>(('Non-Ag Employment'!O20-'Non-Ag Employment'!J20)/'Non-Ag Employment'!J20)*100</f>
        <v>7.8006644518272479</v>
      </c>
      <c r="N21" s="30">
        <f>(('Non-Ag Employment'!AC20-'Non-Ag Employment'!X20)/'Non-Ag Employment'!X20)*100</f>
        <v>22.177419354838708</v>
      </c>
      <c r="O21" s="87">
        <f>(('Non-Ag Employment'!AQ20-'Non-Ag Employment'!AL20)/'Non-Ag Employment'!AL20)*100</f>
        <v>4.615825688073385</v>
      </c>
      <c r="P21" s="87">
        <f>(('Non-Ag Employment'!BE20-'Non-Ag Employment'!AZ20)/'Non-Ag Employment'!AZ20)*100</f>
        <v>8.9533011272141749</v>
      </c>
      <c r="Q21" s="30">
        <f>(('Non-Ag Employment'!BS20-'Non-Ag Employment'!BN20)/'Non-Ag Employment'!BN20)*100</f>
        <v>19.51754385964912</v>
      </c>
      <c r="R21" s="30">
        <f>(('Non-Ag Employment'!CG20-'Non-Ag Employment'!CB20)/'Non-Ag Employment'!CB20)*100</f>
        <v>13.210554276607031</v>
      </c>
      <c r="S21" s="30">
        <f>(('Non-Ag Employment'!CU20-'Non-Ag Employment'!CP20)/'Non-Ag Employment'!C20)*100</f>
        <v>0.72264280798348379</v>
      </c>
      <c r="T21" s="87">
        <f>(('Non-Ag Employment'!DI20-'Non-Ag Employment'!DD20)/'Non-Ag Employment'!DD20)*100</f>
        <v>5.8823529411764621</v>
      </c>
      <c r="U21" s="87">
        <f>(('Non-Ag Employment'!DW20-'Non-Ag Employment'!DR20)/'Non-Ag Employment'!DR20)*100</f>
        <v>1.5810276679841793</v>
      </c>
      <c r="V21" s="23" t="s">
        <v>29</v>
      </c>
    </row>
    <row r="22" spans="1:22">
      <c r="A22" s="22" t="s">
        <v>30</v>
      </c>
      <c r="B22" s="22"/>
      <c r="C22" s="22">
        <f>'Non-Ag Employment'!O21</f>
        <v>13458.6</v>
      </c>
      <c r="D22" s="22">
        <f>'Non-Ag Employment'!AC21</f>
        <v>981.2</v>
      </c>
      <c r="E22" s="22">
        <f>'Non-Ag Employment'!AQ21</f>
        <v>926.8</v>
      </c>
      <c r="F22" s="22">
        <f>'Non-Ag Employment'!BE21</f>
        <v>2708.7</v>
      </c>
      <c r="G22" s="22">
        <f>'Non-Ag Employment'!BS21</f>
        <v>230.4</v>
      </c>
      <c r="H22" s="22">
        <f>'Non-Ag Employment'!CG21</f>
        <v>2953.7</v>
      </c>
      <c r="I22" s="22">
        <f>'Non-Ag Employment'!CU21</f>
        <v>1803</v>
      </c>
      <c r="J22" s="22">
        <f>'Non-Ag Employment'!DI21</f>
        <v>1859.1999999999998</v>
      </c>
      <c r="K22" s="22">
        <f>'Non-Ag Employment'!DW21</f>
        <v>1995.6</v>
      </c>
      <c r="L22" s="130"/>
      <c r="M22" s="87">
        <f>(('Non-Ag Employment'!O21-'Non-Ag Employment'!J21)/'Non-Ag Employment'!J21)*100</f>
        <v>10.08629503905771</v>
      </c>
      <c r="N22" s="30">
        <f>(('Non-Ag Employment'!AC21-'Non-Ag Employment'!X21)/'Non-Ag Employment'!X21)*100</f>
        <v>4.7619047619047645</v>
      </c>
      <c r="O22" s="87">
        <f>(('Non-Ag Employment'!AQ21-'Non-Ag Employment'!AL21)/'Non-Ag Employment'!AL21)*100</f>
        <v>8.9071680376028155</v>
      </c>
      <c r="P22" s="87">
        <f>(('Non-Ag Employment'!BE21-'Non-Ag Employment'!AZ21)/'Non-Ag Employment'!AZ21)*100</f>
        <v>10.410467533526255</v>
      </c>
      <c r="Q22" s="30">
        <f>(('Non-Ag Employment'!BS21-'Non-Ag Employment'!BN21)/'Non-Ag Employment'!BN21)*100</f>
        <v>14.172447968285429</v>
      </c>
      <c r="R22" s="30">
        <f>(('Non-Ag Employment'!CG21-'Non-Ag Employment'!CB21)/'Non-Ag Employment'!CB21)*100</f>
        <v>21.781974107363745</v>
      </c>
      <c r="S22" s="30">
        <f>(('Non-Ag Employment'!CU21-'Non-Ag Employment'!CP21)/'Non-Ag Employment'!C21)*100</f>
        <v>1.3202820470658787</v>
      </c>
      <c r="T22" s="87">
        <f>(('Non-Ag Employment'!DI21-'Non-Ag Employment'!DD21)/'Non-Ag Employment'!DD21)*100</f>
        <v>6.1490151298886566</v>
      </c>
      <c r="U22" s="87">
        <f>(('Non-Ag Employment'!DW21-'Non-Ag Employment'!DR21)/'Non-Ag Employment'!DR21)*100</f>
        <v>2.8978034443642269</v>
      </c>
      <c r="V22" s="23" t="s">
        <v>30</v>
      </c>
    </row>
    <row r="23" spans="1:22">
      <c r="A23" s="22" t="s">
        <v>31</v>
      </c>
      <c r="B23" s="22"/>
      <c r="C23" s="22">
        <f>'Non-Ag Employment'!O22</f>
        <v>4055.4</v>
      </c>
      <c r="D23" s="22">
        <f>'Non-Ag Employment'!AC22</f>
        <v>216.7</v>
      </c>
      <c r="E23" s="22">
        <f>'Non-Ag Employment'!AQ22</f>
        <v>244.4</v>
      </c>
      <c r="F23" s="22">
        <f>'Non-Ag Employment'!BE22</f>
        <v>664.8</v>
      </c>
      <c r="G23" s="22">
        <f>'Non-Ag Employment'!BS22</f>
        <v>70</v>
      </c>
      <c r="H23" s="22">
        <f>'Non-Ag Employment'!CG22</f>
        <v>1019.8</v>
      </c>
      <c r="I23" s="22">
        <f>'Non-Ag Employment'!CU22</f>
        <v>555.5</v>
      </c>
      <c r="J23" s="22">
        <f>'Non-Ag Employment'!DI22</f>
        <v>581.29999999999995</v>
      </c>
      <c r="K23" s="22">
        <f>'Non-Ag Employment'!DW22</f>
        <v>717</v>
      </c>
      <c r="L23" s="130"/>
      <c r="M23" s="87">
        <f>(('Non-Ag Employment'!O22-'Non-Ag Employment'!J22)/'Non-Ag Employment'!J22)*100</f>
        <v>2.6423690205011412</v>
      </c>
      <c r="N23" s="30">
        <f>(('Non-Ag Employment'!AC22-'Non-Ag Employment'!X22)/'Non-Ag Employment'!X22)*100</f>
        <v>7.596822244289962</v>
      </c>
      <c r="O23" s="87">
        <f>(('Non-Ag Employment'!AQ22-'Non-Ag Employment'!AL22)/'Non-Ag Employment'!AL22)*100</f>
        <v>4.3998291328492147</v>
      </c>
      <c r="P23" s="87">
        <f>(('Non-Ag Employment'!BE22-'Non-Ag Employment'!AZ22)/'Non-Ag Employment'!AZ22)*100</f>
        <v>0.3623188405797067</v>
      </c>
      <c r="Q23" s="30">
        <f>(('Non-Ag Employment'!BS22-'Non-Ag Employment'!BN22)/'Non-Ag Employment'!BN22)*100</f>
        <v>3.2448377581120984</v>
      </c>
      <c r="R23" s="30">
        <f>(('Non-Ag Employment'!CG22-'Non-Ag Employment'!CB22)/'Non-Ag Employment'!CB22)*100</f>
        <v>9.2096808738487894</v>
      </c>
      <c r="S23" s="30">
        <f>(('Non-Ag Employment'!CU22-'Non-Ag Employment'!CP22)/'Non-Ag Employment'!C22)*100</f>
        <v>0.71065989847715672</v>
      </c>
      <c r="T23" s="87">
        <f>(('Non-Ag Employment'!DI22-'Non-Ag Employment'!DD22)/'Non-Ag Employment'!DD22)*100</f>
        <v>-3.9173553719008338</v>
      </c>
      <c r="U23" s="87">
        <f>(('Non-Ag Employment'!DW22-'Non-Ag Employment'!DR22)/'Non-Ag Employment'!DR22)*100</f>
        <v>1.3948946854515658E-2</v>
      </c>
      <c r="V23" s="23" t="s">
        <v>31</v>
      </c>
    </row>
    <row r="24" spans="1:22" s="128" customFormat="1">
      <c r="A24" s="137" t="s">
        <v>32</v>
      </c>
      <c r="B24" s="137"/>
      <c r="C24" s="137">
        <f>'Non-Ag Employment'!O23</f>
        <v>697</v>
      </c>
      <c r="D24" s="137">
        <f>'Non-Ag Employment'!AC23</f>
        <v>52</v>
      </c>
      <c r="E24" s="137">
        <f>'Non-Ag Employment'!AQ23</f>
        <v>46.2</v>
      </c>
      <c r="F24" s="137">
        <f>'Non-Ag Employment'!BE23</f>
        <v>122.2</v>
      </c>
      <c r="G24" s="137">
        <f>'Non-Ag Employment'!BS23</f>
        <v>7.7</v>
      </c>
      <c r="H24" s="137">
        <f>'Non-Ag Employment'!CG23</f>
        <v>97.1</v>
      </c>
      <c r="I24" s="137">
        <f>'Non-Ag Employment'!CU23</f>
        <v>127.8</v>
      </c>
      <c r="J24" s="137">
        <f>'Non-Ag Employment'!DI23</f>
        <v>93.7</v>
      </c>
      <c r="K24" s="137">
        <f>'Non-Ag Employment'!DW23</f>
        <v>149.4</v>
      </c>
      <c r="L24" s="137"/>
      <c r="M24" s="143">
        <f>(('Non-Ag Employment'!O23-'Non-Ag Employment'!J23)/'Non-Ag Employment'!J23)*100</f>
        <v>-6.4303933413881031</v>
      </c>
      <c r="N24" s="144">
        <f>(('Non-Ag Employment'!AC23-'Non-Ag Employment'!X23)/'Non-Ag Employment'!X23)*100</f>
        <v>-2.4390243902438975</v>
      </c>
      <c r="O24" s="143">
        <f>(('Non-Ag Employment'!AQ23-'Non-Ag Employment'!AL23)/'Non-Ag Employment'!AL23)*100</f>
        <v>-1.070663811563169</v>
      </c>
      <c r="P24" s="143">
        <f>(('Non-Ag Employment'!BE23-'Non-Ag Employment'!AZ23)/'Non-Ag Employment'!AZ23)*100</f>
        <v>-7.2133637053910311</v>
      </c>
      <c r="Q24" s="144">
        <f>(('Non-Ag Employment'!BS23-'Non-Ag Employment'!BN23)/'Non-Ag Employment'!BN23)*100</f>
        <v>-10.465116279069761</v>
      </c>
      <c r="R24" s="144">
        <f>(('Non-Ag Employment'!CG23-'Non-Ag Employment'!CB23)/'Non-Ag Employment'!CB23)*100</f>
        <v>4.184549356223167</v>
      </c>
      <c r="S24" s="144">
        <f>(('Non-Ag Employment'!CU23-'Non-Ag Employment'!CP23)/'Non-Ag Employment'!CP23)*100</f>
        <v>-1.7678708685626421</v>
      </c>
      <c r="T24" s="143">
        <f>(('Non-Ag Employment'!DI23-'Non-Ag Employment'!DD23)/'Non-Ag Employment'!DD23)*100</f>
        <v>-26.509803921568626</v>
      </c>
      <c r="U24" s="143">
        <f>(('Non-Ag Employment'!DW23-'Non-Ag Employment'!DR23)/'Non-Ag Employment'!DR23)*100</f>
        <v>-2.8608582574772465</v>
      </c>
      <c r="V24" s="145" t="s">
        <v>32</v>
      </c>
    </row>
    <row r="25" spans="1:22">
      <c r="A25" s="22" t="s">
        <v>33</v>
      </c>
      <c r="B25" s="22"/>
      <c r="C25" s="22">
        <f>'Non-Ag Employment'!O24</f>
        <v>35684.299999999996</v>
      </c>
      <c r="D25" s="22">
        <f>'Non-Ag Employment'!AC24</f>
        <v>2252.2999999999997</v>
      </c>
      <c r="E25" s="22">
        <f>'Non-Ag Employment'!AQ24</f>
        <v>2521.2999999999997</v>
      </c>
      <c r="F25" s="22">
        <f>'Non-Ag Employment'!BE24</f>
        <v>6456.800000000002</v>
      </c>
      <c r="G25" s="22">
        <f>'Non-Ag Employment'!BS24</f>
        <v>1050.1999999999998</v>
      </c>
      <c r="H25" s="22">
        <f>'Non-Ag Employment'!CG24</f>
        <v>7461.4999999999991</v>
      </c>
      <c r="I25" s="22">
        <f>'Non-Ag Employment'!CU24</f>
        <v>5480.4</v>
      </c>
      <c r="J25" s="22">
        <f>'Non-Ag Employment'!DI24</f>
        <v>5249.4</v>
      </c>
      <c r="K25" s="22">
        <f>'Non-Ag Employment'!DW24</f>
        <v>5208.4000000000005</v>
      </c>
      <c r="L25" s="130"/>
      <c r="M25" s="30">
        <f>(('Non-Ag Employment'!O24-'Non-Ag Employment'!J24)/'Non-Ag Employment'!J24)*100</f>
        <v>6.4161060215669208</v>
      </c>
      <c r="N25" s="30">
        <f>(('Non-Ag Employment'!AC24-'Non-Ag Employment'!X24)/'Non-Ag Employment'!X24)*100</f>
        <v>15.811394487865066</v>
      </c>
      <c r="O25" s="87">
        <f>(('Non-Ag Employment'!AQ24-'Non-Ag Employment'!AL24)/'Non-Ag Employment'!AL24)*100</f>
        <v>4.160125588696971</v>
      </c>
      <c r="P25" s="87">
        <f>(('Non-Ag Employment'!BE24-'Non-Ag Employment'!AZ24)/'Non-Ag Employment'!AZ24)*100</f>
        <v>5.151046331731961</v>
      </c>
      <c r="Q25" s="30">
        <f>(('Non-Ag Employment'!BS24-'Non-Ag Employment'!BN24)/'Non-Ag Employment'!BN24)*100</f>
        <v>15.877744676155741</v>
      </c>
      <c r="R25" s="30">
        <f>(('Non-Ag Employment'!CG24-'Non-Ag Employment'!CB24)/'Non-Ag Employment'!CB24)*100</f>
        <v>13.648825661802777</v>
      </c>
      <c r="S25" s="30">
        <f>(('Non-Ag Employment'!CU24-'Non-Ag Employment'!CP24)/'Non-Ag Employment'!CP24)*100</f>
        <v>10.549885020373564</v>
      </c>
      <c r="T25" s="87">
        <f>(('Non-Ag Employment'!DI24-'Non-Ag Employment'!DD24)/'Non-Ag Employment'!DD24)*100</f>
        <v>0.61526076706341315</v>
      </c>
      <c r="U25" s="87">
        <f>(('Non-Ag Employment'!DW24-'Non-Ag Employment'!DR24)/'Non-Ag Employment'!DR24)*100</f>
        <v>-3.209380981583688</v>
      </c>
      <c r="V25" s="23" t="s">
        <v>33</v>
      </c>
    </row>
    <row r="26" spans="1:22" ht="14.45">
      <c r="A26" s="22" t="s">
        <v>16</v>
      </c>
      <c r="B26" s="22"/>
      <c r="C26" s="22">
        <f>'Non-Ag Employment'!O25</f>
        <v>23.387149628262527</v>
      </c>
      <c r="D26" s="22">
        <f>'Non-Ag Employment'!AC25</f>
        <v>26.994019439816867</v>
      </c>
      <c r="E26" s="22">
        <f>'Non-Ag Employment'!AQ25</f>
        <v>19.718298844102414</v>
      </c>
      <c r="F26" s="22">
        <f>'Non-Ag Employment'!BE25</f>
        <v>22.529353268549706</v>
      </c>
      <c r="G26" s="22">
        <f>'Non-Ag Employment'!BS25</f>
        <v>34.39895185063871</v>
      </c>
      <c r="H26" s="22">
        <f>'Non-Ag Employment'!CG25</f>
        <v>23.558217512929151</v>
      </c>
      <c r="I26" s="22">
        <f>'Non-Ag Employment'!CU25</f>
        <v>22.510473999835703</v>
      </c>
      <c r="J26" s="22">
        <f>'Non-Ag Employment'!DI25</f>
        <v>24.377263861799939</v>
      </c>
      <c r="K26" s="22">
        <f>'Non-Ag Employment'!DW25</f>
        <v>23.369572532989942</v>
      </c>
      <c r="L26" s="131"/>
      <c r="M26" s="30"/>
      <c r="N26" s="30"/>
      <c r="O26" s="87"/>
      <c r="P26" s="87"/>
      <c r="Q26" s="30"/>
      <c r="R26" s="30"/>
      <c r="S26" s="30"/>
      <c r="T26" s="87"/>
      <c r="U26" s="87"/>
      <c r="V26" s="23"/>
    </row>
    <row r="27" spans="1:22" s="123" customFormat="1">
      <c r="A27" s="93" t="s">
        <v>34</v>
      </c>
      <c r="B27" s="93"/>
      <c r="C27" s="93">
        <f>'Non-Ag Employment'!O26</f>
        <v>319.7</v>
      </c>
      <c r="D27" s="93">
        <f>'Non-Ag Employment'!AC26</f>
        <v>27.1</v>
      </c>
      <c r="E27" s="93">
        <f>'Non-Ag Employment'!AQ26</f>
        <v>12.1</v>
      </c>
      <c r="F27" s="93">
        <f>'Non-Ag Employment'!BE26</f>
        <v>64.3</v>
      </c>
      <c r="G27" s="93">
        <f>'Non-Ag Employment'!BS26</f>
        <v>4.8</v>
      </c>
      <c r="H27" s="93">
        <f>'Non-Ag Employment'!CG26</f>
        <v>38.6</v>
      </c>
      <c r="I27" s="93">
        <f>'Non-Ag Employment'!CU26</f>
        <v>50.1</v>
      </c>
      <c r="J27" s="93">
        <f>'Non-Ag Employment'!DI26</f>
        <v>45.6</v>
      </c>
      <c r="K27" s="93">
        <f>'Non-Ag Employment'!DW26</f>
        <v>77.3</v>
      </c>
      <c r="L27" s="132"/>
      <c r="M27" s="133">
        <f>(('Non-Ag Employment'!O26-'Non-Ag Employment'!J26)/'Non-Ag Employment'!J26)*100</f>
        <v>-2.797202797202794</v>
      </c>
      <c r="N27" s="133">
        <f>(('Non-Ag Employment'!AC26-'Non-Ag Employment'!X26)/'Non-Ag Employment'!X26)*100</f>
        <v>-4.5774647887323852</v>
      </c>
      <c r="O27" s="133">
        <f>(('Non-Ag Employment'!AQ26-'Non-Ag Employment'!AL26)/'Non-Ag Employment'!AL26)*100</f>
        <v>-8.3333333333333321</v>
      </c>
      <c r="P27" s="133">
        <f>(('Non-Ag Employment'!BE26-'Non-Ag Employment'!AZ26)/'Non-Ag Employment'!AZ26)*100</f>
        <v>-0.15527950310560329</v>
      </c>
      <c r="Q27" s="133">
        <f>(('Non-Ag Employment'!BS26-'Non-Ag Employment'!BN26)/'Non-Ag Employment'!BN26)*100</f>
        <v>-20.000000000000004</v>
      </c>
      <c r="R27" s="133">
        <f>(('Non-Ag Employment'!CG26-'Non-Ag Employment'!CB26)/'Non-Ag Employment'!CB26)*100</f>
        <v>-3.0150753768844116</v>
      </c>
      <c r="S27" s="133">
        <f>(('Non-Ag Employment'!CU26-'Non-Ag Employment'!CP26)/'Non-Ag Employment'!CP26)*100</f>
        <v>0.80482897384305552</v>
      </c>
      <c r="T27" s="133">
        <f>(('Non-Ag Employment'!DI26-'Non-Ag Employment'!DD26)/'Non-Ag Employment'!DD26)*100</f>
        <v>-1.9354838709677389</v>
      </c>
      <c r="U27" s="133">
        <f>(('Non-Ag Employment'!DW26-'Non-Ag Employment'!DR26)/'Non-Ag Employment'!DR26)*100</f>
        <v>-4.5679012345679046</v>
      </c>
      <c r="V27" s="134" t="s">
        <v>34</v>
      </c>
    </row>
    <row r="28" spans="1:22" s="123" customFormat="1">
      <c r="A28" s="93" t="s">
        <v>35</v>
      </c>
      <c r="B28" s="93"/>
      <c r="C28" s="93">
        <f>'Non-Ag Employment'!O27</f>
        <v>3095.4</v>
      </c>
      <c r="D28" s="93">
        <f>'Non-Ag Employment'!AC27</f>
        <v>206.3</v>
      </c>
      <c r="E28" s="93">
        <f>'Non-Ag Employment'!AQ27</f>
        <v>192.5</v>
      </c>
      <c r="F28" s="93">
        <f>'Non-Ag Employment'!BE27</f>
        <v>602.6</v>
      </c>
      <c r="G28" s="93">
        <f>'Non-Ag Employment'!BS27</f>
        <v>51.3</v>
      </c>
      <c r="H28" s="93">
        <f>'Non-Ag Employment'!CG27</f>
        <v>718.4</v>
      </c>
      <c r="I28" s="93">
        <f>'Non-Ag Employment'!CU27</f>
        <v>482.5</v>
      </c>
      <c r="J28" s="93">
        <f>'Non-Ag Employment'!DI27</f>
        <v>431.29999999999995</v>
      </c>
      <c r="K28" s="93">
        <f>'Non-Ag Employment'!DW27</f>
        <v>410.5</v>
      </c>
      <c r="L28" s="132"/>
      <c r="M28" s="133">
        <f>(('Non-Ag Employment'!O27-'Non-Ag Employment'!J27)/'Non-Ag Employment'!J27)*100</f>
        <v>11.646528403967542</v>
      </c>
      <c r="N28" s="133">
        <f>(('Non-Ag Employment'!AC27-'Non-Ag Employment'!X27)/'Non-Ag Employment'!X27)*100</f>
        <v>31.317632081476777</v>
      </c>
      <c r="O28" s="133">
        <f>(('Non-Ag Employment'!AQ27-'Non-Ag Employment'!AL27)/'Non-Ag Employment'!AL27)*100</f>
        <v>17.163724893487515</v>
      </c>
      <c r="P28" s="133">
        <f>(('Non-Ag Employment'!BE27-'Non-Ag Employment'!AZ27)/'Non-Ag Employment'!AZ27)*100</f>
        <v>14.956123616940092</v>
      </c>
      <c r="Q28" s="133">
        <f>(('Non-Ag Employment'!BS27-'Non-Ag Employment'!BN27)/'Non-Ag Employment'!BN27)*100</f>
        <v>13.495575221238926</v>
      </c>
      <c r="R28" s="133">
        <f>(('Non-Ag Employment'!CG27-'Non-Ag Employment'!CB27)/'Non-Ag Employment'!CB27)*100</f>
        <v>13.276568905707967</v>
      </c>
      <c r="S28" s="133">
        <f>(('Non-Ag Employment'!CU27-'Non-Ag Employment'!CP27)/'Non-Ag Employment'!CP27)*100</f>
        <v>13.103609939052971</v>
      </c>
      <c r="T28" s="133">
        <f>(('Non-Ag Employment'!DI27-'Non-Ag Employment'!DD27)/'Non-Ag Employment'!DD27)*100</f>
        <v>5.7885700269806151</v>
      </c>
      <c r="U28" s="133">
        <f>(('Non-Ag Employment'!DW27-'Non-Ag Employment'!DR27)/'Non-Ag Employment'!DR27)*100</f>
        <v>-0.67747398983789286</v>
      </c>
      <c r="V28" s="134" t="s">
        <v>35</v>
      </c>
    </row>
    <row r="29" spans="1:22" s="123" customFormat="1">
      <c r="A29" s="93" t="s">
        <v>36</v>
      </c>
      <c r="B29" s="93"/>
      <c r="C29" s="93">
        <f>'Non-Ag Employment'!O28</f>
        <v>17688.900000000001</v>
      </c>
      <c r="D29" s="93">
        <f>'Non-Ag Employment'!AC28</f>
        <v>933.1</v>
      </c>
      <c r="E29" s="93">
        <f>'Non-Ag Employment'!AQ28</f>
        <v>1336.9</v>
      </c>
      <c r="F29" s="93">
        <f>'Non-Ag Employment'!BE28</f>
        <v>3133</v>
      </c>
      <c r="G29" s="93">
        <f>'Non-Ag Employment'!BS28</f>
        <v>608.20000000000005</v>
      </c>
      <c r="H29" s="93">
        <f>'Non-Ag Employment'!CG28</f>
        <v>3717.3999999999996</v>
      </c>
      <c r="I29" s="93">
        <f>'Non-Ag Employment'!CU28</f>
        <v>2936.3</v>
      </c>
      <c r="J29" s="93">
        <f>'Non-Ag Employment'!DI28</f>
        <v>2494.8999999999996</v>
      </c>
      <c r="K29" s="93">
        <f>'Non-Ag Employment'!DW28</f>
        <v>2529</v>
      </c>
      <c r="L29" s="132"/>
      <c r="M29" s="133">
        <f>(('Non-Ag Employment'!O28-'Non-Ag Employment'!J28)/'Non-Ag Employment'!J28)*100</f>
        <v>5.2121623068413152</v>
      </c>
      <c r="N29" s="133">
        <f>(('Non-Ag Employment'!AC28-'Non-Ag Employment'!X28)/'Non-Ag Employment'!X28)*100</f>
        <v>12.272891348814824</v>
      </c>
      <c r="O29" s="133">
        <f>(('Non-Ag Employment'!AQ28-'Non-Ag Employment'!AL28)/'Non-Ag Employment'!AL28)*100</f>
        <v>1.9056330512996416</v>
      </c>
      <c r="P29" s="133">
        <f>(('Non-Ag Employment'!BE28-'Non-Ag Employment'!AZ28)/'Non-Ag Employment'!AZ28)*100</f>
        <v>2.9711431012949481</v>
      </c>
      <c r="Q29" s="133">
        <f>(('Non-Ag Employment'!BS28-'Non-Ag Employment'!BN28)/'Non-Ag Employment'!BN28)*100</f>
        <v>15.03688292037072</v>
      </c>
      <c r="R29" s="133">
        <f>(('Non-Ag Employment'!CG28-'Non-Ag Employment'!CB28)/'Non-Ag Employment'!CB28)*100</f>
        <v>9.5414898632720337</v>
      </c>
      <c r="S29" s="133">
        <f>(('Non-Ag Employment'!CU28-'Non-Ag Employment'!CP28)/'Non-Ag Employment'!CP28)*100</f>
        <v>11.366911932033691</v>
      </c>
      <c r="T29" s="133">
        <f>(('Non-Ag Employment'!DI28-'Non-Ag Employment'!DD28)/'Non-Ag Employment'!DD28)*100</f>
        <v>-0.78342479917284158</v>
      </c>
      <c r="U29" s="133">
        <f>(('Non-Ag Employment'!DW28-'Non-Ag Employment'!DR28)/'Non-Ag Employment'!DR28)*100</f>
        <v>-0.95946739768944589</v>
      </c>
      <c r="V29" s="134" t="s">
        <v>36</v>
      </c>
    </row>
    <row r="30" spans="1:22" s="123" customFormat="1">
      <c r="A30" s="93" t="s">
        <v>37</v>
      </c>
      <c r="B30" s="93"/>
      <c r="C30" s="93">
        <f>'Non-Ag Employment'!O29</f>
        <v>2862.3</v>
      </c>
      <c r="D30" s="93">
        <f>'Non-Ag Employment'!AC29</f>
        <v>203.60000000000002</v>
      </c>
      <c r="E30" s="93">
        <f>'Non-Ag Employment'!AQ29</f>
        <v>153.30000000000001</v>
      </c>
      <c r="F30" s="93">
        <f>'Non-Ag Employment'!BE29</f>
        <v>500.7</v>
      </c>
      <c r="G30" s="93">
        <f>'Non-Ag Employment'!BS29</f>
        <v>78.599999999999994</v>
      </c>
      <c r="H30" s="93">
        <f>'Non-Ag Employment'!CG29</f>
        <v>664.3</v>
      </c>
      <c r="I30" s="93">
        <f>'Non-Ag Employment'!CU29</f>
        <v>352</v>
      </c>
      <c r="J30" s="93">
        <f>'Non-Ag Employment'!DI29</f>
        <v>461.8</v>
      </c>
      <c r="K30" s="93">
        <f>'Non-Ag Employment'!DW29</f>
        <v>448</v>
      </c>
      <c r="L30" s="132"/>
      <c r="M30" s="133">
        <f>(('Non-Ag Employment'!O29-'Non-Ag Employment'!J29)/'Non-Ag Employment'!J29)*100</f>
        <v>7.6619273301737856</v>
      </c>
      <c r="N30" s="133">
        <f>(('Non-Ag Employment'!AC29-'Non-Ag Employment'!X29)/'Non-Ag Employment'!X29)*100</f>
        <v>7.5541468568410153</v>
      </c>
      <c r="O30" s="133">
        <f>(('Non-Ag Employment'!AQ29-'Non-Ag Employment'!AL29)/'Non-Ag Employment'!AL29)*100</f>
        <v>6.458333333333341</v>
      </c>
      <c r="P30" s="133">
        <f>(('Non-Ag Employment'!BE29-'Non-Ag Employment'!AZ29)/'Non-Ag Employment'!AZ29)*100</f>
        <v>8.7768846404518737</v>
      </c>
      <c r="Q30" s="133">
        <f>(('Non-Ag Employment'!BS29-'Non-Ag Employment'!BN29)/'Non-Ag Employment'!BN29)*100</f>
        <v>9.6234309623430843</v>
      </c>
      <c r="R30" s="133">
        <f>(('Non-Ag Employment'!CG29-'Non-Ag Employment'!CB29)/'Non-Ag Employment'!CB29)*100</f>
        <v>14.396418116066801</v>
      </c>
      <c r="S30" s="133">
        <f>(('Non-Ag Employment'!CU29-'Non-Ag Employment'!CP29)/'Non-Ag Employment'!CP29)*100</f>
        <v>5.5472263868065967</v>
      </c>
      <c r="T30" s="133">
        <f>(('Non-Ag Employment'!DI29-'Non-Ag Employment'!DD29)/'Non-Ag Employment'!DD29)*100</f>
        <v>4.4560054286360655</v>
      </c>
      <c r="U30" s="133">
        <f>(('Non-Ag Employment'!DW29-'Non-Ag Employment'!DR29)/'Non-Ag Employment'!DR29)*100</f>
        <v>2.5406271457999594</v>
      </c>
      <c r="V30" s="134" t="s">
        <v>37</v>
      </c>
    </row>
    <row r="31" spans="1:22">
      <c r="A31" s="22" t="s">
        <v>38</v>
      </c>
      <c r="B31" s="22"/>
      <c r="C31" s="22">
        <f>'Non-Ag Employment'!O30</f>
        <v>618.1</v>
      </c>
      <c r="D31" s="22">
        <f>'Non-Ag Employment'!AC30</f>
        <v>37.299999999999997</v>
      </c>
      <c r="E31" s="22">
        <f>'Non-Ag Employment'!AQ30</f>
        <v>12.5</v>
      </c>
      <c r="F31" s="22">
        <f>'Non-Ag Employment'!BE30</f>
        <v>115</v>
      </c>
      <c r="G31" s="22">
        <f>'Non-Ag Employment'!BS30</f>
        <v>8.5</v>
      </c>
      <c r="H31" s="22">
        <f>'Non-Ag Employment'!CG30</f>
        <v>99.1</v>
      </c>
      <c r="I31" s="22">
        <f>'Non-Ag Employment'!CU30</f>
        <v>86.3</v>
      </c>
      <c r="J31" s="22">
        <f>'Non-Ag Employment'!DI30</f>
        <v>138.6</v>
      </c>
      <c r="K31" s="23" t="str">
        <f>'Non-Ag Employment'!DW30</f>
        <v>120.8.</v>
      </c>
      <c r="L31" s="130"/>
      <c r="M31" s="87">
        <f>(('Non-Ag Employment'!O30-'Non-Ag Employment'!J30)/'Non-Ag Employment'!J30)*100</f>
        <v>-5.3010571472345669</v>
      </c>
      <c r="N31" s="30">
        <f>(('Non-Ag Employment'!AC30-'Non-Ag Employment'!X30)/'Non-Ag Employment'!X30)*100</f>
        <v>2.4725274725274686</v>
      </c>
      <c r="O31" s="87">
        <f>(('Non-Ag Employment'!AQ30-'Non-Ag Employment'!AL30)/'Non-Ag Employment'!AL30)*100</f>
        <v>-11.971830985915489</v>
      </c>
      <c r="P31" s="87">
        <f>(('Non-Ag Employment'!BE30-'Non-Ag Employment'!AZ30)/'Non-Ag Employment'!AZ30)*100</f>
        <v>-5.193734542456717</v>
      </c>
      <c r="Q31" s="30">
        <f>(('Non-Ag Employment'!BS30-'Non-Ag Employment'!BN30)/'Non-Ag Employment'!BN30)*100</f>
        <v>-7.6086956521739069</v>
      </c>
      <c r="R31" s="30">
        <f>(('Non-Ag Employment'!CG30-'Non-Ag Employment'!CB30)/'Non-Ag Employment'!CB30)*100</f>
        <v>-10.316742081447968</v>
      </c>
      <c r="S31" s="30">
        <f>(('Non-Ag Employment'!CU30-'Non-Ag Employment'!CP30)/'Non-Ag Employment'!CP30)*100</f>
        <v>2.3724792408066429</v>
      </c>
      <c r="T31" s="87">
        <f>(('Non-Ag Employment'!DI30-'Non-Ag Employment'!DD30)/'Non-Ag Employment'!DD30)*100</f>
        <v>-8.2726671078755789</v>
      </c>
      <c r="U31" s="87" t="e">
        <f>(('Non-Ag Employment'!DW30-'Non-Ag Employment'!DR30)/'Non-Ag Employment'!DR30)*100</f>
        <v>#VALUE!</v>
      </c>
      <c r="V31" s="23" t="s">
        <v>38</v>
      </c>
    </row>
    <row r="32" spans="1:22">
      <c r="A32" s="22" t="s">
        <v>39</v>
      </c>
      <c r="B32" s="22"/>
      <c r="C32" s="22">
        <f>'Non-Ag Employment'!O31</f>
        <v>827.1</v>
      </c>
      <c r="D32" s="22">
        <f>'Non-Ag Employment'!AC31</f>
        <v>70.099999999999994</v>
      </c>
      <c r="E32" s="22">
        <f>'Non-Ag Employment'!AQ31</f>
        <v>73.099999999999994</v>
      </c>
      <c r="F32" s="22">
        <f>'Non-Ag Employment'!BE31</f>
        <v>161.30000000000001</v>
      </c>
      <c r="G32" s="22">
        <f>'Non-Ag Employment'!BS31</f>
        <v>9.1</v>
      </c>
      <c r="H32" s="22">
        <f>'Non-Ag Employment'!CG31</f>
        <v>148.69999999999999</v>
      </c>
      <c r="I32" s="22">
        <f>'Non-Ag Employment'!CU31</f>
        <v>121.4</v>
      </c>
      <c r="J32" s="22">
        <f>'Non-Ag Employment'!DI31</f>
        <v>116.6</v>
      </c>
      <c r="K32" s="22">
        <f>'Non-Ag Employment'!DW31</f>
        <v>126.7</v>
      </c>
      <c r="L32" s="130"/>
      <c r="M32" s="87">
        <f>(('Non-Ag Employment'!O31-'Non-Ag Employment'!J31)/'Non-Ag Employment'!J31)*100</f>
        <v>15.420039073402176</v>
      </c>
      <c r="N32" s="30">
        <f>(('Non-Ag Employment'!AC31-'Non-Ag Employment'!X31)/'Non-Ag Employment'!X31)*100</f>
        <v>43.942505133470206</v>
      </c>
      <c r="O32" s="87">
        <f>(('Non-Ag Employment'!AQ31-'Non-Ag Employment'!AL31)/'Non-Ag Employment'!AL31)*100</f>
        <v>9.2675635276531949</v>
      </c>
      <c r="P32" s="87">
        <f>(('Non-Ag Employment'!BE31-'Non-Ag Employment'!AZ31)/'Non-Ag Employment'!AZ31)*100</f>
        <v>15.214285714285722</v>
      </c>
      <c r="Q32" s="30">
        <f>(('Non-Ag Employment'!BS31-'Non-Ag Employment'!BN31)/'Non-Ag Employment'!BN31)*100</f>
        <v>1.1111111111111072</v>
      </c>
      <c r="R32" s="30">
        <f>(('Non-Ag Employment'!CG31-'Non-Ag Employment'!CB31)/'Non-Ag Employment'!CB31)*100</f>
        <v>18.486055776892421</v>
      </c>
      <c r="S32" s="30">
        <f>(('Non-Ag Employment'!CU31-'Non-Ag Employment'!CP31)/'Non-Ag Employment'!CP31)*100</f>
        <v>17.978620019436345</v>
      </c>
      <c r="T32" s="87">
        <f>(('Non-Ag Employment'!DI31-'Non-Ag Employment'!DD31)/'Non-Ag Employment'!DD31)*100</f>
        <v>16.135458167330665</v>
      </c>
      <c r="U32" s="87">
        <f>(('Non-Ag Employment'!DW31-'Non-Ag Employment'!DR31)/'Non-Ag Employment'!DR31)*100</f>
        <v>2.757502027575025</v>
      </c>
      <c r="V32" s="23" t="s">
        <v>39</v>
      </c>
    </row>
    <row r="33" spans="1:22">
      <c r="A33" s="22" t="s">
        <v>40</v>
      </c>
      <c r="B33" s="22"/>
      <c r="C33" s="22">
        <f>'Non-Ag Employment'!O32</f>
        <v>509.6</v>
      </c>
      <c r="D33" s="22">
        <f>'Non-Ag Employment'!AC32</f>
        <v>43</v>
      </c>
      <c r="E33" s="22">
        <f>'Non-Ag Employment'!AQ32</f>
        <v>22.2</v>
      </c>
      <c r="F33" s="22">
        <f>'Non-Ag Employment'!BE32</f>
        <v>99.6</v>
      </c>
      <c r="G33" s="22">
        <f>'Non-Ag Employment'!BS32</f>
        <v>5.8</v>
      </c>
      <c r="H33" s="22">
        <f>'Non-Ag Employment'!CG32</f>
        <v>78.400000000000006</v>
      </c>
      <c r="I33" s="22">
        <f>'Non-Ag Employment'!CU32</f>
        <v>81</v>
      </c>
      <c r="J33" s="22">
        <f>'Non-Ag Employment'!DI32</f>
        <v>89.5</v>
      </c>
      <c r="K33" s="22">
        <f>'Non-Ag Employment'!DW32</f>
        <v>90</v>
      </c>
      <c r="L33" s="130"/>
      <c r="M33" s="87">
        <f>(('Non-Ag Employment'!O32-'Non-Ag Employment'!J32)/'Non-Ag Employment'!J32)*100</f>
        <v>7.920372723422286</v>
      </c>
      <c r="N33" s="30">
        <f>(('Non-Ag Employment'!AC32-'Non-Ag Employment'!X32)/'Non-Ag Employment'!X32)*100</f>
        <v>24.277456647398839</v>
      </c>
      <c r="O33" s="87">
        <f>(('Non-Ag Employment'!AQ32-'Non-Ag Employment'!AL32)/'Non-Ag Employment'!AL32)*100</f>
        <v>11.557788944723622</v>
      </c>
      <c r="P33" s="87">
        <f>(('Non-Ag Employment'!BE32-'Non-Ag Employment'!AZ32)/'Non-Ag Employment'!AZ32)*100</f>
        <v>5.396825396825391</v>
      </c>
      <c r="Q33" s="30">
        <f>(('Non-Ag Employment'!BS32-'Non-Ag Employment'!BN32)/'Non-Ag Employment'!BN32)*100</f>
        <v>-9.3750000000000089</v>
      </c>
      <c r="R33" s="30">
        <f>(('Non-Ag Employment'!CG32-'Non-Ag Employment'!CB32)/'Non-Ag Employment'!CB32)*100</f>
        <v>19.694656488549629</v>
      </c>
      <c r="S33" s="30">
        <f>(('Non-Ag Employment'!CU32-'Non-Ag Employment'!CP32)/'Non-Ag Employment'!CP32)*100</f>
        <v>5.8823529411764701</v>
      </c>
      <c r="T33" s="87">
        <f>(('Non-Ag Employment'!DI32-'Non-Ag Employment'!DD32)/'Non-Ag Employment'!DD32)*100</f>
        <v>6.9295101553166036</v>
      </c>
      <c r="U33" s="87">
        <f>(('Non-Ag Employment'!DW32-'Non-Ag Employment'!DR32)/'Non-Ag Employment'!DR32)*100</f>
        <v>-1.3157894736842135</v>
      </c>
      <c r="V33" s="23" t="s">
        <v>40</v>
      </c>
    </row>
    <row r="34" spans="1:22">
      <c r="A34" s="22" t="s">
        <v>41</v>
      </c>
      <c r="B34" s="22"/>
      <c r="C34" s="22">
        <f>'Non-Ag Employment'!O33</f>
        <v>1490.6</v>
      </c>
      <c r="D34" s="22">
        <f>'Non-Ag Employment'!AC33</f>
        <v>121.8</v>
      </c>
      <c r="E34" s="22">
        <f>'Non-Ag Employment'!AQ33</f>
        <v>65.900000000000006</v>
      </c>
      <c r="F34" s="22">
        <f>'Non-Ag Employment'!BE33</f>
        <v>292.10000000000002</v>
      </c>
      <c r="G34" s="22">
        <f>'Non-Ag Employment'!BS33</f>
        <v>17.899999999999999</v>
      </c>
      <c r="H34" s="22">
        <f>'Non-Ag Employment'!CG33</f>
        <v>287.5</v>
      </c>
      <c r="I34" s="22">
        <f>'Non-Ag Employment'!CU33</f>
        <v>158.19999999999999</v>
      </c>
      <c r="J34" s="22">
        <f>'Non-Ag Employment'!DI33</f>
        <v>381.29999999999995</v>
      </c>
      <c r="K34" s="22">
        <f>'Non-Ag Employment'!DW33</f>
        <v>166.1</v>
      </c>
      <c r="L34" s="130"/>
      <c r="M34" s="87">
        <f>(('Non-Ag Employment'!O33-'Non-Ag Employment'!J33)/'Non-Ag Employment'!J33)*100</f>
        <v>11.155853840417592</v>
      </c>
      <c r="N34" s="30">
        <f>(('Non-Ag Employment'!AC33-'Non-Ag Employment'!X33)/'Non-Ag Employment'!X33)*100</f>
        <v>24.7950819672131</v>
      </c>
      <c r="O34" s="87">
        <f>(('Non-Ag Employment'!AQ33-'Non-Ag Employment'!AL33)/'Non-Ag Employment'!AL33)*100</f>
        <v>37.866108786610894</v>
      </c>
      <c r="P34" s="87">
        <f>(('Non-Ag Employment'!BE33-'Non-Ag Employment'!AZ33)/'Non-Ag Employment'!AZ33)*100</f>
        <v>17.215088282504027</v>
      </c>
      <c r="Q34" s="30">
        <f>(('Non-Ag Employment'!BS33-'Non-Ag Employment'!BN33)/'Non-Ag Employment'!BN33)*100</f>
        <v>21.768707482993193</v>
      </c>
      <c r="R34" s="30">
        <f>(('Non-Ag Employment'!CG33-'Non-Ag Employment'!CB33)/'Non-Ag Employment'!CB33)*100</f>
        <v>16.680194805194802</v>
      </c>
      <c r="S34" s="30">
        <f>(('Non-Ag Employment'!CU33-'Non-Ag Employment'!CP33)/'Non-Ag Employment'!CP33)*100</f>
        <v>18.590704647676148</v>
      </c>
      <c r="T34" s="87">
        <f>(('Non-Ag Employment'!DI33-'Non-Ag Employment'!DD33)/'Non-Ag Employment'!DD33)*100</f>
        <v>-2.3809523809523983</v>
      </c>
      <c r="U34" s="87">
        <f>(('Non-Ag Employment'!DW33-'Non-Ag Employment'!DR33)/'Non-Ag Employment'!DR33)*100</f>
        <v>2.9120198265179607</v>
      </c>
      <c r="V34" s="23" t="s">
        <v>41</v>
      </c>
    </row>
    <row r="35" spans="1:22" s="123" customFormat="1">
      <c r="A35" s="93" t="s">
        <v>42</v>
      </c>
      <c r="B35" s="93"/>
      <c r="C35" s="93">
        <f>'Non-Ag Employment'!O34</f>
        <v>846.9</v>
      </c>
      <c r="D35" s="93">
        <f>'Non-Ag Employment'!AC34</f>
        <v>70.400000000000006</v>
      </c>
      <c r="E35" s="93">
        <f>'Non-Ag Employment'!AQ34</f>
        <v>28.9</v>
      </c>
      <c r="F35" s="93">
        <f>'Non-Ag Employment'!BE34</f>
        <v>143</v>
      </c>
      <c r="G35" s="93">
        <f>'Non-Ag Employment'!BS34</f>
        <v>10.8</v>
      </c>
      <c r="H35" s="93">
        <f>'Non-Ag Employment'!CG34</f>
        <v>150.69999999999999</v>
      </c>
      <c r="I35" s="93">
        <f>'Non-Ag Employment'!CU34</f>
        <v>141</v>
      </c>
      <c r="J35" s="93">
        <f>'Non-Ag Employment'!DI34</f>
        <v>122.8</v>
      </c>
      <c r="K35" s="93">
        <f>'Non-Ag Employment'!DW34</f>
        <v>179.4</v>
      </c>
      <c r="L35" s="132"/>
      <c r="M35" s="133">
        <f>(('Non-Ag Employment'!O34-'Non-Ag Employment'!J34)/'Non-Ag Employment'!J34)*100</f>
        <v>1.9747140276941573</v>
      </c>
      <c r="N35" s="133">
        <f>(('Non-Ag Employment'!AC34-'Non-Ag Employment'!X34)/'Non-Ag Employment'!X34)*100</f>
        <v>5.8646616541353467</v>
      </c>
      <c r="O35" s="133">
        <f>(('Non-Ag Employment'!AQ34-'Non-Ag Employment'!AL34)/'Non-Ag Employment'!AL34)*100</f>
        <v>9.4696969696969688</v>
      </c>
      <c r="P35" s="133">
        <f>(('Non-Ag Employment'!BE34-'Non-Ag Employment'!AZ34)/'Non-Ag Employment'!AZ34)*100</f>
        <v>4.6852122986822886</v>
      </c>
      <c r="Q35" s="133">
        <f>(('Non-Ag Employment'!BS34-'Non-Ag Employment'!BN34)/'Non-Ag Employment'!BN34)*100</f>
        <v>-12.195121951219512</v>
      </c>
      <c r="R35" s="133">
        <f>(('Non-Ag Employment'!CG34-'Non-Ag Employment'!CB34)/'Non-Ag Employment'!CB34)*100</f>
        <v>8.9660159074475612</v>
      </c>
      <c r="S35" s="133">
        <f>(('Non-Ag Employment'!CU34-'Non-Ag Employment'!CP34)/'Non-Ag Employment'!CP34)*100</f>
        <v>1.4388489208633095</v>
      </c>
      <c r="T35" s="133">
        <f>(('Non-Ag Employment'!DI34-'Non-Ag Employment'!DD34)/'Non-Ag Employment'!DD34)*100</f>
        <v>-1.7600000000000022</v>
      </c>
      <c r="U35" s="133">
        <f>(('Non-Ag Employment'!DW34-'Non-Ag Employment'!DR34)/'Non-Ag Employment'!DR34)*100</f>
        <v>-3.8069705093833748</v>
      </c>
      <c r="V35" s="134" t="s">
        <v>42</v>
      </c>
    </row>
    <row r="36" spans="1:22" s="123" customFormat="1">
      <c r="A36" s="93" t="s">
        <v>43</v>
      </c>
      <c r="B36" s="93"/>
      <c r="C36" s="93">
        <f>'Non-Ag Employment'!O35</f>
        <v>1949.3</v>
      </c>
      <c r="D36" s="93">
        <f>'Non-Ag Employment'!AC35</f>
        <v>122.30000000000001</v>
      </c>
      <c r="E36" s="93">
        <f>'Non-Ag Employment'!AQ35</f>
        <v>193.8</v>
      </c>
      <c r="F36" s="93">
        <f>'Non-Ag Employment'!BE35</f>
        <v>367.6</v>
      </c>
      <c r="G36" s="93">
        <f>'Non-Ag Employment'!BS35</f>
        <v>36.9</v>
      </c>
      <c r="H36" s="93">
        <f>'Non-Ag Employment'!CG35</f>
        <v>470.5</v>
      </c>
      <c r="I36" s="93">
        <f>'Non-Ag Employment'!CU35</f>
        <v>303.5</v>
      </c>
      <c r="J36" s="93">
        <f>'Non-Ag Employment'!DI35</f>
        <v>260.3</v>
      </c>
      <c r="K36" s="93">
        <f>'Non-Ag Employment'!DW35</f>
        <v>294.5</v>
      </c>
      <c r="L36" s="132"/>
      <c r="M36" s="133">
        <f>(('Non-Ag Employment'!O35-'Non-Ag Employment'!J35)/'Non-Ag Employment'!J35)*100</f>
        <v>4.090350830351893</v>
      </c>
      <c r="N36" s="133">
        <f>(('Non-Ag Employment'!AC35-'Non-Ag Employment'!X35)/'Non-Ag Employment'!X35)*100</f>
        <v>17.483189241114331</v>
      </c>
      <c r="O36" s="133">
        <f>(('Non-Ag Employment'!AQ35-'Non-Ag Employment'!AL35)/'Non-Ag Employment'!AL35)*100</f>
        <v>2.3231256599788837</v>
      </c>
      <c r="P36" s="133">
        <f>(('Non-Ag Employment'!BE35-'Non-Ag Employment'!AZ35)/'Non-Ag Employment'!AZ35)*100</f>
        <v>4.9386240365401113</v>
      </c>
      <c r="Q36" s="133">
        <f>(('Non-Ag Employment'!BS35-'Non-Ag Employment'!BN35)/'Non-Ag Employment'!BN35)*100</f>
        <v>7.8947368421052504</v>
      </c>
      <c r="R36" s="133">
        <f>(('Non-Ag Employment'!CG35-'Non-Ag Employment'!CB35)/'Non-Ag Employment'!CB35)*100</f>
        <v>37.252042007001165</v>
      </c>
      <c r="S36" s="133">
        <f>(('Non-Ag Employment'!CU35-'Non-Ag Employment'!CP35)/'Non-Ag Employment'!CP35)*100</f>
        <v>11.253665689149555</v>
      </c>
      <c r="T36" s="133">
        <f>(('Non-Ag Employment'!DI35-'Non-Ag Employment'!DD35)/'Non-Ag Employment'!DD35)*100</f>
        <v>-3.6639526276831895</v>
      </c>
      <c r="U36" s="133">
        <f>(('Non-Ag Employment'!DW35-'Non-Ag Employment'!DR35)/'Non-Ag Employment'!DR35)*100</f>
        <v>-4.6925566343042071</v>
      </c>
      <c r="V36" s="134" t="s">
        <v>43</v>
      </c>
    </row>
    <row r="37" spans="1:22" s="123" customFormat="1">
      <c r="A37" s="93" t="s">
        <v>44</v>
      </c>
      <c r="B37" s="93"/>
      <c r="C37" s="93">
        <f>'Non-Ag Employment'!O36</f>
        <v>1676.4</v>
      </c>
      <c r="D37" s="93">
        <f>'Non-Ag Employment'!AC36</f>
        <v>141.20000000000002</v>
      </c>
      <c r="E37" s="93">
        <f>'Non-Ag Employment'!AQ36</f>
        <v>151.19999999999999</v>
      </c>
      <c r="F37" s="93">
        <f>'Non-Ag Employment'!BE36</f>
        <v>313.10000000000002</v>
      </c>
      <c r="G37" s="93">
        <f>'Non-Ag Employment'!BS36</f>
        <v>44.8</v>
      </c>
      <c r="H37" s="93">
        <f>'Non-Ag Employment'!CG36</f>
        <v>344.4</v>
      </c>
      <c r="I37" s="93">
        <f>'Non-Ag Employment'!CU36</f>
        <v>224.4</v>
      </c>
      <c r="J37" s="93">
        <f>'Non-Ag Employment'!DI36</f>
        <v>206</v>
      </c>
      <c r="K37" s="93">
        <f>'Non-Ag Employment'!DW36</f>
        <v>253.8</v>
      </c>
      <c r="L37" s="132"/>
      <c r="M37" s="133">
        <f>(('Non-Ag Employment'!O36-'Non-Ag Employment'!J36)/'Non-Ag Employment'!J36)*100</f>
        <v>14.188406784279014</v>
      </c>
      <c r="N37" s="133">
        <f>(('Non-Ag Employment'!AC36-'Non-Ag Employment'!X36)/'Non-Ag Employment'!X36)*100</f>
        <v>33.207547169811335</v>
      </c>
      <c r="O37" s="133">
        <f>(('Non-Ag Employment'!AQ36-'Non-Ag Employment'!AL36)/'Non-Ag Employment'!AL36)*100</f>
        <v>16.937354988399054</v>
      </c>
      <c r="P37" s="133">
        <f>(('Non-Ag Employment'!BE36-'Non-Ag Employment'!AZ36)/'Non-Ag Employment'!AZ36)*100</f>
        <v>12.585400934915498</v>
      </c>
      <c r="Q37" s="133">
        <f>(('Non-Ag Employment'!BS36-'Non-Ag Employment'!BN36)/'Non-Ag Employment'!BN36)*100</f>
        <v>16.062176165803095</v>
      </c>
      <c r="R37" s="133">
        <f>(('Non-Ag Employment'!CG36-'Non-Ag Employment'!CB36)/'Non-Ag Employment'!CB36)*100</f>
        <v>18.758620689655164</v>
      </c>
      <c r="S37" s="133">
        <f>(('Non-Ag Employment'!CU36-'Non-Ag Employment'!CP36)/'Non-Ag Employment'!CP36)*100</f>
        <v>12.934071464519386</v>
      </c>
      <c r="T37" s="133">
        <f>(('Non-Ag Employment'!DI36-'Non-Ag Employment'!DD36)/'Non-Ag Employment'!DD36)*100</f>
        <v>11.895708853883745</v>
      </c>
      <c r="U37" s="133">
        <f>(('Non-Ag Employment'!DW36-'Non-Ag Employment'!DR36)/'Non-Ag Employment'!DR36)*100</f>
        <v>4.2728019720624513</v>
      </c>
      <c r="V37" s="134" t="s">
        <v>44</v>
      </c>
    </row>
    <row r="38" spans="1:22" s="123" customFormat="1">
      <c r="A38" s="93" t="s">
        <v>45</v>
      </c>
      <c r="B38" s="93"/>
      <c r="C38" s="93">
        <f>'Non-Ag Employment'!O37</f>
        <v>3517.3</v>
      </c>
      <c r="D38" s="93">
        <f>'Non-Ag Employment'!AC37</f>
        <v>238.6</v>
      </c>
      <c r="E38" s="93">
        <f>'Non-Ag Employment'!AQ37</f>
        <v>268.7</v>
      </c>
      <c r="F38" s="93">
        <f>'Non-Ag Employment'!BE37</f>
        <v>612.4</v>
      </c>
      <c r="G38" s="93">
        <f>'Non-Ag Employment'!BS37</f>
        <v>170.4</v>
      </c>
      <c r="H38" s="93">
        <f>'Non-Ag Employment'!CG37</f>
        <v>711.5</v>
      </c>
      <c r="I38" s="93">
        <f>'Non-Ag Employment'!CU37</f>
        <v>514.9</v>
      </c>
      <c r="J38" s="93">
        <f>'Non-Ag Employment'!DI37</f>
        <v>447.20000000000005</v>
      </c>
      <c r="K38" s="93">
        <f>'Non-Ag Employment'!DW37</f>
        <v>565.79999999999995</v>
      </c>
      <c r="L38" s="132"/>
      <c r="M38" s="133">
        <f>(('Non-Ag Employment'!O37-'Non-Ag Employment'!J37)/'Non-Ag Employment'!J37)*100</f>
        <v>5.7802772848936961</v>
      </c>
      <c r="N38" s="133">
        <f>(('Non-Ag Employment'!AC37-'Non-Ag Employment'!X37)/'Non-Ag Employment'!X37)*100</f>
        <v>15.881495871782414</v>
      </c>
      <c r="O38" s="133">
        <f>(('Non-Ag Employment'!AQ37-'Non-Ag Employment'!AL37)/'Non-Ag Employment'!AL37)*100</f>
        <v>-5.3539978865797782</v>
      </c>
      <c r="P38" s="133">
        <f>(('Non-Ag Employment'!BE37-'Non-Ag Employment'!AZ37)/'Non-Ag Employment'!AZ37)*100</f>
        <v>-2.2973835354179926</v>
      </c>
      <c r="Q38" s="133">
        <f>(('Non-Ag Employment'!BS37-'Non-Ag Employment'!BN37)/'Non-Ag Employment'!BN37)*100</f>
        <v>34.597156398104275</v>
      </c>
      <c r="R38" s="133">
        <f>(('Non-Ag Employment'!CG37-'Non-Ag Employment'!CB37)/'Non-Ag Employment'!CB37)*100</f>
        <v>25.065916681314821</v>
      </c>
      <c r="S38" s="133">
        <f>(('Non-Ag Employment'!CU37-'Non-Ag Employment'!CP37)/'Non-Ag Employment'!CP37)*100</f>
        <v>8.217738545607391</v>
      </c>
      <c r="T38" s="133">
        <f>(('Non-Ag Employment'!DI37-'Non-Ag Employment'!DD37)/'Non-Ag Employment'!DD37)*100</f>
        <v>-0.88652482269502286</v>
      </c>
      <c r="U38" s="133">
        <f>(('Non-Ag Employment'!DW37-'Non-Ag Employment'!DR37)/'Non-Ag Employment'!DR37)*100</f>
        <v>-3.4306195596518214</v>
      </c>
      <c r="V38" s="134" t="s">
        <v>45</v>
      </c>
    </row>
    <row r="39" spans="1:22" s="140" customFormat="1">
      <c r="A39" s="141" t="s">
        <v>46</v>
      </c>
      <c r="B39" s="141"/>
      <c r="C39" s="141">
        <f>'Non-Ag Employment'!O38</f>
        <v>282.7</v>
      </c>
      <c r="D39" s="141">
        <f>'Non-Ag Employment'!AC38</f>
        <v>37.5</v>
      </c>
      <c r="E39" s="141">
        <f>'Non-Ag Employment'!AQ38</f>
        <v>10.199999999999999</v>
      </c>
      <c r="F39" s="141">
        <f>'Non-Ag Employment'!BE38</f>
        <v>52.1</v>
      </c>
      <c r="G39" s="141">
        <f>'Non-Ag Employment'!BS38</f>
        <v>3.1</v>
      </c>
      <c r="H39" s="141">
        <f>'Non-Ag Employment'!CG38</f>
        <v>32</v>
      </c>
      <c r="I39" s="141">
        <f>'Non-Ag Employment'!CU38</f>
        <v>28.8</v>
      </c>
      <c r="J39" s="141">
        <f>'Non-Ag Employment'!DI38</f>
        <v>53.5</v>
      </c>
      <c r="K39" s="141">
        <f>'Non-Ag Employment'!DW38</f>
        <v>67.3</v>
      </c>
      <c r="L39" s="141"/>
      <c r="M39" s="146">
        <f>(('Non-Ag Employment'!O38-'Non-Ag Employment'!J38)/'Non-Ag Employment'!J38)*100</f>
        <v>0.49768929968004877</v>
      </c>
      <c r="N39" s="146">
        <f>(('Non-Ag Employment'!AC38-'Non-Ag Employment'!X38)/'Non-Ag Employment'!X38)*100</f>
        <v>-4.0920716112532007</v>
      </c>
      <c r="O39" s="146">
        <f>(('Non-Ag Employment'!AQ38-'Non-Ag Employment'!AL38)/'Non-Ag Employment'!AL38)*100</f>
        <v>8.5106382978723296</v>
      </c>
      <c r="P39" s="146">
        <f>(('Non-Ag Employment'!BE38-'Non-Ag Employment'!AZ38)/'Non-Ag Employment'!AZ38)*100</f>
        <v>-0.19157088122605637</v>
      </c>
      <c r="Q39" s="146">
        <f>(('Non-Ag Employment'!BS38-'Non-Ag Employment'!B38)/'Non-Ag Employment'!BN38)*100</f>
        <v>-7624.3243243243232</v>
      </c>
      <c r="R39" s="146">
        <f>(('Non-Ag Employment'!CG38-'Non-Ag Employment'!CB38)/'Non-Ag Employment'!CB38)*100</f>
        <v>9.5890410958904013</v>
      </c>
      <c r="S39" s="146">
        <f>(('Non-Ag Employment'!CU38-'Non-Ag Employment'!CP38)/'Non-Ag Employment'!CP38)*100</f>
        <v>4.3478260869565188</v>
      </c>
      <c r="T39" s="146">
        <f>(('Non-Ag Employment'!DI38-'Non-Ag Employment'!DD38)/'Non-Ag Employment'!DD38)*100</f>
        <v>6.7864271457085801</v>
      </c>
      <c r="U39" s="146">
        <f>(('Non-Ag Employment'!DW38-'Non-Ag Employment'!DR38)/'Non-Ag Employment'!DR38)*100</f>
        <v>-3.9942938659058451</v>
      </c>
      <c r="V39" s="147" t="s">
        <v>46</v>
      </c>
    </row>
    <row r="40" spans="1:22">
      <c r="A40" s="22" t="s">
        <v>47</v>
      </c>
      <c r="B40" s="22"/>
      <c r="C40" s="22">
        <f>'Non-Ag Employment'!O39</f>
        <v>32828.400000000001</v>
      </c>
      <c r="D40" s="22">
        <f>'Non-Ag Employment'!AC39</f>
        <v>1533.2</v>
      </c>
      <c r="E40" s="22">
        <f>'Non-Ag Employment'!AQ39</f>
        <v>4053.5000000000005</v>
      </c>
      <c r="F40" s="22">
        <f>'Non-Ag Employment'!BE39</f>
        <v>6302.6</v>
      </c>
      <c r="G40" s="22">
        <f>'Non-Ag Employment'!BS39</f>
        <v>454.5</v>
      </c>
      <c r="H40" s="22">
        <f>'Non-Ag Employment'!CG39</f>
        <v>6308.7</v>
      </c>
      <c r="I40" s="22">
        <f>'Non-Ag Employment'!CU39</f>
        <v>5193.6000000000004</v>
      </c>
      <c r="J40" s="22">
        <f>'Non-Ag Employment'!DI39</f>
        <v>4363.0999999999995</v>
      </c>
      <c r="K40" s="22">
        <f>'Non-Ag Employment'!DW39</f>
        <v>4628.7</v>
      </c>
      <c r="L40" s="130"/>
      <c r="M40" s="30">
        <f>(('Non-Ag Employment'!O39-'Non-Ag Employment'!J39)/'Non-Ag Employment'!J39)*100</f>
        <v>0.49438422378616775</v>
      </c>
      <c r="N40" s="30">
        <f>(('Non-Ag Employment'!AC39-'Non-Ag Employment'!X39)/'Non-Ag Employment'!X39)*100</f>
        <v>8.8070399545809313</v>
      </c>
      <c r="O40" s="87">
        <f>(('Non-Ag Employment'!AQ39-'Non-Ag Employment'!AL39)/'Non-Ag Employment'!AL39)*100</f>
        <v>1.1958258438186904</v>
      </c>
      <c r="P40" s="87">
        <f>(('Non-Ag Employment'!BE39-'Non-Ag Employment'!AZ39)/'Non-Ag Employment'!AZ39)*100</f>
        <v>1.4258126810428273</v>
      </c>
      <c r="Q40" s="30">
        <f>(('Non-Ag Employment'!BS39-'Non-Ag Employment'!BN39)/'Non-Ag Employment'!BN39)*100</f>
        <v>-4.9362058146831247</v>
      </c>
      <c r="R40" s="30">
        <f>(('Non-Ag Employment'!CG39-'Non-Ag Employment'!CB39)/'Non-Ag Employment'!CB39)*100</f>
        <v>3.3874139626351827</v>
      </c>
      <c r="S40" s="30">
        <f>(('Non-Ag Employment'!CU39-'Non-Ag Employment'!CP39)/'Non-Ag Employment'!CP39)*100</f>
        <v>0.63361041678776597</v>
      </c>
      <c r="T40" s="87">
        <f>(('Non-Ag Employment'!DI39-'Non-Ag Employment'!DD39)/'Non-Ag Employment'!DD39)*100</f>
        <v>-3.8329292484020403</v>
      </c>
      <c r="U40" s="87">
        <f>(('Non-Ag Employment'!DW39-'Non-Ag Employment'!DR39)/'Non-Ag Employment'!DR39)*100</f>
        <v>-2.7849536891185256</v>
      </c>
      <c r="V40" s="23" t="s">
        <v>47</v>
      </c>
    </row>
    <row r="41" spans="1:22" ht="14.45">
      <c r="A41" s="22" t="s">
        <v>16</v>
      </c>
      <c r="B41" s="22"/>
      <c r="C41" s="22">
        <f>'Non-Ag Employment'!O40</f>
        <v>21.515420026635066</v>
      </c>
      <c r="D41" s="22">
        <f>'Non-Ag Employment'!AC40</f>
        <v>18.375540827210955</v>
      </c>
      <c r="E41" s="22">
        <f>'Non-Ag Employment'!AQ40</f>
        <v>31.701155897580279</v>
      </c>
      <c r="F41" s="22">
        <f>'Non-Ag Employment'!BE40</f>
        <v>21.99131178143373</v>
      </c>
      <c r="G41" s="22">
        <f>'Non-Ag Employment'!BS40</f>
        <v>14.886996396986572</v>
      </c>
      <c r="H41" s="22">
        <f>'Non-Ag Employment'!CG40</f>
        <v>19.918478432462123</v>
      </c>
      <c r="I41" s="22">
        <f>'Non-Ag Employment'!CU40</f>
        <v>21.332457077137935</v>
      </c>
      <c r="J41" s="22">
        <f>'Non-Ag Employment'!DI40</f>
        <v>20.261447014024327</v>
      </c>
      <c r="K41" s="22">
        <f>'Non-Ag Employment'!DW40</f>
        <v>20.768516316613646</v>
      </c>
      <c r="L41" s="131"/>
      <c r="M41" s="30"/>
      <c r="N41" s="30"/>
      <c r="O41" s="87"/>
      <c r="P41" s="87"/>
      <c r="Q41" s="30"/>
      <c r="R41" s="30"/>
      <c r="S41" s="30"/>
      <c r="T41" s="87"/>
      <c r="U41" s="87"/>
      <c r="V41" s="23"/>
    </row>
    <row r="42" spans="1:22" s="123" customFormat="1">
      <c r="A42" s="93" t="s">
        <v>48</v>
      </c>
      <c r="B42" s="93"/>
      <c r="C42" s="93">
        <f>'Non-Ag Employment'!O41</f>
        <v>6032.8</v>
      </c>
      <c r="D42" s="93">
        <f>'Non-Ag Employment'!AC41</f>
        <v>237.5</v>
      </c>
      <c r="E42" s="93">
        <f>'Non-Ag Employment'!AQ41</f>
        <v>569.70000000000005</v>
      </c>
      <c r="F42" s="93">
        <f>'Non-Ag Employment'!BE41</f>
        <v>1217.3</v>
      </c>
      <c r="G42" s="93">
        <f>'Non-Ag Employment'!BS41</f>
        <v>95.3</v>
      </c>
      <c r="H42" s="93">
        <f>'Non-Ag Employment'!CG41</f>
        <v>1377</v>
      </c>
      <c r="I42" s="93">
        <f>'Non-Ag Employment'!CU41</f>
        <v>931.7</v>
      </c>
      <c r="J42" s="93">
        <f>'Non-Ag Employment'!DI41</f>
        <v>813.1</v>
      </c>
      <c r="K42" s="93">
        <f>'Non-Ag Employment'!DW41</f>
        <v>791.3</v>
      </c>
      <c r="L42" s="132"/>
      <c r="M42" s="133">
        <f>(('Non-Ag Employment'!O41-'Non-Ag Employment'!J41)/'Non-Ag Employment'!J41)*100</f>
        <v>-0.48825547637898281</v>
      </c>
      <c r="N42" s="133">
        <f>(('Non-Ag Employment'!AC41-'Non-Ag Employment'!X41)/'Non-Ag Employment'!X41)*100</f>
        <v>4.1666666666666661</v>
      </c>
      <c r="O42" s="133">
        <f>(('Non-Ag Employment'!AQ41-'Non-Ag Employment'!AL41)/'Non-Ag Employment'!AL41)*100</f>
        <v>-1.2138026703658746</v>
      </c>
      <c r="P42" s="133">
        <f>(('Non-Ag Employment'!BE41-'Non-Ag Employment'!AZ41)/'Non-Ag Employment'!AZ41)*100</f>
        <v>0.34622042700519706</v>
      </c>
      <c r="Q42" s="133">
        <f>(('Non-Ag Employment'!BS41-'Non-Ag Employment'!BN41)/'Non-Ag Employment'!BN41)*100</f>
        <v>-1.8537590113285245</v>
      </c>
      <c r="R42" s="133">
        <f>(('Non-Ag Employment'!CG41-'Non-Ag Employment'!CB41)/'Non-Ag Employment'!CB41)*100</f>
        <v>3.432734920754136</v>
      </c>
      <c r="S42" s="133">
        <f>(('Non-Ag Employment'!CU41-'Non-Ag Employment'!CP41)/'Non-Ag Employment'!CP41)*100</f>
        <v>0.85516345529336335</v>
      </c>
      <c r="T42" s="133">
        <f>(('Non-Ag Employment'!DI41-'Non-Ag Employment'!DD41)/'Non-Ag Employment'!DD41)*100</f>
        <v>-5.6181079512478211</v>
      </c>
      <c r="U42" s="133">
        <f>(('Non-Ag Employment'!DW41-'Non-Ag Employment'!DR41)/'Non-Ag Employment'!DR41)*100</f>
        <v>-4.7888340753218701</v>
      </c>
      <c r="V42" s="134" t="s">
        <v>48</v>
      </c>
    </row>
    <row r="43" spans="1:22" s="123" customFormat="1">
      <c r="A43" s="93" t="s">
        <v>49</v>
      </c>
      <c r="B43" s="93"/>
      <c r="C43" s="93">
        <f>'Non-Ag Employment'!O42</f>
        <v>3193.6</v>
      </c>
      <c r="D43" s="93">
        <f>'Non-Ag Employment'!AC42</f>
        <v>162.1</v>
      </c>
      <c r="E43" s="93">
        <f>'Non-Ag Employment'!AQ42</f>
        <v>541.6</v>
      </c>
      <c r="F43" s="93">
        <f>'Non-Ag Employment'!BE42</f>
        <v>630.70000000000005</v>
      </c>
      <c r="G43" s="93">
        <f>'Non-Ag Employment'!BS42</f>
        <v>26.9</v>
      </c>
      <c r="H43" s="93">
        <f>'Non-Ag Employment'!CG42</f>
        <v>517</v>
      </c>
      <c r="I43" s="93">
        <f>'Non-Ag Employment'!CU42</f>
        <v>475</v>
      </c>
      <c r="J43" s="93">
        <f>'Non-Ag Employment'!DI42</f>
        <v>429.40000000000003</v>
      </c>
      <c r="K43" s="93">
        <f>'Non-Ag Employment'!DW42</f>
        <v>411</v>
      </c>
      <c r="L43" s="132"/>
      <c r="M43" s="133">
        <f>(('Non-Ag Employment'!O42-'Non-Ag Employment'!J42)/'Non-Ag Employment'!J42)*100</f>
        <v>2.853462157809981</v>
      </c>
      <c r="N43" s="133">
        <f>(('Non-Ag Employment'!AC42-'Non-Ag Employment'!X42)/'Non-Ag Employment'!X42)*100</f>
        <v>12.883008356545961</v>
      </c>
      <c r="O43" s="133">
        <f>(('Non-Ag Employment'!AQ42-'Non-Ag Employment'!AL42)/'Non-Ag Employment'!AL42)*100</f>
        <v>2.0154454699566862</v>
      </c>
      <c r="P43" s="133">
        <f>(('Non-Ag Employment'!BE42-'Non-Ag Employment'!AZ42)/'Non-Ag Employment'!AZ42)*100</f>
        <v>5.6625900485843639</v>
      </c>
      <c r="Q43" s="133">
        <f>(('Non-Ag Employment'!BS42-'Non-Ag Employment'!BN42)/'Non-Ag Employment'!BN42)*100</f>
        <v>-14.331210191082802</v>
      </c>
      <c r="R43" s="133">
        <f>(('Non-Ag Employment'!CG42-'Non-Ag Employment'!CB42)/'Non-Ag Employment'!CB42)*100</f>
        <v>9.3716945208377442</v>
      </c>
      <c r="S43" s="133">
        <f>(('Non-Ag Employment'!CU42-'Non-Ag Employment'!CP42)/'Non-Ag Employment'!CP42)*100</f>
        <v>1.2145748987854228</v>
      </c>
      <c r="T43" s="133">
        <f>(('Non-Ag Employment'!DI42-'Non-Ag Employment'!DD42)/'Non-Ag Employment'!DD42)*100</f>
        <v>-0.99146875720543104</v>
      </c>
      <c r="U43" s="133">
        <f>(('Non-Ag Employment'!DW42-'Non-Ag Employment'!DR42)/'Non-Ag Employment'!DR42)*100</f>
        <v>-3.6342321219226257</v>
      </c>
      <c r="V43" s="134" t="s">
        <v>49</v>
      </c>
    </row>
    <row r="44" spans="1:22" s="123" customFormat="1">
      <c r="A44" s="93" t="s">
        <v>50</v>
      </c>
      <c r="B44" s="93"/>
      <c r="C44" s="93">
        <f>'Non-Ag Employment'!O43</f>
        <v>1570.3</v>
      </c>
      <c r="D44" s="93">
        <f>'Non-Ag Employment'!AC43</f>
        <v>83.3</v>
      </c>
      <c r="E44" s="93">
        <f>'Non-Ag Employment'!AQ43</f>
        <v>223.7</v>
      </c>
      <c r="F44" s="93">
        <f>'Non-Ag Employment'!BE43</f>
        <v>312.60000000000002</v>
      </c>
      <c r="G44" s="93">
        <f>'Non-Ag Employment'!BS43</f>
        <v>19.100000000000001</v>
      </c>
      <c r="H44" s="93">
        <f>'Non-Ag Employment'!CG43</f>
        <v>254.3</v>
      </c>
      <c r="I44" s="93">
        <f>'Non-Ag Employment'!CU43</f>
        <v>227.3</v>
      </c>
      <c r="J44" s="93">
        <f>'Non-Ag Employment'!DI43</f>
        <v>192.7</v>
      </c>
      <c r="K44" s="93">
        <f>'Non-Ag Employment'!DW43</f>
        <v>257.3</v>
      </c>
      <c r="L44" s="132"/>
      <c r="M44" s="133">
        <f>(('Non-Ag Employment'!O43-'Non-Ag Employment'!J43)/'Non-Ag Employment'!J43)*100</f>
        <v>-0.12720218787763152</v>
      </c>
      <c r="N44" s="133">
        <f>(('Non-Ag Employment'!AC43-'Non-Ag Employment'!X43)/'Non-Ag Employment'!X43)*100</f>
        <v>6.5217391304347752</v>
      </c>
      <c r="O44" s="133">
        <f>(('Non-Ag Employment'!AQ43-'Non-Ag Employment'!AL43)/'Non-Ag Employment'!AL43)*100</f>
        <v>3.4211742949606916</v>
      </c>
      <c r="P44" s="133">
        <f>(('Non-Ag Employment'!BE43-'Non-Ag Employment'!AZ43)/'Non-Ag Employment'!AZ43)*100</f>
        <v>-0.66730219256433621</v>
      </c>
      <c r="Q44" s="133">
        <f>(('Non-Ag Employment'!BS43-'Non-Ag Employment'!BN43)/'Non-Ag Employment'!BN43)*100</f>
        <v>-13.181818181818175</v>
      </c>
      <c r="R44" s="133">
        <f>(('Non-Ag Employment'!CG43-'Non-Ag Employment'!CB43)/'Non-Ag Employment'!CB43)*100</f>
        <v>2.2928399034593676</v>
      </c>
      <c r="S44" s="133">
        <f>(('Non-Ag Employment'!CU43-'Non-Ag Employment'!CP43)/'Non-Ag Employment'!CP43)*100</f>
        <v>-1.8142548596112262</v>
      </c>
      <c r="T44" s="133">
        <f>(('Non-Ag Employment'!DI43-'Non-Ag Employment'!DD43)/'Non-Ag Employment'!DD43)*100</f>
        <v>-4.0338645418326804</v>
      </c>
      <c r="U44" s="133">
        <f>(('Non-Ag Employment'!DW43-'Non-Ag Employment'!DR43)/'Non-Ag Employment'!DR43)*100</f>
        <v>-1.152516327314637</v>
      </c>
      <c r="V44" s="134" t="s">
        <v>50</v>
      </c>
    </row>
    <row r="45" spans="1:22" s="123" customFormat="1">
      <c r="A45" s="93" t="s">
        <v>51</v>
      </c>
      <c r="B45" s="93"/>
      <c r="C45" s="93">
        <f>'Non-Ag Employment'!O44</f>
        <v>1418.6</v>
      </c>
      <c r="D45" s="93">
        <f>'Non-Ag Employment'!AC44</f>
        <v>71</v>
      </c>
      <c r="E45" s="93">
        <f>'Non-Ag Employment'!AQ44</f>
        <v>169.4</v>
      </c>
      <c r="F45" s="93">
        <f>'Non-Ag Employment'!BE44</f>
        <v>272.7</v>
      </c>
      <c r="G45" s="93">
        <f>'Non-Ag Employment'!BS44</f>
        <v>18.2</v>
      </c>
      <c r="H45" s="93">
        <f>'Non-Ag Employment'!CG44</f>
        <v>257.39999999999998</v>
      </c>
      <c r="I45" s="93">
        <f>'Non-Ag Employment'!CU44</f>
        <v>200</v>
      </c>
      <c r="J45" s="93">
        <f>'Non-Ag Employment'!DI44</f>
        <v>178.5</v>
      </c>
      <c r="K45" s="93">
        <f>'Non-Ag Employment'!DW44</f>
        <v>251.3</v>
      </c>
      <c r="L45" s="132"/>
      <c r="M45" s="133">
        <f>(('Non-Ag Employment'!O44-'Non-Ag Employment'!J44)/'Non-Ag Employment'!J44)*100</f>
        <v>1.0686805357651752</v>
      </c>
      <c r="N45" s="133">
        <f>(('Non-Ag Employment'!AC44-'Non-Ag Employment'!X44)/'Non-Ag Employment'!X44)*100</f>
        <v>5.8122205663189357</v>
      </c>
      <c r="O45" s="133">
        <f>(('Non-Ag Employment'!AQ44-'Non-Ag Employment'!AL44)/'Non-Ag Employment'!AL44)*100</f>
        <v>4.8267326732673341</v>
      </c>
      <c r="P45" s="133">
        <f>(('Non-Ag Employment'!BE44-'Non-Ag Employment'!AZ44)/'Non-Ag Employment'!AZ44)*100</f>
        <v>1.8677624206200973</v>
      </c>
      <c r="Q45" s="133">
        <f>(('Non-Ag Employment'!BS44-'Non-Ag Employment'!BN44)/'Non-Ag Employment'!BN44)*100</f>
        <v>-6.185567010309275</v>
      </c>
      <c r="R45" s="133">
        <f>(('Non-Ag Employment'!CG44-'Non-Ag Employment'!CB44)/'Non-Ag Employment'!CB44)*100</f>
        <v>0.74363992172210458</v>
      </c>
      <c r="S45" s="133">
        <f>(('Non-Ag Employment'!CU44-'Non-Ag Employment'!CP44)/'Non-Ag Employment'!CP44)*100</f>
        <v>1.5228426395939088</v>
      </c>
      <c r="T45" s="133">
        <f>(('Non-Ag Employment'!DI44-'Non-Ag Employment'!DD44)/'Non-Ag Employment'!DD44)*100</f>
        <v>-0.39062499999999367</v>
      </c>
      <c r="U45" s="133">
        <f>(('Non-Ag Employment'!DW44-'Non-Ag Employment'!DR44)/'Non-Ag Employment'!DR44)*100</f>
        <v>-1.950838860710105</v>
      </c>
      <c r="V45" s="134" t="s">
        <v>51</v>
      </c>
    </row>
    <row r="46" spans="1:22">
      <c r="A46" s="22" t="s">
        <v>52</v>
      </c>
      <c r="B46" s="22"/>
      <c r="C46" s="22">
        <f>'Non-Ag Employment'!O45</f>
        <v>4362.2</v>
      </c>
      <c r="D46" s="22">
        <f>'Non-Ag Employment'!AC45</f>
        <v>191.1</v>
      </c>
      <c r="E46" s="22">
        <f>'Non-Ag Employment'!AQ45</f>
        <v>603.20000000000005</v>
      </c>
      <c r="F46" s="22">
        <f>'Non-Ag Employment'!BE45</f>
        <v>804</v>
      </c>
      <c r="G46" s="22">
        <f>'Non-Ag Employment'!BS45</f>
        <v>56.4</v>
      </c>
      <c r="H46" s="22">
        <f>'Non-Ag Employment'!CG45</f>
        <v>890</v>
      </c>
      <c r="I46" s="22">
        <f>'Non-Ag Employment'!CU45</f>
        <v>661.8</v>
      </c>
      <c r="J46" s="22">
        <f>'Non-Ag Employment'!DI45</f>
        <v>566</v>
      </c>
      <c r="K46" s="22">
        <f>'Non-Ag Employment'!DW45</f>
        <v>589.79999999999995</v>
      </c>
      <c r="L46" s="130"/>
      <c r="M46" s="87">
        <f>(('Non-Ag Employment'!O45-'Non-Ag Employment'!J45)/'Non-Ag Employment'!J45)*100</f>
        <v>-0.20817605746575074</v>
      </c>
      <c r="N46" s="30">
        <f>(('Non-Ag Employment'!AC45-'Non-Ag Employment'!X45)/'Non-Ag Employment'!X45)*100</f>
        <v>12.477928193054732</v>
      </c>
      <c r="O46" s="87">
        <f>(('Non-Ag Employment'!AQ45-'Non-Ag Employment'!AL45)/'Non-Ag Employment'!AL45)*100</f>
        <v>-1.8708312998210508</v>
      </c>
      <c r="P46" s="87">
        <f>(('Non-Ag Employment'!BE45-'Non-Ag Employment'!AZ45)/'Non-Ag Employment'!AZ45)*100</f>
        <v>2.0175104682146907</v>
      </c>
      <c r="Q46" s="30">
        <f>(('Non-Ag Employment'!BS45-'Non-Ag Employment'!BN45)/'Non-Ag Employment'!BN45)*100</f>
        <v>-0.1769911504424804</v>
      </c>
      <c r="R46" s="30">
        <f>(('Non-Ag Employment'!CG45-'Non-Ag Employment'!CB45)/'Non-Ag Employment'!CB45)*100</f>
        <v>2.7357728269652464</v>
      </c>
      <c r="S46" s="30">
        <f>(('Non-Ag Employment'!CU45-'Non-Ag Employment'!CP45)/'Non-Ag Employment'!CP45)*100</f>
        <v>-1.4151646059883809</v>
      </c>
      <c r="T46" s="87">
        <f>(('Non-Ag Employment'!DI45-'Non-Ag Employment'!DD45)/'Non-Ag Employment'!DD45)*100</f>
        <v>-5.7609057609057643</v>
      </c>
      <c r="U46" s="87">
        <f>(('Non-Ag Employment'!DW45-'Non-Ag Employment'!DR45)/'Non-Ag Employment'!DR45)*100</f>
        <v>-2.3509933774834515</v>
      </c>
      <c r="V46" s="23" t="s">
        <v>52</v>
      </c>
    </row>
    <row r="47" spans="1:22">
      <c r="A47" s="22" t="s">
        <v>53</v>
      </c>
      <c r="B47" s="22"/>
      <c r="C47" s="22">
        <f>'Non-Ag Employment'!O46</f>
        <v>2933.7</v>
      </c>
      <c r="D47" s="22">
        <f>'Non-Ag Employment'!AC46</f>
        <v>139</v>
      </c>
      <c r="E47" s="22">
        <f>'Non-Ag Employment'!AQ46</f>
        <v>323.8</v>
      </c>
      <c r="F47" s="22">
        <f>'Non-Ag Employment'!BE46</f>
        <v>525.79999999999995</v>
      </c>
      <c r="G47" s="22">
        <f>'Non-Ag Employment'!BS46</f>
        <v>45.5</v>
      </c>
      <c r="H47" s="22">
        <f>'Non-Ag Employment'!CG46</f>
        <v>579.4</v>
      </c>
      <c r="I47" s="22">
        <f>'Non-Ag Employment'!CU46</f>
        <v>548.5</v>
      </c>
      <c r="J47" s="22">
        <f>'Non-Ag Employment'!DI46</f>
        <v>363</v>
      </c>
      <c r="K47" s="22">
        <f>'Non-Ag Employment'!DW46</f>
        <v>408.7</v>
      </c>
      <c r="L47" s="130"/>
      <c r="M47" s="87">
        <f>(('Non-Ag Employment'!O46-'Non-Ag Employment'!J46)/'Non-Ag Employment'!J46)*100</f>
        <v>0.11261261261260329</v>
      </c>
      <c r="N47" s="30">
        <f>(('Non-Ag Employment'!AC46-'Non-Ag Employment'!X46)/'Non-Ag Employment'!X46)*100</f>
        <v>10.229976209357657</v>
      </c>
      <c r="O47" s="87">
        <f>(('Non-Ag Employment'!AQ46-'Non-Ag Employment'!AL46)/'Non-Ag Employment'!AL46)*100</f>
        <v>1.7279296261388626</v>
      </c>
      <c r="P47" s="87">
        <f>(('Non-Ag Employment'!BE46-'Non-Ag Employment'!AZ46)/'Non-Ag Employment'!AZ46)*100</f>
        <v>-2.1767441860465202</v>
      </c>
      <c r="Q47" s="30">
        <f>(('Non-Ag Employment'!BS46-'Non-Ag Employment'!BN46)/'Non-Ag Employment'!BN46)*100</f>
        <v>-9.7222222222222197</v>
      </c>
      <c r="R47" s="30">
        <f>(('Non-Ag Employment'!CG46-'Non-Ag Employment'!CB46)/'Non-Ag Employment'!CB46)*100</f>
        <v>4.6037190828669434</v>
      </c>
      <c r="S47" s="30">
        <f>(('Non-Ag Employment'!CU46-'Non-Ag Employment'!CP46)/'Non-Ag Employment'!CP46)*100</f>
        <v>2.8116213683223994</v>
      </c>
      <c r="T47" s="87">
        <f>(('Non-Ag Employment'!DI46-'Non-Ag Employment'!DD46)/'Non-Ag Employment'!DD46)*100</f>
        <v>-6.0802069857697285</v>
      </c>
      <c r="U47" s="87">
        <f>(('Non-Ag Employment'!DW46-'Non-Ag Employment'!DR46)/'Non-Ag Employment'!DR46)*100</f>
        <v>-3.6539368222536539</v>
      </c>
      <c r="V47" s="23" t="s">
        <v>53</v>
      </c>
    </row>
    <row r="48" spans="1:22">
      <c r="A48" s="22" t="s">
        <v>54</v>
      </c>
      <c r="B48" s="22"/>
      <c r="C48" s="22">
        <f>'Non-Ag Employment'!O47</f>
        <v>2927.9</v>
      </c>
      <c r="D48" s="22">
        <f>'Non-Ag Employment'!AC47</f>
        <v>143</v>
      </c>
      <c r="E48" s="22">
        <f>'Non-Ag Employment'!AQ47</f>
        <v>282.60000000000002</v>
      </c>
      <c r="F48" s="22">
        <f>'Non-Ag Employment'!BE47</f>
        <v>557.5</v>
      </c>
      <c r="G48" s="22">
        <f>'Non-Ag Employment'!BS47</f>
        <v>48.5</v>
      </c>
      <c r="H48" s="22">
        <f>'Non-Ag Employment'!CG47</f>
        <v>569.79999999999995</v>
      </c>
      <c r="I48" s="22">
        <f>'Non-Ag Employment'!CU47</f>
        <v>488.6</v>
      </c>
      <c r="J48" s="22">
        <f>'Non-Ag Employment'!DI47</f>
        <v>412</v>
      </c>
      <c r="K48" s="22">
        <f>'Non-Ag Employment'!DW47</f>
        <v>426.1</v>
      </c>
      <c r="L48" s="130"/>
      <c r="M48" s="87">
        <f>(('Non-Ag Employment'!O47-'Non-Ag Employment'!J47)/'Non-Ag Employment'!J47)*100</f>
        <v>2.0636525255342235</v>
      </c>
      <c r="N48" s="30">
        <f>(('Non-Ag Employment'!AC47-'Non-Ag Employment'!X47)/'Non-Ag Employment'!X47)*100</f>
        <v>12.156862745098039</v>
      </c>
      <c r="O48" s="87">
        <f>(('Non-Ag Employment'!AQ47-'Non-Ag Employment'!AL47)/'Non-Ag Employment'!AL47)*100</f>
        <v>6.1607813673929508</v>
      </c>
      <c r="P48" s="87">
        <f>(('Non-Ag Employment'!BE47-'Non-Ag Employment'!AZ47)/'Non-Ag Employment'!AZ47)*100</f>
        <v>2.1810850439882654</v>
      </c>
      <c r="Q48" s="30">
        <f>(('Non-Ag Employment'!BS47-'Non-Ag Employment'!BN47)/'Non-Ag Employment'!BN47)*100</f>
        <v>-5.825242718446602</v>
      </c>
      <c r="R48" s="30">
        <f>(('Non-Ag Employment'!CG47-'Non-Ag Employment'!CB47)/'Non-Ag Employment'!CB47)*100</f>
        <v>2.2796625381439473</v>
      </c>
      <c r="S48" s="30">
        <f>(('Non-Ag Employment'!CU47-'Non-Ag Employment'!CP47)/'Non-Ag Employment'!CP47)*100</f>
        <v>4.8948046371833431</v>
      </c>
      <c r="T48" s="87">
        <f>(('Non-Ag Employment'!DI47-'Non-Ag Employment'!DD47)/'Non-Ag Employment'!DD47)*100</f>
        <v>-1.9514516896715954</v>
      </c>
      <c r="U48" s="87">
        <f>(('Non-Ag Employment'!DW47-'Non-Ag Employment'!DR47)/'Non-Ag Employment'!DR47)*100</f>
        <v>-1.9783758914193619</v>
      </c>
      <c r="V48" s="23" t="s">
        <v>54</v>
      </c>
    </row>
    <row r="49" spans="1:22">
      <c r="A49" s="22" t="s">
        <v>55</v>
      </c>
      <c r="B49" s="22"/>
      <c r="C49" s="22">
        <f>'Non-Ag Employment'!O48</f>
        <v>1026</v>
      </c>
      <c r="D49" s="22">
        <f>'Non-Ag Employment'!AC48</f>
        <v>59.3</v>
      </c>
      <c r="E49" s="22">
        <f>'Non-Ag Employment'!AQ48</f>
        <v>103.4</v>
      </c>
      <c r="F49" s="22">
        <f>'Non-Ag Employment'!BE48</f>
        <v>196.5</v>
      </c>
      <c r="G49" s="22">
        <f>'Non-Ag Employment'!BS48</f>
        <v>18</v>
      </c>
      <c r="H49" s="22">
        <f>'Non-Ag Employment'!CG48</f>
        <v>192.9</v>
      </c>
      <c r="I49" s="22">
        <f>'Non-Ag Employment'!CU48</f>
        <v>156.30000000000001</v>
      </c>
      <c r="J49" s="22">
        <f>'Non-Ag Employment'!DI48</f>
        <v>129.4</v>
      </c>
      <c r="K49" s="22">
        <f>'Non-Ag Employment'!DW48</f>
        <v>170.2</v>
      </c>
      <c r="L49" s="130"/>
      <c r="M49" s="87">
        <f>(('Non-Ag Employment'!O48-'Non-Ag Employment'!J48)/'Non-Ag Employment'!J48)*100</f>
        <v>0.82547169811320531</v>
      </c>
      <c r="N49" s="30">
        <f>(('Non-Ag Employment'!AC48-'Non-Ag Employment'!X48)/'Non-Ag Employment'!X48)*100</f>
        <v>14.25818882466281</v>
      </c>
      <c r="O49" s="87">
        <f>(('Non-Ag Employment'!AQ48-'Non-Ag Employment'!AL48)/'Non-Ag Employment'!AL48)*100</f>
        <v>5.4026503567788087</v>
      </c>
      <c r="P49" s="87">
        <f>(('Non-Ag Employment'!BE48-'Non-Ag Employment'!AZ48)/'Non-Ag Employment'!AZ48)*100</f>
        <v>-3.1065088757396504</v>
      </c>
      <c r="Q49" s="30">
        <f>(('Non-Ag Employment'!BS48-'Non-Ag Employment'!BN48)/'Non-Ag Employment'!BN48)*100</f>
        <v>-1.098901098901095</v>
      </c>
      <c r="R49" s="30">
        <f>(('Non-Ag Employment'!CG48-'Non-Ag Employment'!CB48)/'Non-Ag Employment'!CB48)*100</f>
        <v>0.83638264506011206</v>
      </c>
      <c r="S49" s="30">
        <f>(('Non-Ag Employment'!CU48-'Non-Ag Employment'!CP48)/'Non-Ag Employment'!CP48)*100</f>
        <v>1.2305699481865322</v>
      </c>
      <c r="T49" s="87">
        <f>(('Non-Ag Employment'!DI48-'Non-Ag Employment'!DD48)/'Non-Ag Employment'!DD48)*100</f>
        <v>0.77881619937694702</v>
      </c>
      <c r="U49" s="87">
        <f>(('Non-Ag Employment'!DW48-'Non-Ag Employment'!DR48)/'Non-Ag Employment'!DR48)*100</f>
        <v>-1.4475969889982629</v>
      </c>
      <c r="V49" s="23" t="s">
        <v>55</v>
      </c>
    </row>
    <row r="50" spans="1:22" s="123" customFormat="1">
      <c r="A50" s="93" t="s">
        <v>56</v>
      </c>
      <c r="B50" s="93"/>
      <c r="C50" s="93">
        <f>'Non-Ag Employment'!O49</f>
        <v>427.2</v>
      </c>
      <c r="D50" s="93">
        <f>'Non-Ag Employment'!AC49</f>
        <v>42.2</v>
      </c>
      <c r="E50" s="93">
        <f>'Non-Ag Employment'!AQ49</f>
        <v>27.3</v>
      </c>
      <c r="F50" s="93">
        <f>'Non-Ag Employment'!BE49</f>
        <v>90.5</v>
      </c>
      <c r="G50" s="93">
        <f>'Non-Ag Employment'!BS49</f>
        <v>5.8</v>
      </c>
      <c r="H50" s="93">
        <f>'Non-Ag Employment'!CG49</f>
        <v>59.1</v>
      </c>
      <c r="I50" s="93">
        <f>'Non-Ag Employment'!CU49</f>
        <v>67</v>
      </c>
      <c r="J50" s="93">
        <f>'Non-Ag Employment'!DI49</f>
        <v>51.7</v>
      </c>
      <c r="K50" s="93">
        <f>'Non-Ag Employment'!DW49</f>
        <v>81.8</v>
      </c>
      <c r="L50" s="132"/>
      <c r="M50" s="133">
        <f>(('Non-Ag Employment'!O49-'Non-Ag Employment'!J49)/'Non-Ag Employment'!J49)*100</f>
        <v>-0.76655052264808621</v>
      </c>
      <c r="N50" s="133">
        <f>(('Non-Ag Employment'!AC49-'Non-Ag Employment'!X49)/'Non-Ag Employment'!X49)*100</f>
        <v>-5.8035714285714164</v>
      </c>
      <c r="O50" s="133">
        <f>(('Non-Ag Employment'!AQ49-'Non-Ag Employment'!AL49)/'Non-Ag Employment'!AL49)*100</f>
        <v>10.52631578947369</v>
      </c>
      <c r="P50" s="133">
        <f>(('Non-Ag Employment'!BE49-'Non-Ag Employment'!AZ49)/'Non-Ag Employment'!AZ49)*100</f>
        <v>-4.5358649789029508</v>
      </c>
      <c r="Q50" s="133">
        <f>(('Non-Ag Employment'!BS49-'Non-Ag Employment'!BN49)/'Non-Ag Employment'!BN49)*100</f>
        <v>-10.769230769230772</v>
      </c>
      <c r="R50" s="133">
        <f>(('Non-Ag Employment'!CG49-'Non-Ag Employment'!CB49)/'Non-Ag Employment'!CB49)*100</f>
        <v>0.33955857385399468</v>
      </c>
      <c r="S50" s="133">
        <f>(('Non-Ag Employment'!CU49-'Non-Ag Employment'!CP49)/'Non-Ag Employment'!CP49)*100</f>
        <v>6.1806656101426283</v>
      </c>
      <c r="T50" s="133">
        <f>(('Non-Ag Employment'!DI49-'Non-Ag Employment'!DD49)/'Non-Ag Employment'!DD49)*100</f>
        <v>-6.6787003610108346</v>
      </c>
      <c r="U50" s="133">
        <f>(('Non-Ag Employment'!DW49-'Non-Ag Employment'!DR49)/'Non-Ag Employment'!DR49)*100</f>
        <v>-0.72815533980583547</v>
      </c>
      <c r="V50" s="134" t="s">
        <v>56</v>
      </c>
    </row>
    <row r="51" spans="1:22" s="123" customFormat="1">
      <c r="A51" s="93" t="s">
        <v>57</v>
      </c>
      <c r="B51" s="93"/>
      <c r="C51" s="93">
        <f>'Non-Ag Employment'!O50</f>
        <v>5529.3</v>
      </c>
      <c r="D51" s="93">
        <f>'Non-Ag Employment'!AC50</f>
        <v>242.5</v>
      </c>
      <c r="E51" s="93">
        <f>'Non-Ag Employment'!AQ50</f>
        <v>682.5</v>
      </c>
      <c r="F51" s="93">
        <f>'Non-Ag Employment'!BE50</f>
        <v>1056.4000000000001</v>
      </c>
      <c r="G51" s="93">
        <f>'Non-Ag Employment'!BS50</f>
        <v>69.2</v>
      </c>
      <c r="H51" s="93">
        <f>'Non-Ag Employment'!CG50</f>
        <v>1060.5999999999999</v>
      </c>
      <c r="I51" s="93">
        <f>'Non-Ag Employment'!CU50</f>
        <v>904.2</v>
      </c>
      <c r="J51" s="93">
        <f>'Non-Ag Employment'!DI50</f>
        <v>748.5</v>
      </c>
      <c r="K51" s="93">
        <f>'Non-Ag Employment'!DW50</f>
        <v>765.5</v>
      </c>
      <c r="L51" s="132"/>
      <c r="M51" s="133">
        <f>(('Non-Ag Employment'!O50-'Non-Ag Employment'!J50)/'Non-Ag Employment'!J50)*100</f>
        <v>6.1528438806358172E-2</v>
      </c>
      <c r="N51" s="133">
        <f>(('Non-Ag Employment'!AC50-'Non-Ag Employment'!X50)/'Non-Ag Employment'!X50)*100</f>
        <v>6.499780412823883</v>
      </c>
      <c r="O51" s="133">
        <f>(('Non-Ag Employment'!AQ50-'Non-Ag Employment'!AL50)/'Non-Ag Employment'!AL50)*100</f>
        <v>-0.62609202096679595</v>
      </c>
      <c r="P51" s="133">
        <f>(('Non-Ag Employment'!BE50-'Non-Ag Employment'!AZ50)/'Non-Ag Employment'!AZ50)*100</f>
        <v>3.1439172036711622</v>
      </c>
      <c r="Q51" s="133">
        <f>(('Non-Ag Employment'!BS50-'Non-Ag Employment'!BN50)/'Non-Ag Employment'!BN50)*100</f>
        <v>-3.3519553072625579</v>
      </c>
      <c r="R51" s="133">
        <f>(('Non-Ag Employment'!CG50-'Non-Ag Employment'!CB50)/'Non-Ag Employment'!CB50)*100</f>
        <v>3.1010012637309092</v>
      </c>
      <c r="S51" s="133">
        <f>(('Non-Ag Employment'!CU50-'Non-Ag Employment'!CP50)/'Non-Ag Employment'!CP50)*100</f>
        <v>-2.6276114581089787</v>
      </c>
      <c r="T51" s="133">
        <f>(('Non-Ag Employment'!DI50-'Non-Ag Employment'!DD50)/'Non-Ag Employment'!DD50)*100</f>
        <v>-3.5562427522226403</v>
      </c>
      <c r="U51" s="133">
        <f>(('Non-Ag Employment'!DW50-'Non-Ag Employment'!DR50)/'Non-Ag Employment'!DR50)*100</f>
        <v>-2.1350038353362368</v>
      </c>
      <c r="V51" s="134" t="s">
        <v>57</v>
      </c>
    </row>
    <row r="52" spans="1:22" s="123" customFormat="1">
      <c r="A52" s="93" t="s">
        <v>58</v>
      </c>
      <c r="B52" s="93"/>
      <c r="C52" s="93">
        <f>'Non-Ag Employment'!O51</f>
        <v>452.5</v>
      </c>
      <c r="D52" s="93">
        <f>'Non-Ag Employment'!AC51</f>
        <v>27.2</v>
      </c>
      <c r="E52" s="93">
        <f>'Non-Ag Employment'!AQ51</f>
        <v>45.1</v>
      </c>
      <c r="F52" s="93">
        <f>'Non-Ag Employment'!BE51</f>
        <v>89.3</v>
      </c>
      <c r="G52" s="93">
        <f>'Non-Ag Employment'!BS51</f>
        <v>5.3</v>
      </c>
      <c r="H52" s="93">
        <f>'Non-Ag Employment'!CG51</f>
        <v>64.7</v>
      </c>
      <c r="I52" s="93">
        <f>'Non-Ag Employment'!CU51</f>
        <v>75.3</v>
      </c>
      <c r="J52" s="93">
        <f>'Non-Ag Employment'!DI51</f>
        <v>66</v>
      </c>
      <c r="K52" s="93">
        <f>'Non-Ag Employment'!DW51</f>
        <v>79.7</v>
      </c>
      <c r="L52" s="132"/>
      <c r="M52" s="133">
        <f>(('Non-Ag Employment'!O51-'Non-Ag Employment'!J51)/'Non-Ag Employment'!J51)*100</f>
        <v>4.1666666666666723</v>
      </c>
      <c r="N52" s="133">
        <f>(('Non-Ag Employment'!AC51-'Non-Ag Employment'!X51)/'Non-Ag Employment'!X51)*100</f>
        <v>16.239316239316242</v>
      </c>
      <c r="O52" s="133">
        <f>(('Non-Ag Employment'!AQ51-'Non-Ag Employment'!AL51)/'Non-Ag Employment'!AL51)*100</f>
        <v>4.6403712296983759</v>
      </c>
      <c r="P52" s="133">
        <f>(('Non-Ag Employment'!BE51-'Non-Ag Employment'!AZ51)/'Non-Ag Employment'!AZ51)*100</f>
        <v>2.7617951668584482</v>
      </c>
      <c r="Q52" s="133">
        <f>(('Non-Ag Employment'!BS51-'Non-Ag Employment'!BN51)/'Non-Ag Employment'!BN51)*100</f>
        <v>-7.0175438596491295</v>
      </c>
      <c r="R52" s="133">
        <f>(('Non-Ag Employment'!CG51-'Non-Ag Employment'!CB51)/'Non-Ag Employment'!CB51)*100</f>
        <v>6.7656765676567687</v>
      </c>
      <c r="S52" s="133">
        <f>(('Non-Ag Employment'!CU51-'Non-Ag Employment'!CP51)/'Non-Ag Employment'!CP51)*100</f>
        <v>4.5833333333333295</v>
      </c>
      <c r="T52" s="133">
        <f>(('Non-Ag Employment'!DI51-'Non-Ag Employment'!DD51)/'Non-Ag Employment'!DD51)*100</f>
        <v>3.7735849056603867</v>
      </c>
      <c r="U52" s="133">
        <f>(('Non-Ag Employment'!DW51-'Non-Ag Employment'!DR51)/'Non-Ag Employment'!DR51)*100</f>
        <v>0.50441361916772476</v>
      </c>
      <c r="V52" s="134" t="s">
        <v>58</v>
      </c>
    </row>
    <row r="53" spans="1:22" s="140" customFormat="1">
      <c r="A53" s="141" t="s">
        <v>59</v>
      </c>
      <c r="B53" s="141"/>
      <c r="C53" s="141">
        <f>'Non-Ag Employment'!O52</f>
        <v>2954.3</v>
      </c>
      <c r="D53" s="141">
        <f>'Non-Ag Employment'!AC52</f>
        <v>135</v>
      </c>
      <c r="E53" s="141">
        <f>'Non-Ag Employment'!AQ52</f>
        <v>481.2</v>
      </c>
      <c r="F53" s="141">
        <f>'Non-Ag Employment'!BE52</f>
        <v>549.29999999999995</v>
      </c>
      <c r="G53" s="141">
        <f>'Non-Ag Employment'!BS52</f>
        <v>46.3</v>
      </c>
      <c r="H53" s="141">
        <f>'Non-Ag Employment'!CG52</f>
        <v>486.5</v>
      </c>
      <c r="I53" s="141">
        <f>'Non-Ag Employment'!CU52</f>
        <v>457.9</v>
      </c>
      <c r="J53" s="141">
        <f>'Non-Ag Employment'!DI52</f>
        <v>412.8</v>
      </c>
      <c r="K53" s="141">
        <f>'Non-Ag Employment'!DW52</f>
        <v>396</v>
      </c>
      <c r="L53" s="141"/>
      <c r="M53" s="146">
        <f>(('Non-Ag Employment'!O52-'Non-Ag Employment'!J52)/'Non-Ag Employment'!J52)*100</f>
        <v>0.32260255365389839</v>
      </c>
      <c r="N53" s="146">
        <f>(('Non-Ag Employment'!AA52-'Non-Ag Employment'!V52)/'Non-Ag Employment'!V52)*100</f>
        <v>12.235915492957739</v>
      </c>
      <c r="O53" s="146">
        <f>(('Non-Ag Employment'!AQ52-'Non-Ag Employment'!AL52)/'Non-Ag Employment'!AL52)*100</f>
        <v>2.7765912003417341</v>
      </c>
      <c r="P53" s="146">
        <f>(('Non-Ag Employment'!BE52-'Non-Ag Employment'!AZ52)/'Non-Ag Employment'!AZ52)*100</f>
        <v>1.4029905851947404</v>
      </c>
      <c r="Q53" s="146">
        <f>(('Non-Ag Employment'!BS52-'Non-Ag Employment'!BN52)/'Non-Ag Employment'!BN52)*100</f>
        <v>-3.1380753138075312</v>
      </c>
      <c r="R53" s="146">
        <f>(('Non-Ag Employment'!CG52-'Non-Ag Employment'!CB52)/'Non-Ag Employment'!CB52)*100</f>
        <v>1.970236847621051</v>
      </c>
      <c r="S53" s="146">
        <f>(('Non-Ag Employment'!CU52-'Non-Ag Employment'!CP52)/'Non-Ag Employment'!CP52)*100</f>
        <v>1.6200621393697192</v>
      </c>
      <c r="T53" s="146">
        <f>(('Non-Ag Employment'!DI52-'Non-Ag Employment'!DD52)/'Non-Ag Employment'!DD52)*100</f>
        <v>-4.2227378190255198</v>
      </c>
      <c r="U53" s="146">
        <f>(('Non-Ag Employment'!DW52-'Non-Ag Employment'!DR52)/'Non-Ag Employment'!DR52)*100</f>
        <v>-2.8459273797841074</v>
      </c>
      <c r="V53" s="147" t="s">
        <v>59</v>
      </c>
    </row>
    <row r="54" spans="1:22">
      <c r="A54" s="22" t="s">
        <v>60</v>
      </c>
      <c r="B54" s="22"/>
      <c r="C54" s="22">
        <f>'Non-Ag Employment'!O53</f>
        <v>27214.500000000004</v>
      </c>
      <c r="D54" s="22">
        <f>'Non-Ag Employment'!AC53</f>
        <v>1175.4000000000001</v>
      </c>
      <c r="E54" s="22">
        <f>'Non-Ag Employment'!AQ53</f>
        <v>1827.6000000000001</v>
      </c>
      <c r="F54" s="22">
        <f>'Non-Ag Employment'!BE53</f>
        <v>4786</v>
      </c>
      <c r="G54" s="22">
        <f>'Non-Ag Employment'!BS53</f>
        <v>622.20000000000005</v>
      </c>
      <c r="H54" s="22">
        <f>'Non-Ag Employment'!CG53</f>
        <v>5848.2999999999993</v>
      </c>
      <c r="I54" s="22">
        <f>'Non-Ag Employment'!CU53</f>
        <v>5698.7000000000007</v>
      </c>
      <c r="J54" s="22">
        <f>'Non-Ag Employment'!DI53</f>
        <v>3578.1</v>
      </c>
      <c r="K54" s="22">
        <f>'Non-Ag Employment'!DW53</f>
        <v>3686.8</v>
      </c>
      <c r="L54" s="130"/>
      <c r="M54" s="30">
        <f>(('Non-Ag Employment'!O53-'Non-Ag Employment'!J53)/'Non-Ag Employment'!J53)*100</f>
        <v>0.85271490194336663</v>
      </c>
      <c r="N54" s="30">
        <f>(('Non-Ag Employment'!AC53-'Non-Ag Employment'!X53)/'Non-Ag Employment'!X53)*100</f>
        <v>4.5450502534910742</v>
      </c>
      <c r="O54" s="87">
        <f>(('Non-Ag Employment'!AQ53-'Non-Ag Employment'!AL53)/'Non-Ag Employment'!AL53)*100</f>
        <v>-0.98602232094485021</v>
      </c>
      <c r="P54" s="87">
        <f>(('Non-Ag Employment'!BE53-'Non-Ag Employment'!AZ53)/'Non-Ag Employment'!AZ53)*100</f>
        <v>-1.3765248928453897</v>
      </c>
      <c r="Q54" s="30">
        <f>(('Non-Ag Employment'!BS53-'Non-Ag Employment'!BN53)/'Non-Ag Employment'!BN53)*100</f>
        <v>8.0395902066330862</v>
      </c>
      <c r="R54" s="30">
        <f>(('Non-Ag Employment'!CG53-'Non-Ag Employment'!CB53)/'Non-Ag Employment'!CB53)*100</f>
        <v>5.1360874411246167</v>
      </c>
      <c r="S54" s="30">
        <f>(('Non-Ag Employment'!CU53-'Non-Ag Employment'!CP53)/'Non-Ag Employment'!CP53)*100</f>
        <v>3.627800407331975</v>
      </c>
      <c r="T54" s="87">
        <f>(('Non-Ag Employment'!DI53-'Non-Ag Employment'!DD53)/'Non-Ag Employment'!DD53)*100</f>
        <v>-4.9843326783153712</v>
      </c>
      <c r="U54" s="87">
        <f>(('Non-Ag Employment'!DW53-'Non-Ag Employment'!DR53)/'Non-Ag Employment'!DR53)*100</f>
        <v>-1.9076759345483405</v>
      </c>
      <c r="V54" s="23" t="s">
        <v>60</v>
      </c>
    </row>
    <row r="55" spans="1:22" ht="14.45">
      <c r="A55" s="22" t="s">
        <v>16</v>
      </c>
      <c r="B55" s="22"/>
      <c r="C55" s="22">
        <f>'Non-Ag Employment'!O54</f>
        <v>17.836123548965531</v>
      </c>
      <c r="D55" s="22">
        <f>'Non-Ag Employment'!AC54</f>
        <v>14.087275429365873</v>
      </c>
      <c r="E55" s="22">
        <f>'Non-Ag Employment'!AQ54</f>
        <v>14.293088076580169</v>
      </c>
      <c r="F55" s="22">
        <f>'Non-Ag Employment'!BE54</f>
        <v>16.699523718138838</v>
      </c>
      <c r="G55" s="22">
        <f>'Non-Ag Employment'!BS54</f>
        <v>20.379954143465444</v>
      </c>
      <c r="H55" s="22">
        <f>'Non-Ag Employment'!CG54</f>
        <v>18.464856058549024</v>
      </c>
      <c r="I55" s="22">
        <f>'Non-Ag Employment'!CU54</f>
        <v>23.407130534790117</v>
      </c>
      <c r="J55" s="22">
        <f>'Non-Ag Employment'!DI54</f>
        <v>16.616049038729447</v>
      </c>
      <c r="K55" s="22">
        <f>'Non-Ag Employment'!DU54</f>
        <v>16.504823787753338</v>
      </c>
      <c r="L55" s="131"/>
      <c r="M55" s="30"/>
      <c r="N55" s="30"/>
      <c r="O55" s="87"/>
      <c r="P55" s="87"/>
      <c r="Q55" s="30"/>
      <c r="R55" s="30"/>
      <c r="S55" s="30"/>
      <c r="T55" s="87"/>
      <c r="U55" s="87"/>
      <c r="V55" s="23"/>
    </row>
    <row r="56" spans="1:22" s="123" customFormat="1">
      <c r="A56" s="93" t="s">
        <v>61</v>
      </c>
      <c r="B56" s="93"/>
      <c r="C56" s="93">
        <f>'Non-Ag Employment'!O55</f>
        <v>1665.6</v>
      </c>
      <c r="D56" s="93">
        <f>'Non-Ag Employment'!AC55</f>
        <v>61.3</v>
      </c>
      <c r="E56" s="93">
        <f>'Non-Ag Employment'!AQ55</f>
        <v>157.19999999999999</v>
      </c>
      <c r="F56" s="93">
        <f>'Non-Ag Employment'!BE55</f>
        <v>297</v>
      </c>
      <c r="G56" s="93">
        <f>'Non-Ag Employment'!BS55</f>
        <v>31.2</v>
      </c>
      <c r="H56" s="93">
        <f>'Non-Ag Employment'!CG55</f>
        <v>339.2</v>
      </c>
      <c r="I56" s="93">
        <f>'Non-Ag Employment'!CU55</f>
        <v>342.3</v>
      </c>
      <c r="J56" s="93">
        <f>'Non-Ag Employment'!DI55</f>
        <v>210.4</v>
      </c>
      <c r="K56" s="93">
        <f>'Non-Ag Employment'!DW55</f>
        <v>227.2</v>
      </c>
      <c r="L56" s="132"/>
      <c r="M56" s="133">
        <f>(('Non-Ag Employment'!O55-'Non-Ag Employment'!J55)/'Non-Ag Employment'!J55)*100</f>
        <v>-0.89843517581960697</v>
      </c>
      <c r="N56" s="133">
        <f>(('Non-Ag Employment'!AC55-'Non-Ag Employment'!X55)/'Non-Ag Employment'!X55)*100</f>
        <v>4.251700680272096</v>
      </c>
      <c r="O56" s="133">
        <f>(('Non-Ag Employment'!AQ55-'Non-Ag Employment'!AL55)/'Non-Ag Employment'!AL55)*100</f>
        <v>-1.3801756587202114</v>
      </c>
      <c r="P56" s="133">
        <f>(('Non-Ag Employment'!BE55-'Non-Ag Employment'!AZ55)/'Non-Ag Employment'!AZ55)*100</f>
        <v>-0.2351360429963012</v>
      </c>
      <c r="Q56" s="133">
        <f>(('Non-Ag Employment'!BS55-'Non-Ag Employment'!BN55)/'Non-Ag Employment'!BN55)*100</f>
        <v>-0.63694267515923342</v>
      </c>
      <c r="R56" s="133">
        <f>(('Non-Ag Employment'!CG55-'Non-Ag Employment'!CB55)/'Non-Ag Employment'!CB55)*100</f>
        <v>-1.9653179190751477</v>
      </c>
      <c r="S56" s="133">
        <f>(('Non-Ag Employment'!CU55-'Non-Ag Employment'!CP55)/'Non-Ag Employment'!CP55)*100</f>
        <v>2.3930601256356563</v>
      </c>
      <c r="T56" s="133">
        <f>(('Non-Ag Employment'!DI55-'Non-Ag Employment'!DD55)/'Non-Ag Employment'!DD55)*100</f>
        <v>-4.6237533998186713</v>
      </c>
      <c r="U56" s="133">
        <f>(('Non-Ag Employment'!DW55-'Non-Ag Employment'!DR55)/'Non-Ag Employment'!DR55)*100</f>
        <v>-2.2375215146299556</v>
      </c>
      <c r="V56" s="134" t="s">
        <v>61</v>
      </c>
    </row>
    <row r="57" spans="1:22" s="123" customFormat="1">
      <c r="A57" s="93" t="s">
        <v>62</v>
      </c>
      <c r="B57" s="93"/>
      <c r="C57" s="93">
        <f>'Non-Ag Employment'!O56</f>
        <v>638.70000000000005</v>
      </c>
      <c r="D57" s="93">
        <f>'Non-Ag Employment'!AC56</f>
        <v>34.700000000000003</v>
      </c>
      <c r="E57" s="93">
        <f>'Non-Ag Employment'!AQ56</f>
        <v>54.5</v>
      </c>
      <c r="F57" s="93">
        <f>'Non-Ag Employment'!BE56</f>
        <v>119.2</v>
      </c>
      <c r="G57" s="93">
        <f>'Non-Ag Employment'!BS56</f>
        <v>7.9</v>
      </c>
      <c r="H57" s="93">
        <f>'Non-Ag Employment'!CG56</f>
        <v>109.69999999999999</v>
      </c>
      <c r="I57" s="93">
        <f>'Non-Ag Employment'!CU56</f>
        <v>125.8</v>
      </c>
      <c r="J57" s="93">
        <f>'Non-Ag Employment'!DI56</f>
        <v>87.5</v>
      </c>
      <c r="K57" s="93">
        <f>'Non-Ag Employment'!DW56</f>
        <v>99.4</v>
      </c>
      <c r="L57" s="132"/>
      <c r="M57" s="133">
        <f>(('Non-Ag Employment'!O56-'Non-Ag Employment'!J56)/'Non-Ag Employment'!J56)*100</f>
        <v>2.5694555965954713</v>
      </c>
      <c r="N57" s="133">
        <f>(('Non-Ag Employment'!AC56-'Non-Ag Employment'!X56)/'Non-Ag Employment'!X56)*100</f>
        <v>14.900662251655641</v>
      </c>
      <c r="O57" s="133">
        <f>(('Non-Ag Employment'!AQ56-'Non-Ag Employment'!AL56)/'Non-Ag Employment'!AL56)*100</f>
        <v>6.6536203522504858</v>
      </c>
      <c r="P57" s="133">
        <f>(('Non-Ag Employment'!BE56-'Non-Ag Employment'!AZ56)/'Non-Ag Employment'!AZ56)*100</f>
        <v>-0.74937552039965982</v>
      </c>
      <c r="Q57" s="133">
        <f>(('Non-Ag Employment'!BS56-'Non-Ag Employment'!BN56)/'Non-Ag Employment'!BN56)*100</f>
        <v>6.7567567567567561</v>
      </c>
      <c r="R57" s="133">
        <f>(('Non-Ag Employment'!CG56-'Non-Ag Employment'!CB56)/'Non-Ag Employment'!CB56)*100</f>
        <v>11.938775510204069</v>
      </c>
      <c r="S57" s="133">
        <f>(('Non-Ag Employment'!CU56-'Non-Ag Employment'!CP56)/'Non-Ag Employment'!CP56)*100</f>
        <v>-1.3333333333333355</v>
      </c>
      <c r="T57" s="133">
        <f>(('Non-Ag Employment'!DI56-'Non-Ag Employment'!DD56)/'Non-Ag Employment'!DD56)*100</f>
        <v>-1.0180995475113186</v>
      </c>
      <c r="U57" s="133">
        <f>(('Non-Ag Employment'!DW56-'Non-Ag Employment'!DR56)/'Non-Ag Employment'!DR56)*100</f>
        <v>-0.69930069930068806</v>
      </c>
      <c r="V57" s="134" t="s">
        <v>62</v>
      </c>
    </row>
    <row r="58" spans="1:22" s="123" customFormat="1">
      <c r="A58" s="93" t="s">
        <v>63</v>
      </c>
      <c r="B58" s="93"/>
      <c r="C58" s="93">
        <f>'Non-Ag Employment'!O57</f>
        <v>3675.7</v>
      </c>
      <c r="D58" s="93">
        <f>'Non-Ag Employment'!AC57</f>
        <v>170.9</v>
      </c>
      <c r="E58" s="93">
        <f>'Non-Ag Employment'!AQ57</f>
        <v>238</v>
      </c>
      <c r="F58" s="93">
        <f>'Non-Ag Employment'!BE57</f>
        <v>564.79999999999995</v>
      </c>
      <c r="G58" s="93">
        <f>'Non-Ag Employment'!BS57</f>
        <v>97.2</v>
      </c>
      <c r="H58" s="93">
        <f>'Non-Ag Employment'!CG57</f>
        <v>863</v>
      </c>
      <c r="I58" s="93">
        <f>'Non-Ag Employment'!CU57</f>
        <v>809.2</v>
      </c>
      <c r="J58" s="93">
        <f>'Non-Ag Employment'!DI57</f>
        <v>479.6</v>
      </c>
      <c r="K58" s="93">
        <f>'Non-Ag Employment'!DW57</f>
        <v>453</v>
      </c>
      <c r="L58" s="132"/>
      <c r="M58" s="133">
        <f>(('Non-Ag Employment'!O57-'Non-Ag Employment'!J57)/'Non-Ag Employment'!J57)*100</f>
        <v>1.8707388725680396</v>
      </c>
      <c r="N58" s="133">
        <f>(('Non-Ag Employment'!AC57-'Non-Ag Employment'!X57)/'Non-Ag Employment'!X57)*100</f>
        <v>11.772400261608894</v>
      </c>
      <c r="O58" s="133">
        <f>(('Non-Ag Employment'!AQ57-'Non-Ag Employment'!AL57)/'Non-Ag Employment'!AL57)*100</f>
        <v>-2.5389025389025344</v>
      </c>
      <c r="P58" s="133">
        <f>(('Non-Ag Employment'!BE57-'Non-Ag Employment'!AZ57)/'Non-Ag Employment'!AZ57)*100</f>
        <v>-2.4525043177893</v>
      </c>
      <c r="Q58" s="133">
        <f>(('Non-Ag Employment'!BS57-'Non-Ag Employment'!BN57)/'Non-Ag Employment'!BN57)*100</f>
        <v>6.4622124863088786</v>
      </c>
      <c r="R58" s="133">
        <f>(('Non-Ag Employment'!CG57-'Non-Ag Employment'!CB57)/'Non-Ag Employment'!CB57)*100</f>
        <v>9.6012192024383918</v>
      </c>
      <c r="S58" s="133">
        <f>(('Non-Ag Employment'!CU57-'Non-Ag Employment'!CP57)/'Non-Ag Employment'!CP57)*100</f>
        <v>1.8117765475591459</v>
      </c>
      <c r="T58" s="133">
        <f>(('Non-Ag Employment'!DI57-'Non-Ag Employment'!DD57)/'Non-Ag Employment'!DD57)*100</f>
        <v>-5.2173913043478217</v>
      </c>
      <c r="U58" s="133">
        <f>(('Non-Ag Employment'!DW57-'Non-Ag Employment'!DR57)/'Non-Ag Employment'!DR57)*100</f>
        <v>8.8378258948293695E-2</v>
      </c>
      <c r="V58" s="134" t="s">
        <v>63</v>
      </c>
    </row>
    <row r="59" spans="1:22" s="123" customFormat="1">
      <c r="A59" s="93" t="s">
        <v>64</v>
      </c>
      <c r="B59" s="93"/>
      <c r="C59" s="93">
        <f>'Non-Ag Employment'!O58</f>
        <v>686</v>
      </c>
      <c r="D59" s="93">
        <f>'Non-Ag Employment'!AC58</f>
        <v>31</v>
      </c>
      <c r="E59" s="93">
        <f>'Non-Ag Employment'!AQ58</f>
        <v>70.400000000000006</v>
      </c>
      <c r="F59" s="93">
        <f>'Non-Ag Employment'!BE58</f>
        <v>138.6</v>
      </c>
      <c r="G59" s="93">
        <f>'Non-Ag Employment'!BS58</f>
        <v>11.9</v>
      </c>
      <c r="H59" s="93">
        <f>'Non-Ag Employment'!CG58</f>
        <v>130.69999999999999</v>
      </c>
      <c r="I59" s="93">
        <f>'Non-Ag Employment'!CU58</f>
        <v>122.2</v>
      </c>
      <c r="J59" s="93">
        <f>'Non-Ag Employment'!DI58</f>
        <v>95</v>
      </c>
      <c r="K59" s="93">
        <f>'Non-Ag Employment'!DW58</f>
        <v>86.2</v>
      </c>
      <c r="L59" s="132"/>
      <c r="M59" s="133">
        <f>(('Non-Ag Employment'!O58-'Non-Ag Employment'!J58)/'Non-Ag Employment'!J58)*100</f>
        <v>1.6145756184268962</v>
      </c>
      <c r="N59" s="133">
        <f>(('Non-Ag Employment'!AC58-'Non-Ag Employment'!X58)/'Non-Ag Employment'!X58)*100</f>
        <v>12.318840579710139</v>
      </c>
      <c r="O59" s="133">
        <f>(('Non-Ag Employment'!AQ58-'Non-Ag Employment'!AL58)/'Non-Ag Employment'!AL58)*100</f>
        <v>1.7341040462427786</v>
      </c>
      <c r="P59" s="133">
        <f>(('Non-Ag Employment'!BE58-'Non-Ag Employment'!AZ58)/'Non-Ag Employment'!AZ58)*100</f>
        <v>-1.2116892373485508</v>
      </c>
      <c r="Q59" s="133">
        <f>(('Non-Ag Employment'!BS58-'Non-Ag Employment'!BN58)/'Non-Ag Employment'!BN58)*100</f>
        <v>-5.55555555555555</v>
      </c>
      <c r="R59" s="133">
        <f>(('Non-Ag Employment'!CG58-'Non-Ag Employment'!CB58)/'Non-Ag Employment'!CB58)*100</f>
        <v>12.092624356775296</v>
      </c>
      <c r="S59" s="133">
        <f>(('Non-Ag Employment'!CU58-'Non-Ag Employment'!CP58)/'Non-Ag Employment'!CP58)*100</f>
        <v>-1.2126111560226354</v>
      </c>
      <c r="T59" s="133">
        <f>(('Non-Ag Employment'!DI58-'Non-Ag Employment'!DD58)/'Non-Ag Employment'!DD58)*100</f>
        <v>-0.21008403361344835</v>
      </c>
      <c r="U59" s="133">
        <f>(('Non-Ag Employment'!DW58-'Non-Ag Employment'!DR58)/'Non-Ag Employment'!DR58)*100</f>
        <v>-4.2222222222222188</v>
      </c>
      <c r="V59" s="134" t="s">
        <v>64</v>
      </c>
    </row>
    <row r="60" spans="1:22">
      <c r="A60" s="22" t="s">
        <v>65</v>
      </c>
      <c r="B60" s="22"/>
      <c r="C60" s="22">
        <f>'Non-Ag Employment'!O59</f>
        <v>4242.2</v>
      </c>
      <c r="D60" s="22">
        <f>'Non-Ag Employment'!AC59</f>
        <v>165</v>
      </c>
      <c r="E60" s="22">
        <f>'Non-Ag Employment'!AQ59</f>
        <v>250.1</v>
      </c>
      <c r="F60" s="22">
        <f>'Non-Ag Employment'!BE59</f>
        <v>913.4</v>
      </c>
      <c r="G60" s="22">
        <f>'Non-Ag Employment'!BS59</f>
        <v>75.8</v>
      </c>
      <c r="H60" s="22">
        <f>'Non-Ag Employment'!CG59</f>
        <v>984.40000000000009</v>
      </c>
      <c r="I60" s="22">
        <f>'Non-Ag Employment'!CU59</f>
        <v>733</v>
      </c>
      <c r="J60" s="22">
        <f>'Non-Ag Employment'!DI59</f>
        <v>543</v>
      </c>
      <c r="K60" s="22">
        <f>'Non-Ag Employment'!DW59</f>
        <v>583.5</v>
      </c>
      <c r="L60" s="130"/>
      <c r="M60" s="87">
        <f>(('Non-Ag Employment'!O59-'Non-Ag Employment'!J59)/'Non-Ag Employment'!J59)*100</f>
        <v>2.7814120269419051</v>
      </c>
      <c r="N60" s="30">
        <f>(('Non-Ag Employment'!AC59-'Non-Ag Employment'!X59)/'Non-Ag Employment'!X59)*100</f>
        <v>5.5662188099807981</v>
      </c>
      <c r="O60" s="87">
        <f>(('Non-Ag Employment'!AQ59-'Non-Ag Employment'!AL59)/'Non-Ag Employment'!AL59)*100</f>
        <v>2.2485690923957482</v>
      </c>
      <c r="P60" s="87">
        <f>(('Non-Ag Employment'!BE59-'Non-Ag Employment'!AZ59)/'Non-Ag Employment'!AZ59)*100</f>
        <v>3.3024202669079314</v>
      </c>
      <c r="Q60" s="30">
        <f>(('Non-Ag Employment'!BS59-'Non-Ag Employment'!BN59)/'Non-Ag Employment'!BN59)*100</f>
        <v>7.2135785007072055</v>
      </c>
      <c r="R60" s="30">
        <f>(('Non-Ag Employment'!CG59-'Non-Ag Employment'!CB59)/'Non-Ag Employment'!CB59)*100</f>
        <v>7.5964586293583993</v>
      </c>
      <c r="S60" s="30">
        <f>(('Non-Ag Employment'!CU59-'Non-Ag Employment'!CP59)/'Non-Ag Employment'!CP59)*100</f>
        <v>5.5739593835517862</v>
      </c>
      <c r="T60" s="87">
        <f>(('Non-Ag Employment'!DI59-'Non-Ag Employment'!DD59)/'Non-Ag Employment'!DD59)*100</f>
        <v>-0.84002921840760103</v>
      </c>
      <c r="U60" s="87">
        <f>(('Non-Ag Employment'!DW59-'Non-Ag Employment'!DR59)/'Non-Ag Employment'!DR59)*100</f>
        <v>-5.1065213855911491</v>
      </c>
      <c r="V60" s="23" t="s">
        <v>65</v>
      </c>
    </row>
    <row r="61" spans="1:22">
      <c r="A61" s="22" t="s">
        <v>66</v>
      </c>
      <c r="B61" s="22"/>
      <c r="C61" s="22">
        <f>'Non-Ag Employment'!O60</f>
        <v>9518.7999999999993</v>
      </c>
      <c r="D61" s="22">
        <f>'Non-Ag Employment'!AC60</f>
        <v>393.59999999999997</v>
      </c>
      <c r="E61" s="22">
        <f>'Non-Ag Employment'!AQ60</f>
        <v>424.2</v>
      </c>
      <c r="F61" s="22">
        <f>'Non-Ag Employment'!BE60</f>
        <v>1480.6</v>
      </c>
      <c r="G61" s="22">
        <f>'Non-Ag Employment'!BS60</f>
        <v>294.89999999999998</v>
      </c>
      <c r="H61" s="22">
        <f>'Non-Ag Employment'!CG60</f>
        <v>2094.9</v>
      </c>
      <c r="I61" s="22">
        <f>'Non-Ag Employment'!CU60</f>
        <v>2137.3000000000002</v>
      </c>
      <c r="J61" s="22">
        <f>'Non-Ag Employment'!DI60</f>
        <v>1251.5</v>
      </c>
      <c r="K61" s="22">
        <f>'Non-Ag Employment'!DW60</f>
        <v>1441.8</v>
      </c>
      <c r="L61" s="130"/>
      <c r="M61" s="87">
        <f>(('Non-Ag Employment'!O60-'Non-Ag Employment'!J60)/'Non-Ag Employment'!J60)*100</f>
        <v>2.3117499947448758E-2</v>
      </c>
      <c r="N61" s="30">
        <f>(('Non-Ag Employment'!AC60-'Non-Ag Employment'!X60)/'Non-Ag Employment'!X60)*100</f>
        <v>1.2345679012345563</v>
      </c>
      <c r="O61" s="87">
        <f>(('Non-Ag Employment'!AQ60-'Non-Ag Employment'!AL60)/'Non-Ag Employment'!AL60)*100</f>
        <v>-4.86656200941915</v>
      </c>
      <c r="P61" s="87">
        <f>(('Non-Ag Employment'!BE60-'Non-Ag Employment'!AZ60)/'Non-Ag Employment'!AZ60)*100</f>
        <v>-5.9040355894502756</v>
      </c>
      <c r="Q61" s="30">
        <f>(('Non-Ag Employment'!BS60-'Non-Ag Employment'!BN60)/'Non-Ag Employment'!BN60)*100</f>
        <v>9.7098214285714146</v>
      </c>
      <c r="R61" s="30">
        <f>(('Non-Ag Employment'!CG60-'Non-Ag Employment'!CB60)/'Non-Ag Employment'!CB60)*100</f>
        <v>3.0042285377126512</v>
      </c>
      <c r="S61" s="30">
        <f>(('Non-Ag Employment'!CU60-'Non-Ag Employment'!CP60)/'Non-Ag Employment'!CP60)*100</f>
        <v>6.5878715340115761</v>
      </c>
      <c r="T61" s="87">
        <f>(('Non-Ag Employment'!DI60-'Non-Ag Employment'!DD60)/'Non-Ag Employment'!DD60)*100</f>
        <v>-7.3991860895301524</v>
      </c>
      <c r="U61" s="87">
        <f>(('Non-Ag Employment'!DW60-'Non-Ag Employment'!DR60)/'Non-Ag Employment'!DR60)*100</f>
        <v>-0.51062655258074041</v>
      </c>
      <c r="V61" s="23" t="s">
        <v>66</v>
      </c>
    </row>
    <row r="62" spans="1:22">
      <c r="A62" s="22" t="s">
        <v>67</v>
      </c>
      <c r="B62" s="22"/>
      <c r="C62" s="22">
        <f>'Non-Ag Employment'!O61</f>
        <v>5987.4</v>
      </c>
      <c r="D62" s="22">
        <f>'Non-Ag Employment'!AC61</f>
        <v>281.2</v>
      </c>
      <c r="E62" s="22">
        <f>'Non-Ag Employment'!AQ61</f>
        <v>563.9</v>
      </c>
      <c r="F62" s="22">
        <f>'Non-Ag Employment'!BE61</f>
        <v>1143.7</v>
      </c>
      <c r="G62" s="22">
        <f>'Non-Ag Employment'!BS61</f>
        <v>93.2</v>
      </c>
      <c r="H62" s="22">
        <f>'Non-Ag Employment'!CG61</f>
        <v>1177.4000000000001</v>
      </c>
      <c r="I62" s="22">
        <f>'Non-Ag Employment'!CU61</f>
        <v>1262.7</v>
      </c>
      <c r="J62" s="22">
        <f>'Non-Ag Employment'!DI61</f>
        <v>787</v>
      </c>
      <c r="K62" s="22">
        <f>'Non-Ag Employment'!DW61</f>
        <v>678.4</v>
      </c>
      <c r="L62" s="130"/>
      <c r="M62" s="87">
        <f>(('Non-Ag Employment'!O61-'Non-Ag Employment'!J61)/'Non-Ag Employment'!J61)*100</f>
        <v>0.70473467328230821</v>
      </c>
      <c r="N62" s="30">
        <f>(('Non-Ag Employment'!AC61-'Non-Ag Employment'!X61)/'Non-Ag Employment'!X61)*100</f>
        <v>2.2173754998182353</v>
      </c>
      <c r="O62" s="87">
        <f>(('Non-Ag Employment'!AQ61-'Non-Ag Employment'!AL61)/'Non-Ag Employment'!AL61)*100</f>
        <v>0.42742653606410996</v>
      </c>
      <c r="P62" s="87">
        <f>(('Non-Ag Employment'!BE61-'Non-Ag Employment'!AZ61)/'Non-Ag Employment'!AZ61)*100</f>
        <v>1.5448814703009937</v>
      </c>
      <c r="Q62" s="30">
        <f>(('Non-Ag Employment'!BS61-'Non-Ag Employment'!BN61)/'Non-Ag Employment'!BN61)*100</f>
        <v>12.289156626506028</v>
      </c>
      <c r="R62" s="30">
        <f>(('Non-Ag Employment'!CG61-'Non-Ag Employment'!CB61)/'Non-Ag Employment'!CB61)*100</f>
        <v>4.9563201996790998</v>
      </c>
      <c r="S62" s="30">
        <f>(('Non-Ag Employment'!CU61-'Non-Ag Employment'!CP61)/'Non-Ag Employment'!CP61)*100</f>
        <v>1.267142513433311</v>
      </c>
      <c r="T62" s="87">
        <f>(('Non-Ag Employment'!DI61-'Non-Ag Employment'!DD61)/'Non-Ag Employment'!DD61)*100</f>
        <v>-4.9402101703104346</v>
      </c>
      <c r="U62" s="87">
        <f>(('Non-Ag Employment'!DW61-'Non-Ag Employment'!DR61)/'Non-Ag Employment'!DR61)*100</f>
        <v>-3.4992887624466604</v>
      </c>
      <c r="V62" s="23" t="s">
        <v>67</v>
      </c>
    </row>
    <row r="63" spans="1:22">
      <c r="A63" s="22" t="s">
        <v>68</v>
      </c>
      <c r="B63" s="22"/>
      <c r="C63" s="22">
        <f>'Non-Ag Employment'!O62</f>
        <v>496.4</v>
      </c>
      <c r="D63" s="22">
        <f>'Non-Ag Employment'!AC62</f>
        <v>21.4</v>
      </c>
      <c r="E63" s="22">
        <f>'Non-Ag Employment'!AQ62</f>
        <v>40.200000000000003</v>
      </c>
      <c r="F63" s="22">
        <f>'Non-Ag Employment'!BE62</f>
        <v>76.900000000000006</v>
      </c>
      <c r="G63" s="22">
        <f>'Non-Ag Employment'!BS62</f>
        <v>5.7</v>
      </c>
      <c r="H63" s="22">
        <f>'Non-Ag Employment'!CG62</f>
        <v>104.9</v>
      </c>
      <c r="I63" s="22">
        <f>'Non-Ag Employment'!CU62</f>
        <v>104.6</v>
      </c>
      <c r="J63" s="22">
        <f>'Non-Ag Employment'!DI62</f>
        <v>81.400000000000006</v>
      </c>
      <c r="K63" s="22">
        <f>'Non-Ag Employment'!DW62</f>
        <v>63.7</v>
      </c>
      <c r="L63" s="130"/>
      <c r="M63" s="87">
        <f>(('Non-Ag Employment'!O62-'Non-Ag Employment'!J62)/'Non-Ag Employment'!J62)*100</f>
        <v>0.46549281521958191</v>
      </c>
      <c r="N63" s="30">
        <f>(('Non-Ag Employment'!AC62-'Non-Ag Employment'!X62)/'Non-Ag Employment'!X62)*100</f>
        <v>15.053763440860221</v>
      </c>
      <c r="O63" s="87">
        <f>(('Non-Ag Employment'!AQ62-'Non-Ag Employment'!AL62)/'Non-Ag Employment'!AL62)*100</f>
        <v>-0.74074074074073371</v>
      </c>
      <c r="P63" s="87">
        <f>(('Non-Ag Employment'!BE62-'Non-Ag Employment'!AZ62)/'Non-Ag Employment'!AZ62)*100</f>
        <v>0.39164490861620288</v>
      </c>
      <c r="Q63" s="30">
        <f>(('Non-Ag Employment'!BS62-'Non-Ag Employment'!BN62)/'Non-Ag Employment'!BN62)*100</f>
        <v>-8.064516129032258</v>
      </c>
      <c r="R63" s="30">
        <f>(('Non-Ag Employment'!CG62-'Non-Ag Employment'!CB62)/'Non-Ag Employment'!CB62)*100</f>
        <v>1.2548262548262659</v>
      </c>
      <c r="S63" s="30">
        <f>(('Non-Ag Employment'!CU62-'Non-Ag Employment'!CP62)/'Non-Ag Employment'!CP62)*100</f>
        <v>-2.1515434985968298</v>
      </c>
      <c r="T63" s="87">
        <f>(('Non-Ag Employment'!DI62-'Non-Ag Employment'!DD62)/'Non-Ag Employment'!DD62)*100</f>
        <v>0.2463054187192153</v>
      </c>
      <c r="U63" s="87">
        <f>(('Non-Ag Employment'!DW62-'Non-Ag Employment'!DR62)/'Non-Ag Employment'!DR62)*100</f>
        <v>5.1155115511551177</v>
      </c>
      <c r="V63" s="23" t="s">
        <v>68</v>
      </c>
    </row>
    <row r="64" spans="1:22">
      <c r="A64" s="22" t="s">
        <v>69</v>
      </c>
      <c r="B64" s="22"/>
      <c r="C64" s="22">
        <f>'Non-Ag Employment'!O63</f>
        <v>303.7</v>
      </c>
      <c r="D64" s="22">
        <f>'Non-Ag Employment'!AC63</f>
        <v>16.3</v>
      </c>
      <c r="E64" s="22">
        <f>'Non-Ag Employment'!AQ63</f>
        <v>29.1</v>
      </c>
      <c r="F64" s="22">
        <f>'Non-Ag Employment'!BE63</f>
        <v>51.8</v>
      </c>
      <c r="G64" s="22">
        <f>'Non-Ag Employment'!BS63</f>
        <v>4.4000000000000004</v>
      </c>
      <c r="H64" s="22">
        <f>'Non-Ag Employment'!CG63</f>
        <v>44.1</v>
      </c>
      <c r="I64" s="22">
        <f>'Non-Ag Employment'!CU63</f>
        <v>61.6</v>
      </c>
      <c r="J64" s="22">
        <f>'Non-Ag Employment'!DI63</f>
        <v>42.699999999999996</v>
      </c>
      <c r="K64" s="22">
        <f>'Non-Ag Employment'!DW63</f>
        <v>53.6</v>
      </c>
      <c r="L64" s="130"/>
      <c r="M64" s="87">
        <f>(('Non-Ag Employment'!O63-'Non-Ag Employment'!J63)/'Non-Ag Employment'!J63)*100</f>
        <v>-3.3110474371219465</v>
      </c>
      <c r="N64" s="30">
        <f>(('Non-Ag Employment'!AC63-'Non-Ag Employment'!X63)/'Non-Ag Employment'!X63)*100</f>
        <v>1.8750000000000044</v>
      </c>
      <c r="O64" s="87">
        <f>(('Non-Ag Employment'!AQ63-'Non-Ag Employment'!AL63)/'Non-Ag Employment'!AL63)*100</f>
        <v>-1.0204081632652966</v>
      </c>
      <c r="P64" s="87">
        <f>(('Non-Ag Employment'!BE63-'Non-Ag Employment'!AZ63)/'Non-Ag Employment'!AZ63)*100</f>
        <v>-5.9891107078040005</v>
      </c>
      <c r="Q64" s="30">
        <f>(('Non-Ag Employment'!BS63-'Non-Ag Employment'!BN63)/'Non-Ag Employment'!BN63)*100</f>
        <v>-2.2222222222222143</v>
      </c>
      <c r="R64" s="30">
        <f>(('Non-Ag Employment'!CG63-'Non-Ag Employment'!CB63)/'Non-Ag Employment'!CB63)*100</f>
        <v>8.8888888888888928</v>
      </c>
      <c r="S64" s="30">
        <f>(('Non-Ag Employment'!CU63-'Non-Ag Employment'!CP63)/'Non-Ag Employment'!CP63)*100</f>
        <v>-6.0975609756097455</v>
      </c>
      <c r="T64" s="87">
        <f>(('Non-Ag Employment'!DI63-'Non-Ag Employment'!DD63)/'Non-Ag Employment'!DD63)*100</f>
        <v>-9.9156118143459988</v>
      </c>
      <c r="U64" s="87">
        <f>(('Non-Ag Employment'!DW63-'Non-Ag Employment'!DR63)/'Non-Ag Employment'!DR63)*100</f>
        <v>-3.770197486535011</v>
      </c>
      <c r="V64" s="23" t="s">
        <v>69</v>
      </c>
    </row>
    <row r="65" spans="1:22" s="123" customFormat="1">
      <c r="A65" s="107" t="s">
        <v>70</v>
      </c>
      <c r="B65" s="107"/>
      <c r="C65" s="107">
        <f>'Non-Ag Employment'!O64</f>
        <v>764.4</v>
      </c>
      <c r="D65" s="107">
        <f>'Non-Ag Employment'!AC64</f>
        <v>15.3</v>
      </c>
      <c r="E65" s="107">
        <f>'Non-Ag Employment'!AQ64</f>
        <v>1</v>
      </c>
      <c r="F65" s="107">
        <f>'Non-Ag Employment'!BE64</f>
        <v>30.4</v>
      </c>
      <c r="G65" s="107">
        <f>'Non-Ag Employment'!BS64</f>
        <v>20.8</v>
      </c>
      <c r="H65" s="107">
        <f>'Non-Ag Employment'!CG64</f>
        <v>201.6</v>
      </c>
      <c r="I65" s="107">
        <f>'Non-Ag Employment'!CU64</f>
        <v>122.1</v>
      </c>
      <c r="J65" s="107">
        <f>'Non-Ag Employment'!DI64</f>
        <v>135</v>
      </c>
      <c r="K65" s="107">
        <f>'Non-Ag Employment'!DW64</f>
        <v>238.2</v>
      </c>
      <c r="L65" s="142"/>
      <c r="M65" s="138">
        <f>(('Non-Ag Employment'!O64-'Non-Ag Employment'!J64)/'Non-Ag Employment'!J64)*100</f>
        <v>-3.2894736842105261</v>
      </c>
      <c r="N65" s="138">
        <f>(('Non-Ag Employment'!AC64-'Non-Ag Employment'!X64)/'Non-Ag Employment'!X64)*100</f>
        <v>-0.64935064935064701</v>
      </c>
      <c r="O65" s="138">
        <f>(('Non-Ag Employment'!AQ64-'Non-Ag Employment'!AL64)/'Non-Ag Employment'!AL64)*100</f>
        <v>-23.076923076923077</v>
      </c>
      <c r="P65" s="138">
        <f>(('Non-Ag Employment'!BE64-'Non-Ag Employment'!AZ64)/'Non-Ag Employment'!AZ64)*100</f>
        <v>-8.9820359281437128</v>
      </c>
      <c r="Q65" s="138">
        <f>(('Non-Ag Employment'!BS64-'Non-Ag Employment'!BN64)/'Non-Ag Employment'!BN64)*100</f>
        <v>16.201117318435767</v>
      </c>
      <c r="R65" s="138">
        <f>(('Non-Ag Employment'!CG64-'Non-Ag Employment'!CB64)/'Non-Ag Employment'!CB64)*100</f>
        <v>2.5432349949135302</v>
      </c>
      <c r="S65" s="138">
        <f>(('Non-Ag Employment'!CU64-'Non-Ag Employment'!CP64)/'Non-Ag Employment'!CP64)*100</f>
        <v>-9.3541202672605746</v>
      </c>
      <c r="T65" s="138">
        <f>(('Non-Ag Employment'!DI64-'Non-Ag Employment'!DD64)/'Non-Ag Employment'!DD64)*100</f>
        <v>-10.358565737051805</v>
      </c>
      <c r="U65" s="138">
        <f>(('Non-Ag Employment'!DW64-'Non-Ag Employment'!DR64)/'Non-Ag Employment'!DR64)*100</f>
        <v>-0.95634095634096106</v>
      </c>
      <c r="V65" s="139" t="s">
        <v>70</v>
      </c>
    </row>
    <row r="67" spans="1:22" ht="14.45">
      <c r="A67" s="27" t="s">
        <v>71</v>
      </c>
      <c r="B67" s="28"/>
    </row>
    <row r="68" spans="1:22" ht="24.75" customHeight="1">
      <c r="A68" s="27" t="s">
        <v>72</v>
      </c>
      <c r="B68" s="112" t="s">
        <v>73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</row>
    <row r="69" spans="1:22">
      <c r="A69" s="28"/>
    </row>
    <row r="70" spans="1:22">
      <c r="V70" s="32" t="s">
        <v>74</v>
      </c>
    </row>
    <row r="71" spans="1:22" s="123" customFormat="1">
      <c r="L71" s="140"/>
      <c r="V71" s="126"/>
    </row>
    <row r="80" spans="1:22" ht="17.25" customHeight="1">
      <c r="A80" s="27"/>
    </row>
    <row r="85" spans="13:13">
      <c r="M85" s="29"/>
    </row>
    <row r="86" spans="13:13">
      <c r="M86" s="29"/>
    </row>
    <row r="87" spans="13:13">
      <c r="M87" s="29"/>
    </row>
    <row r="88" spans="13:13">
      <c r="M88" s="29"/>
    </row>
    <row r="89" spans="13:13">
      <c r="M89" s="29"/>
    </row>
    <row r="90" spans="13:13">
      <c r="M90" s="29"/>
    </row>
    <row r="91" spans="13:13">
      <c r="M91" s="29"/>
    </row>
    <row r="92" spans="13:13">
      <c r="M92" s="29"/>
    </row>
    <row r="93" spans="13:13">
      <c r="M93" s="29"/>
    </row>
    <row r="94" spans="13:13">
      <c r="M94" s="29"/>
    </row>
    <row r="95" spans="13:13">
      <c r="M95" s="29"/>
    </row>
    <row r="96" spans="13:13">
      <c r="M96" s="29"/>
    </row>
    <row r="97" spans="13:13">
      <c r="M97" s="29"/>
    </row>
    <row r="98" spans="13:13">
      <c r="M98" s="29"/>
    </row>
    <row r="99" spans="13:13">
      <c r="M99" s="29"/>
    </row>
    <row r="100" spans="13:13">
      <c r="M100" s="29"/>
    </row>
    <row r="101" spans="13:13">
      <c r="M101" s="29"/>
    </row>
    <row r="102" spans="13:13">
      <c r="M102" s="29"/>
    </row>
    <row r="103" spans="13:13">
      <c r="M103" s="29"/>
    </row>
    <row r="104" spans="13:13">
      <c r="M104" s="29"/>
    </row>
    <row r="105" spans="13:13">
      <c r="M105" s="29"/>
    </row>
    <row r="106" spans="13:13">
      <c r="M106" s="29"/>
    </row>
    <row r="107" spans="13:13">
      <c r="M107" s="29"/>
    </row>
    <row r="108" spans="13:13">
      <c r="M108" s="29"/>
    </row>
    <row r="109" spans="13:13">
      <c r="M109" s="29"/>
    </row>
    <row r="110" spans="13:13">
      <c r="M110" s="29"/>
    </row>
    <row r="111" spans="13:13">
      <c r="M111" s="29"/>
    </row>
  </sheetData>
  <mergeCells count="1">
    <mergeCell ref="B68:L68"/>
  </mergeCells>
  <phoneticPr fontId="0" type="noConversion"/>
  <printOptions horizontalCentered="1"/>
  <pageMargins left="0.5" right="0.5" top="0.5" bottom="0.5" header="0.5" footer="0.5"/>
  <pageSetup scale="70" orientation="portrait" r:id="rId1"/>
  <headerFooter alignWithMargins="0">
    <oddFooter>&amp;LSREB Fact Book&amp;R&amp;D</oddFooter>
  </headerFooter>
  <colBreaks count="1" manualBreakCount="1">
    <brk id="12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DW74"/>
  <sheetViews>
    <sheetView zoomScale="60" zoomScaleNormal="60" workbookViewId="0">
      <pane xSplit="3" ySplit="13" topLeftCell="CW63" activePane="bottomRight" state="frozen"/>
      <selection pane="bottomRight" activeCell="DV66" sqref="DV66:DW66"/>
      <selection pane="bottomLeft" activeCell="A14" sqref="A14"/>
      <selection pane="topRight" activeCell="D1" sqref="D1"/>
    </sheetView>
  </sheetViews>
  <sheetFormatPr defaultRowHeight="12.6"/>
  <cols>
    <col min="1" max="1" width="20.28515625" customWidth="1"/>
    <col min="2" max="15" width="10.140625" customWidth="1"/>
    <col min="16" max="29" width="9.5703125" customWidth="1"/>
    <col min="31" max="38" width="8.7109375" customWidth="1"/>
    <col min="45" max="52" width="8.7109375" customWidth="1"/>
    <col min="59" max="66" width="8.7109375" customWidth="1"/>
    <col min="73" max="80" width="8.7109375" customWidth="1"/>
    <col min="87" max="99" width="8.7109375" customWidth="1"/>
    <col min="101" max="108" width="8.7109375" customWidth="1"/>
    <col min="112" max="112" width="8.5703125" customWidth="1"/>
    <col min="115" max="122" width="8.7109375" customWidth="1"/>
  </cols>
  <sheetData>
    <row r="1" spans="1:127" s="3" customFormat="1" ht="14.45">
      <c r="A1" s="3" t="s">
        <v>75</v>
      </c>
      <c r="D1" s="82"/>
      <c r="F1" s="82">
        <f>SUM(F8:F23,F26:F38,F41:F52,F55:F64)</f>
        <v>136611.59999999998</v>
      </c>
      <c r="G1" s="82">
        <f>SUM(G8:G23,G26:G38,G41:G52,G55:G64)</f>
        <v>139230.69999999998</v>
      </c>
      <c r="H1" s="82">
        <f>G1-G5</f>
        <v>188.69999999998254</v>
      </c>
      <c r="I1" s="82">
        <f>F1-F5</f>
        <v>218.59999999997672</v>
      </c>
      <c r="J1" s="82"/>
      <c r="K1" s="82"/>
      <c r="L1" s="82"/>
      <c r="M1" s="82"/>
      <c r="N1" s="82"/>
      <c r="O1" s="82"/>
      <c r="BG1" s="109">
        <v>124.7</v>
      </c>
      <c r="BH1" s="109">
        <v>127.9</v>
      </c>
    </row>
    <row r="2" spans="1:127" s="60" customFormat="1" ht="10.5">
      <c r="B2" s="45" t="s">
        <v>76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73" t="s">
        <v>77</v>
      </c>
      <c r="Q2" s="74"/>
      <c r="R2" s="74"/>
      <c r="S2" s="74"/>
      <c r="T2" s="74"/>
      <c r="U2" s="74"/>
      <c r="V2" s="74"/>
      <c r="W2" s="74"/>
      <c r="X2" s="74"/>
      <c r="Y2" s="74"/>
      <c r="Z2" s="74"/>
      <c r="AA2" s="95"/>
      <c r="AB2" s="74"/>
      <c r="AC2" s="95"/>
      <c r="AD2" s="46" t="s">
        <v>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8" t="s">
        <v>78</v>
      </c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50" t="s">
        <v>9</v>
      </c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2" t="s">
        <v>79</v>
      </c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4" t="s">
        <v>80</v>
      </c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6" t="s">
        <v>81</v>
      </c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8" t="s">
        <v>13</v>
      </c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</row>
    <row r="3" spans="1:127" s="44" customFormat="1" ht="9.9499999999999993">
      <c r="B3" s="61" t="s">
        <v>82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75" t="s">
        <v>83</v>
      </c>
      <c r="Q3" s="76"/>
      <c r="R3" s="76"/>
      <c r="S3" s="76"/>
      <c r="T3" s="76"/>
      <c r="U3" s="76"/>
      <c r="V3" s="76"/>
      <c r="W3" s="76"/>
      <c r="X3" s="76"/>
      <c r="Y3" s="76"/>
      <c r="Z3" s="76"/>
      <c r="AA3" s="96"/>
      <c r="AB3" s="76"/>
      <c r="AC3" s="96"/>
      <c r="AD3" s="62" t="s">
        <v>84</v>
      </c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77" t="s">
        <v>85</v>
      </c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5" t="s">
        <v>86</v>
      </c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78" t="s">
        <v>87</v>
      </c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79" t="s">
        <v>88</v>
      </c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80" t="s">
        <v>89</v>
      </c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81" t="s">
        <v>90</v>
      </c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</row>
    <row r="4" spans="1:127" ht="12.95">
      <c r="B4" s="4">
        <v>2009</v>
      </c>
      <c r="C4" s="4">
        <v>2010</v>
      </c>
      <c r="D4" s="4">
        <v>2011</v>
      </c>
      <c r="E4" s="4">
        <v>2012</v>
      </c>
      <c r="F4" s="4">
        <v>2013</v>
      </c>
      <c r="G4" s="4">
        <v>2014</v>
      </c>
      <c r="H4" s="4">
        <v>2015</v>
      </c>
      <c r="I4" s="4">
        <v>2016</v>
      </c>
      <c r="J4" s="4">
        <v>2017</v>
      </c>
      <c r="K4" s="4">
        <v>2018</v>
      </c>
      <c r="L4" s="4">
        <v>2019</v>
      </c>
      <c r="M4" s="4">
        <v>2020</v>
      </c>
      <c r="N4" s="106">
        <v>2021</v>
      </c>
      <c r="O4" s="4">
        <v>2022</v>
      </c>
      <c r="P4" s="71">
        <v>2009</v>
      </c>
      <c r="Q4" s="72">
        <v>2010</v>
      </c>
      <c r="R4" s="72">
        <v>2011</v>
      </c>
      <c r="S4" s="72">
        <v>2012</v>
      </c>
      <c r="T4" s="72">
        <v>2013</v>
      </c>
      <c r="U4" s="72">
        <v>2014</v>
      </c>
      <c r="V4" s="72">
        <v>2015</v>
      </c>
      <c r="W4" s="72">
        <v>2016</v>
      </c>
      <c r="X4" s="72">
        <v>2017</v>
      </c>
      <c r="Y4" s="72">
        <v>2018</v>
      </c>
      <c r="Z4" s="72">
        <v>2019</v>
      </c>
      <c r="AA4" s="104">
        <v>2020</v>
      </c>
      <c r="AB4" s="94">
        <v>2021</v>
      </c>
      <c r="AC4" s="104">
        <v>2022</v>
      </c>
      <c r="AD4" s="12">
        <v>2009</v>
      </c>
      <c r="AE4" s="10">
        <v>2010</v>
      </c>
      <c r="AF4" s="10">
        <v>2011</v>
      </c>
      <c r="AG4" s="10">
        <v>2012</v>
      </c>
      <c r="AH4" s="10">
        <v>2013</v>
      </c>
      <c r="AI4" s="10">
        <v>2014</v>
      </c>
      <c r="AJ4" s="10">
        <v>2015</v>
      </c>
      <c r="AK4" s="10">
        <v>2016</v>
      </c>
      <c r="AL4" s="10">
        <v>2017</v>
      </c>
      <c r="AM4" s="10">
        <v>2018</v>
      </c>
      <c r="AN4" s="10">
        <v>2019</v>
      </c>
      <c r="AO4" s="97">
        <v>2020</v>
      </c>
      <c r="AP4" s="97">
        <v>2021</v>
      </c>
      <c r="AQ4" s="10">
        <v>2022</v>
      </c>
      <c r="AR4" s="13">
        <v>2009</v>
      </c>
      <c r="AS4" s="11">
        <v>2010</v>
      </c>
      <c r="AT4" s="11">
        <v>2011</v>
      </c>
      <c r="AU4" s="11">
        <v>2012</v>
      </c>
      <c r="AV4" s="11">
        <v>2013</v>
      </c>
      <c r="AW4" s="11">
        <v>2014</v>
      </c>
      <c r="AX4" s="11">
        <v>2015</v>
      </c>
      <c r="AY4" s="11">
        <v>2016</v>
      </c>
      <c r="AZ4" s="11">
        <v>2017</v>
      </c>
      <c r="BA4" s="11">
        <v>2018</v>
      </c>
      <c r="BB4" s="11">
        <v>2019</v>
      </c>
      <c r="BC4" s="11">
        <v>2020</v>
      </c>
      <c r="BD4" s="98">
        <v>2021</v>
      </c>
      <c r="BE4" s="11">
        <v>2022</v>
      </c>
      <c r="BF4" s="14">
        <v>2009</v>
      </c>
      <c r="BG4" s="9">
        <v>2010</v>
      </c>
      <c r="BH4" s="9">
        <v>2011</v>
      </c>
      <c r="BI4" s="9">
        <v>2012</v>
      </c>
      <c r="BJ4" s="9">
        <v>2013</v>
      </c>
      <c r="BK4" s="9">
        <v>2014</v>
      </c>
      <c r="BL4" s="9">
        <v>2015</v>
      </c>
      <c r="BM4" s="9">
        <v>2016</v>
      </c>
      <c r="BN4" s="9">
        <v>2017</v>
      </c>
      <c r="BO4" s="9">
        <v>2018</v>
      </c>
      <c r="BP4" s="9">
        <v>2019</v>
      </c>
      <c r="BQ4" s="9">
        <v>2020</v>
      </c>
      <c r="BR4" s="99">
        <v>44317</v>
      </c>
      <c r="BS4" s="99">
        <v>44756</v>
      </c>
      <c r="BT4" s="15">
        <v>2009</v>
      </c>
      <c r="BU4" s="5">
        <v>2010</v>
      </c>
      <c r="BV4" s="5">
        <v>2011</v>
      </c>
      <c r="BW4" s="5">
        <v>2012</v>
      </c>
      <c r="BX4" s="5">
        <v>2013</v>
      </c>
      <c r="BY4" s="5">
        <v>2014</v>
      </c>
      <c r="BZ4" s="5">
        <v>2015</v>
      </c>
      <c r="CA4" s="5">
        <v>2016</v>
      </c>
      <c r="CB4" s="5">
        <v>2017</v>
      </c>
      <c r="CC4" s="5">
        <v>2018</v>
      </c>
      <c r="CD4" s="5">
        <v>2019</v>
      </c>
      <c r="CE4" s="5">
        <v>2020</v>
      </c>
      <c r="CF4" s="101">
        <v>2021</v>
      </c>
      <c r="CG4" s="102">
        <v>44682</v>
      </c>
      <c r="CH4" s="16">
        <v>2009</v>
      </c>
      <c r="CI4" s="6">
        <v>2010</v>
      </c>
      <c r="CJ4" s="6">
        <v>2011</v>
      </c>
      <c r="CK4" s="6">
        <v>2012</v>
      </c>
      <c r="CL4" s="6">
        <v>2013</v>
      </c>
      <c r="CM4" s="6">
        <v>2014</v>
      </c>
      <c r="CN4" s="6">
        <v>2015</v>
      </c>
      <c r="CO4" s="6">
        <v>2016</v>
      </c>
      <c r="CP4" s="6">
        <v>2017</v>
      </c>
      <c r="CQ4" s="6">
        <v>2018</v>
      </c>
      <c r="CR4" s="6">
        <v>2019</v>
      </c>
      <c r="CS4" s="6">
        <v>2020</v>
      </c>
      <c r="CT4" s="105">
        <v>2021</v>
      </c>
      <c r="CU4" s="105">
        <v>2022</v>
      </c>
      <c r="CV4" s="17">
        <v>2009</v>
      </c>
      <c r="CW4" s="7">
        <v>2010</v>
      </c>
      <c r="CX4" s="7">
        <v>2011</v>
      </c>
      <c r="CY4" s="7">
        <v>2012</v>
      </c>
      <c r="CZ4" s="7">
        <v>2013</v>
      </c>
      <c r="DA4" s="7">
        <v>2014</v>
      </c>
      <c r="DB4" s="7">
        <v>2015</v>
      </c>
      <c r="DC4" s="7">
        <v>2016</v>
      </c>
      <c r="DD4" s="7">
        <v>2017</v>
      </c>
      <c r="DE4" s="7">
        <v>2018</v>
      </c>
      <c r="DF4" s="7">
        <v>2019</v>
      </c>
      <c r="DG4" s="7">
        <v>2020</v>
      </c>
      <c r="DH4" s="103">
        <v>2021</v>
      </c>
      <c r="DI4" s="7">
        <v>2022</v>
      </c>
      <c r="DJ4" s="18">
        <v>2009</v>
      </c>
      <c r="DK4" s="8">
        <v>2010</v>
      </c>
      <c r="DL4" s="8">
        <v>2011</v>
      </c>
      <c r="DM4" s="8">
        <v>2012</v>
      </c>
      <c r="DN4" s="8">
        <v>2013</v>
      </c>
      <c r="DO4" s="8">
        <v>2014</v>
      </c>
      <c r="DP4" s="8">
        <v>2015</v>
      </c>
      <c r="DQ4" s="8">
        <v>2016</v>
      </c>
      <c r="DR4" s="8">
        <v>2017</v>
      </c>
      <c r="DS4" s="8">
        <v>2018</v>
      </c>
      <c r="DT4" s="8">
        <v>2019</v>
      </c>
      <c r="DU4" s="8">
        <v>2020</v>
      </c>
      <c r="DV4" s="111">
        <v>2021</v>
      </c>
      <c r="DW4" s="8">
        <v>2022</v>
      </c>
    </row>
    <row r="5" spans="1:127">
      <c r="A5" s="34" t="s">
        <v>14</v>
      </c>
      <c r="B5" s="35">
        <v>131233</v>
      </c>
      <c r="C5" s="35">
        <v>130275</v>
      </c>
      <c r="D5" s="35">
        <v>131842</v>
      </c>
      <c r="E5" s="35">
        <v>134104</v>
      </c>
      <c r="F5" s="35">
        <v>136393</v>
      </c>
      <c r="G5" s="35">
        <v>139042</v>
      </c>
      <c r="H5" s="85">
        <f t="shared" ref="H5:O5" si="0">SUM(H8:H23,H26:H38,H41:H52,H55:H64)</f>
        <v>142178.5</v>
      </c>
      <c r="I5" s="85">
        <f t="shared" si="0"/>
        <v>144593.20000000004</v>
      </c>
      <c r="J5" s="83">
        <f t="shared" si="0"/>
        <v>146567.80000000002</v>
      </c>
      <c r="K5" s="83">
        <f t="shared" si="0"/>
        <v>148836.5</v>
      </c>
      <c r="L5" s="85">
        <f t="shared" si="0"/>
        <v>150753.60000000003</v>
      </c>
      <c r="M5" s="85">
        <f t="shared" si="0"/>
        <v>141426.40000000002</v>
      </c>
      <c r="N5" s="85">
        <f t="shared" si="0"/>
        <v>146385.70000000001</v>
      </c>
      <c r="O5" s="85">
        <f t="shared" si="0"/>
        <v>152580.80000000002</v>
      </c>
      <c r="P5" s="36">
        <v>6227</v>
      </c>
      <c r="Q5" s="35">
        <v>6100</v>
      </c>
      <c r="R5" s="35">
        <v>6340</v>
      </c>
      <c r="S5" s="35">
        <v>6482</v>
      </c>
      <c r="T5" s="35">
        <v>6709</v>
      </c>
      <c r="U5" s="35">
        <v>7087</v>
      </c>
      <c r="V5" s="85">
        <f t="shared" ref="V5:AA5" si="1">SUM(V8:V23,V26:V38,V41:V52,V55:V64)</f>
        <v>7262.6</v>
      </c>
      <c r="W5" s="85">
        <f t="shared" si="1"/>
        <v>7372.1</v>
      </c>
      <c r="X5" s="83">
        <f t="shared" si="1"/>
        <v>7613.0000000000009</v>
      </c>
      <c r="Y5" s="83">
        <f t="shared" si="1"/>
        <v>7959.1999999999989</v>
      </c>
      <c r="Z5" s="85">
        <f t="shared" si="1"/>
        <v>8189.9999999999982</v>
      </c>
      <c r="AA5" s="85">
        <f t="shared" si="1"/>
        <v>7807.1</v>
      </c>
      <c r="AB5" s="85">
        <f t="shared" ref="AB5:AC5" si="2">SUM(AB8:AB23,AB26:AB38,AB41:AB52,AB55:AB64)</f>
        <v>8010.1</v>
      </c>
      <c r="AC5" s="85">
        <f t="shared" si="2"/>
        <v>8343.6999999999989</v>
      </c>
      <c r="AD5" s="36">
        <v>11494</v>
      </c>
      <c r="AE5" s="35">
        <v>11604</v>
      </c>
      <c r="AF5" s="35">
        <v>11800</v>
      </c>
      <c r="AG5" s="35">
        <v>11958</v>
      </c>
      <c r="AH5" s="35">
        <v>12084</v>
      </c>
      <c r="AI5" s="35">
        <v>12302</v>
      </c>
      <c r="AJ5" s="85">
        <f t="shared" ref="AJ5:AQ5" si="3">SUM(AJ8:AJ23,AJ26:AJ38,AJ41:AJ52,AJ55:AJ64)</f>
        <v>12333.000000000002</v>
      </c>
      <c r="AK5" s="85">
        <f t="shared" si="3"/>
        <v>12329.399999999998</v>
      </c>
      <c r="AL5" s="83">
        <f t="shared" si="3"/>
        <v>12432.699999999999</v>
      </c>
      <c r="AM5" s="83">
        <f t="shared" si="3"/>
        <v>12665.299999999996</v>
      </c>
      <c r="AN5" s="85">
        <f t="shared" si="3"/>
        <v>12792.8</v>
      </c>
      <c r="AO5" s="85">
        <f t="shared" si="3"/>
        <v>12097.200000000003</v>
      </c>
      <c r="AP5" s="85">
        <f t="shared" si="3"/>
        <v>12333.2</v>
      </c>
      <c r="AQ5" s="85">
        <f t="shared" si="3"/>
        <v>12786.600000000002</v>
      </c>
      <c r="AR5" s="36">
        <v>25145</v>
      </c>
      <c r="AS5" s="35">
        <v>25396</v>
      </c>
      <c r="AT5" s="35">
        <v>25914</v>
      </c>
      <c r="AU5" s="35">
        <v>26328</v>
      </c>
      <c r="AV5" s="35">
        <v>26862</v>
      </c>
      <c r="AW5" s="35">
        <v>27402</v>
      </c>
      <c r="AX5" s="85">
        <f t="shared" ref="AX5:BC5" si="4">SUM(AX8:AX23,AX26:AX38,AX41:AX52,AX55:AX64)</f>
        <v>26933.8</v>
      </c>
      <c r="AY5" s="85">
        <f t="shared" si="4"/>
        <v>27284.399999999998</v>
      </c>
      <c r="AZ5" s="83">
        <f t="shared" si="4"/>
        <v>27510.399999999998</v>
      </c>
      <c r="BA5" s="83">
        <f t="shared" si="4"/>
        <v>27653.799999999996</v>
      </c>
      <c r="BB5" s="85">
        <f t="shared" si="4"/>
        <v>27724.499999999996</v>
      </c>
      <c r="BC5" s="85">
        <f t="shared" si="4"/>
        <v>26633.900000000005</v>
      </c>
      <c r="BD5" s="85">
        <f t="shared" ref="BD5:BE5" si="5">SUM(BD8:BD23,BD26:BD38,BD41:BD52,BD55:BD64)</f>
        <v>27679.100000000002</v>
      </c>
      <c r="BE5" s="85">
        <f t="shared" si="5"/>
        <v>28659.5</v>
      </c>
      <c r="BF5" s="36">
        <v>2755</v>
      </c>
      <c r="BG5" s="35">
        <v>2698</v>
      </c>
      <c r="BH5" s="35">
        <v>2696</v>
      </c>
      <c r="BI5" s="35">
        <v>2681</v>
      </c>
      <c r="BJ5" s="35">
        <v>2732</v>
      </c>
      <c r="BK5" s="35">
        <v>2775</v>
      </c>
      <c r="BL5" s="85">
        <f t="shared" ref="BL5:BQ5" si="6">SUM(BL8:BL23,BL26:BL38,BL41:BL52,BL55:BL64)</f>
        <v>2770.0999999999995</v>
      </c>
      <c r="BM5" s="85">
        <f t="shared" si="6"/>
        <v>2811.6</v>
      </c>
      <c r="BN5" s="83">
        <f t="shared" si="6"/>
        <v>2816.7000000000003</v>
      </c>
      <c r="BO5" s="83">
        <f t="shared" si="6"/>
        <v>2840.9000000000005</v>
      </c>
      <c r="BP5" s="85">
        <f t="shared" si="6"/>
        <v>2867.2000000000003</v>
      </c>
      <c r="BQ5" s="85">
        <f t="shared" si="6"/>
        <v>2711.8000000000006</v>
      </c>
      <c r="BR5" s="85">
        <f t="shared" ref="BR5:BS5" si="7">SUM(BR8:BR23,BR26:BR38,BR41:BR52,BR55:BR64)</f>
        <v>2855.0000000000009</v>
      </c>
      <c r="BS5" s="85">
        <f t="shared" si="7"/>
        <v>3053</v>
      </c>
      <c r="BT5" s="36">
        <v>24325</v>
      </c>
      <c r="BU5" s="35">
        <v>24821</v>
      </c>
      <c r="BV5" s="35">
        <v>25441</v>
      </c>
      <c r="BW5" s="35">
        <v>26080</v>
      </c>
      <c r="BX5" s="35">
        <v>26723</v>
      </c>
      <c r="BY5" s="35">
        <v>27578</v>
      </c>
      <c r="BZ5" s="85">
        <f t="shared" ref="BZ5:CE5" si="8">SUM(BZ8:BZ23,BZ26:BZ38,BZ41:BZ52,BZ55:BZ64)</f>
        <v>27742.999999999996</v>
      </c>
      <c r="CA5" s="85">
        <f t="shared" si="8"/>
        <v>28309.400000000005</v>
      </c>
      <c r="CB5" s="83">
        <f t="shared" si="8"/>
        <v>28727.099999999995</v>
      </c>
      <c r="CC5" s="83">
        <f t="shared" si="8"/>
        <v>29354.699999999997</v>
      </c>
      <c r="CD5" s="85">
        <f t="shared" si="8"/>
        <v>29860.400000000001</v>
      </c>
      <c r="CE5" s="85">
        <f t="shared" si="8"/>
        <v>28816.699999999993</v>
      </c>
      <c r="CF5" s="85">
        <f t="shared" ref="CF5:CG5" si="9">SUM(CF8:CF23,CF26:CF38,CF41:CF52,CF55:CF64)</f>
        <v>30022.899999999991</v>
      </c>
      <c r="CG5" s="85">
        <f t="shared" si="9"/>
        <v>31672.600000000006</v>
      </c>
      <c r="CH5" s="36">
        <v>19890</v>
      </c>
      <c r="CI5" s="35">
        <v>20198</v>
      </c>
      <c r="CJ5" s="35">
        <v>20568</v>
      </c>
      <c r="CK5" s="35">
        <v>21086</v>
      </c>
      <c r="CL5" s="35">
        <v>21408</v>
      </c>
      <c r="CM5" s="35">
        <v>21893</v>
      </c>
      <c r="CN5" s="85">
        <f t="shared" ref="CN5:CS5" si="10">SUM(CN8:CN23,CN26:CN38,CN41:CN52,CN55:CN64)</f>
        <v>22059.999999999996</v>
      </c>
      <c r="CO5" s="85">
        <f t="shared" si="10"/>
        <v>22664.300000000003</v>
      </c>
      <c r="CP5" s="83">
        <f t="shared" si="10"/>
        <v>23131.899999999994</v>
      </c>
      <c r="CQ5" s="83">
        <f t="shared" si="10"/>
        <v>23616.3</v>
      </c>
      <c r="CR5" s="85">
        <f t="shared" si="10"/>
        <v>24100.100000000002</v>
      </c>
      <c r="CS5" s="85">
        <f t="shared" si="10"/>
        <v>23164.399999999994</v>
      </c>
      <c r="CT5" s="85">
        <f t="shared" ref="CT5:CU5" si="11">SUM(CT8:CT23,CT26:CT38,CT41:CT52,CT55:CT64)</f>
        <v>23384.299999999992</v>
      </c>
      <c r="CU5" s="85">
        <f t="shared" si="11"/>
        <v>24345.999999999996</v>
      </c>
      <c r="CV5" s="36">
        <v>17930</v>
      </c>
      <c r="CW5" s="35">
        <v>18132</v>
      </c>
      <c r="CX5" s="35">
        <v>18576</v>
      </c>
      <c r="CY5" s="35">
        <v>19078</v>
      </c>
      <c r="CZ5" s="35">
        <v>19630</v>
      </c>
      <c r="DA5" s="35">
        <v>20186</v>
      </c>
      <c r="DB5" s="85">
        <f t="shared" ref="DB5:DG5" si="12">SUM(DB8:DB23,DB26:DB38,DB41:DB52,DB55:DB64)</f>
        <v>20726.200000000004</v>
      </c>
      <c r="DC5" s="85">
        <f t="shared" si="12"/>
        <v>21261.200000000008</v>
      </c>
      <c r="DD5" s="83">
        <f t="shared" si="12"/>
        <v>21661.600000000006</v>
      </c>
      <c r="DE5" s="83">
        <f t="shared" si="12"/>
        <v>21970.900000000005</v>
      </c>
      <c r="DF5" s="85">
        <f t="shared" si="12"/>
        <v>22297.300000000003</v>
      </c>
      <c r="DG5" s="85">
        <f t="shared" si="12"/>
        <v>17975</v>
      </c>
      <c r="DH5" s="85">
        <f t="shared" ref="DH5:DI5" si="13">SUM(DH8:DH23,DH26:DH38,DH41:DH52,DH55:DH64)</f>
        <v>19583.100000000002</v>
      </c>
      <c r="DI5" s="85">
        <f t="shared" si="13"/>
        <v>21534.000000000004</v>
      </c>
      <c r="DJ5" s="36">
        <v>22840</v>
      </c>
      <c r="DK5" s="35">
        <v>22607</v>
      </c>
      <c r="DL5" s="35">
        <v>22290</v>
      </c>
      <c r="DM5" s="35">
        <v>22245</v>
      </c>
      <c r="DN5" s="35">
        <v>22179</v>
      </c>
      <c r="DO5" s="35">
        <v>22261</v>
      </c>
      <c r="DP5" s="85">
        <f>SUM(DQ8:DQ23,DQ26:DQ38,DQ41:DQ52,DQ55:DQ64)</f>
        <v>22563.3</v>
      </c>
      <c r="DQ5" s="85">
        <f>SUM(DQ8:DQ23,DQ26:DQ38,DQ41:DQ52,DQ55:DQ64)</f>
        <v>22563.3</v>
      </c>
      <c r="DR5" s="83">
        <f>SUM(DR8:DR23,DR26:DR38,DR41:DR52,DR55:DR64)</f>
        <v>22676.899999999998</v>
      </c>
      <c r="DS5" s="83">
        <f>SUM(DS8:DS23,DS26:DS38,DS41:DS52,DS55:DS64)</f>
        <v>22778.200000000004</v>
      </c>
      <c r="DT5" s="85">
        <f>SUM(DT8:DT23,DT26:DT38,DT41:DT52,DT55:DT64)</f>
        <v>22923.4</v>
      </c>
      <c r="DU5" s="85">
        <f>SUM(DU8:DU23,DU26:DU38,DU41:DU52,DU55:DU64)</f>
        <v>22223.200000000001</v>
      </c>
      <c r="DV5" s="85">
        <f t="shared" ref="DV5:DW5" si="14">SUM(DV8:DV23,DV26:DV38,DV41:DV52,DV55:DV64)</f>
        <v>22125.500000000007</v>
      </c>
      <c r="DW5" s="85">
        <f t="shared" si="14"/>
        <v>22287.1</v>
      </c>
    </row>
    <row r="6" spans="1:127">
      <c r="A6" s="20" t="s">
        <v>15</v>
      </c>
      <c r="B6" s="37">
        <f t="shared" ref="B6:BT6" si="15">SUM(B8:B23)</f>
        <v>46488.899999999994</v>
      </c>
      <c r="C6" s="37">
        <f t="shared" si="15"/>
        <v>46320.1</v>
      </c>
      <c r="D6" s="37">
        <f t="shared" si="15"/>
        <v>46935.4</v>
      </c>
      <c r="E6" s="37">
        <f t="shared" ref="E6:F6" si="16">SUM(E8:E23)</f>
        <v>47805.000000000007</v>
      </c>
      <c r="F6" s="37">
        <f t="shared" si="16"/>
        <v>48698.799999999996</v>
      </c>
      <c r="G6" s="37">
        <f t="shared" ref="G6:I6" si="17">SUM(G8:G23)</f>
        <v>49753.000000000007</v>
      </c>
      <c r="H6" s="37">
        <f t="shared" si="17"/>
        <v>50958.999999999993</v>
      </c>
      <c r="I6" s="37">
        <f t="shared" si="17"/>
        <v>51860.5</v>
      </c>
      <c r="J6" s="37">
        <f t="shared" ref="J6" si="18">SUM(J8:J23)</f>
        <v>52593.3</v>
      </c>
      <c r="K6" s="37">
        <f t="shared" ref="K6" si="19">SUM(K8:K23)</f>
        <v>53510.5</v>
      </c>
      <c r="L6" s="37">
        <f>SUM(L8:L23)</f>
        <v>54404.3</v>
      </c>
      <c r="M6" s="37">
        <f>SUM(M8:M23)</f>
        <v>51811.100000000006</v>
      </c>
      <c r="N6" s="37">
        <f t="shared" ref="N6:O6" si="20">SUM(N8:N23)</f>
        <v>53735.199999999997</v>
      </c>
      <c r="O6" s="37">
        <f t="shared" si="20"/>
        <v>56089.200000000004</v>
      </c>
      <c r="P6" s="38">
        <f t="shared" si="15"/>
        <v>2829.1</v>
      </c>
      <c r="Q6" s="37">
        <f t="shared" si="15"/>
        <v>2663.7999999999997</v>
      </c>
      <c r="R6" s="37">
        <f t="shared" si="15"/>
        <v>2677.5000000000005</v>
      </c>
      <c r="S6" s="37">
        <f t="shared" ref="S6:V6" si="21">SUM(S8:S23)</f>
        <v>2742.9</v>
      </c>
      <c r="T6" s="37">
        <f t="shared" si="21"/>
        <v>2827.7000000000003</v>
      </c>
      <c r="U6" s="37">
        <f t="shared" ref="U6:W6" si="22">SUM(U8:U23)</f>
        <v>2953.6</v>
      </c>
      <c r="V6" s="37">
        <f t="shared" si="21"/>
        <v>3019.7</v>
      </c>
      <c r="W6" s="37">
        <f t="shared" si="22"/>
        <v>3030.3</v>
      </c>
      <c r="X6" s="37">
        <f t="shared" ref="X6:Y6" si="23">SUM(X8:X23)</f>
        <v>3119.4</v>
      </c>
      <c r="Y6" s="37">
        <f t="shared" si="23"/>
        <v>3269.9</v>
      </c>
      <c r="Z6" s="37">
        <f t="shared" ref="Z6:AA6" si="24">SUM(Z8:Z23)</f>
        <v>3366.1</v>
      </c>
      <c r="AA6" s="37">
        <f t="shared" si="24"/>
        <v>3183.0000000000005</v>
      </c>
      <c r="AB6" s="37">
        <f t="shared" ref="AB6:AC6" si="25">SUM(AB8:AB23)</f>
        <v>3225.2999999999997</v>
      </c>
      <c r="AC6" s="37">
        <f t="shared" si="25"/>
        <v>3367.4999999999991</v>
      </c>
      <c r="AD6" s="38">
        <f t="shared" si="15"/>
        <v>3967</v>
      </c>
      <c r="AE6" s="37">
        <f t="shared" si="15"/>
        <v>3831.6000000000004</v>
      </c>
      <c r="AF6" s="37">
        <f t="shared" si="15"/>
        <v>3890.2000000000007</v>
      </c>
      <c r="AG6" s="37">
        <f t="shared" ref="AG6:AH6" si="26">SUM(AG8:AG23)</f>
        <v>3967.7999999999997</v>
      </c>
      <c r="AH6" s="37">
        <f t="shared" si="26"/>
        <v>4000.7000000000003</v>
      </c>
      <c r="AI6" s="37">
        <f t="shared" ref="AI6:AK6" si="27">SUM(AI8:AI23)</f>
        <v>4062.7999999999997</v>
      </c>
      <c r="AJ6" s="37">
        <f t="shared" si="27"/>
        <v>4120.3</v>
      </c>
      <c r="AK6" s="37">
        <f t="shared" si="27"/>
        <v>4117.8</v>
      </c>
      <c r="AL6" s="37">
        <f t="shared" ref="AL6:AM6" si="28">SUM(AL8:AL23)</f>
        <v>4159.3999999999996</v>
      </c>
      <c r="AM6" s="37">
        <f t="shared" si="28"/>
        <v>4253.6000000000004</v>
      </c>
      <c r="AN6" s="37">
        <f t="shared" ref="AN6:AQ6" si="29">SUM(AN8:AN23)</f>
        <v>4327.8999999999996</v>
      </c>
      <c r="AO6" s="37">
        <f t="shared" si="29"/>
        <v>4126</v>
      </c>
      <c r="AP6" s="37">
        <f t="shared" si="29"/>
        <v>4207.8999999999996</v>
      </c>
      <c r="AQ6" s="37">
        <f t="shared" si="29"/>
        <v>4383.2</v>
      </c>
      <c r="AR6" s="38">
        <f t="shared" si="15"/>
        <v>9097</v>
      </c>
      <c r="AS6" s="37">
        <f t="shared" si="15"/>
        <v>9029.2000000000025</v>
      </c>
      <c r="AT6" s="37">
        <f t="shared" si="15"/>
        <v>9193.7999999999993</v>
      </c>
      <c r="AU6" s="37">
        <f t="shared" ref="AU6" si="30">SUM(AU8:AU23)</f>
        <v>9371.8000000000011</v>
      </c>
      <c r="AV6" s="37">
        <f>SUM(AW8:AW23)</f>
        <v>9762.1999999999989</v>
      </c>
      <c r="AW6" s="37">
        <f t="shared" ref="AW6:AY6" si="31">SUM(AW8:AW23)</f>
        <v>9762.1999999999989</v>
      </c>
      <c r="AX6" s="37">
        <f t="shared" si="31"/>
        <v>10036.1</v>
      </c>
      <c r="AY6" s="37">
        <f t="shared" si="31"/>
        <v>10189.499999999998</v>
      </c>
      <c r="AZ6" s="37">
        <f t="shared" ref="AZ6" si="32">SUM(AZ8:AZ23)</f>
        <v>10269.700000000003</v>
      </c>
      <c r="BA6" s="37">
        <f t="shared" ref="BA6:BB6" si="33">SUM(BA8:BA23)</f>
        <v>10359</v>
      </c>
      <c r="BB6" s="37">
        <f t="shared" si="33"/>
        <v>10440.599999999999</v>
      </c>
      <c r="BC6" s="37">
        <f t="shared" ref="BC6:BE6" si="34">SUM(BC8:BC23)</f>
        <v>10182.600000000002</v>
      </c>
      <c r="BD6" s="37">
        <f t="shared" si="34"/>
        <v>10644.300000000001</v>
      </c>
      <c r="BE6" s="37">
        <f t="shared" si="34"/>
        <v>11083.7</v>
      </c>
      <c r="BF6" s="38">
        <f t="shared" si="15"/>
        <v>872.80000000000018</v>
      </c>
      <c r="BG6" s="37">
        <f t="shared" si="15"/>
        <v>835.09999999999991</v>
      </c>
      <c r="BH6" s="37">
        <f t="shared" si="15"/>
        <v>822.5</v>
      </c>
      <c r="BI6" s="37">
        <f t="shared" ref="BI6:BJ6" si="35">SUM(BI8:BI23)</f>
        <v>819.80000000000007</v>
      </c>
      <c r="BJ6" s="37">
        <f t="shared" si="35"/>
        <v>828.4</v>
      </c>
      <c r="BK6" s="37">
        <f t="shared" ref="BK6:BM6" si="36">SUM(BK8:BK23)</f>
        <v>836.1</v>
      </c>
      <c r="BL6" s="37">
        <f t="shared" si="36"/>
        <v>836.80000000000007</v>
      </c>
      <c r="BM6" s="37">
        <f t="shared" si="36"/>
        <v>835.40000000000009</v>
      </c>
      <c r="BN6" s="37">
        <f t="shared" ref="BN6:BO6" si="37">SUM(BN8:BN23)</f>
        <v>838.50000000000011</v>
      </c>
      <c r="BO6" s="37">
        <f t="shared" si="37"/>
        <v>836.2</v>
      </c>
      <c r="BP6" s="37">
        <f t="shared" ref="BP6:BQ6" si="38">SUM(BP8:BP23)</f>
        <v>835.5</v>
      </c>
      <c r="BQ6" s="37">
        <f t="shared" si="38"/>
        <v>786.2</v>
      </c>
      <c r="BR6" s="37">
        <f t="shared" ref="BR6:BS6" si="39">SUM(BR8:BR23)</f>
        <v>836.7</v>
      </c>
      <c r="BS6" s="37">
        <f t="shared" si="39"/>
        <v>905.3</v>
      </c>
      <c r="BT6" s="38">
        <f t="shared" si="15"/>
        <v>8432</v>
      </c>
      <c r="BU6" s="37">
        <f t="shared" ref="BU6:DL6" si="40">SUM(BU8:BU23)</f>
        <v>8524.1999999999989</v>
      </c>
      <c r="BV6" s="37">
        <f t="shared" si="40"/>
        <v>8783.5</v>
      </c>
      <c r="BW6" s="37">
        <f t="shared" ref="BW6:BX6" si="41">SUM(BW8:BW23)</f>
        <v>9050.9000000000015</v>
      </c>
      <c r="BX6" s="37">
        <f t="shared" si="41"/>
        <v>9305.5</v>
      </c>
      <c r="BY6" s="37">
        <f t="shared" ref="BY6:CA6" si="42">SUM(BY8:BY23)</f>
        <v>9585.2000000000007</v>
      </c>
      <c r="BZ6" s="37">
        <f t="shared" si="42"/>
        <v>9875.1</v>
      </c>
      <c r="CA6" s="37">
        <f t="shared" si="42"/>
        <v>10100.799999999999</v>
      </c>
      <c r="CB6" s="37">
        <f t="shared" ref="CB6:CC6" si="43">SUM(CB8:CB23)</f>
        <v>10300.5</v>
      </c>
      <c r="CC6" s="37">
        <f t="shared" si="43"/>
        <v>10590.400000000001</v>
      </c>
      <c r="CD6" s="37">
        <f t="shared" ref="CD6:CE6" si="44">SUM(CD8:CD23)</f>
        <v>10838.6</v>
      </c>
      <c r="CE6" s="37">
        <f t="shared" si="44"/>
        <v>10610.199999999999</v>
      </c>
      <c r="CF6" s="37">
        <f t="shared" ref="CF6:CG6" si="45">SUM(CF8:CF23)</f>
        <v>11194</v>
      </c>
      <c r="CG6" s="37">
        <f t="shared" si="45"/>
        <v>11852.499999999998</v>
      </c>
      <c r="CH6" s="38">
        <f>SUM(CI8:CI23)</f>
        <v>6353.1</v>
      </c>
      <c r="CI6" s="37">
        <f t="shared" si="40"/>
        <v>6353.1</v>
      </c>
      <c r="CJ6" s="37">
        <f t="shared" si="40"/>
        <v>6463.2999999999993</v>
      </c>
      <c r="CK6" s="37">
        <f t="shared" ref="CK6:CL6" si="46">SUM(CK8:CK23)</f>
        <v>6589.9000000000005</v>
      </c>
      <c r="CL6" s="37">
        <f t="shared" si="46"/>
        <v>6717.8000000000011</v>
      </c>
      <c r="CM6" s="37">
        <f t="shared" ref="CM6:CO6" si="47">SUM(CM8:CM23)</f>
        <v>6848.4999999999982</v>
      </c>
      <c r="CN6" s="37">
        <f t="shared" si="47"/>
        <v>7051.5</v>
      </c>
      <c r="CO6" s="37">
        <f t="shared" si="47"/>
        <v>7253.3999999999987</v>
      </c>
      <c r="CP6" s="37">
        <f t="shared" ref="CP6:CQ6" si="48">SUM(CP8:CP23)</f>
        <v>7379.7000000000007</v>
      </c>
      <c r="CQ6" s="37">
        <f t="shared" si="48"/>
        <v>7519.2000000000007</v>
      </c>
      <c r="CR6" s="37">
        <f t="shared" ref="CR6:CS6" si="49">SUM(CR8:CR23)</f>
        <v>7689.6999999999989</v>
      </c>
      <c r="CS6" s="37">
        <f t="shared" si="49"/>
        <v>7435.0000000000009</v>
      </c>
      <c r="CT6" s="37">
        <f t="shared" ref="CT6:CU6" si="50">SUM(CT8:CT23)</f>
        <v>7613.2000000000007</v>
      </c>
      <c r="CU6" s="37">
        <f t="shared" si="50"/>
        <v>7851.2000000000007</v>
      </c>
      <c r="CV6" s="38">
        <f t="shared" si="40"/>
        <v>6630.7999999999993</v>
      </c>
      <c r="CW6" s="37">
        <f t="shared" si="40"/>
        <v>6596.3000000000011</v>
      </c>
      <c r="CX6" s="37">
        <f t="shared" si="40"/>
        <v>6717.5</v>
      </c>
      <c r="CY6" s="37">
        <f t="shared" ref="CY6:CZ6" si="51">SUM(CY8:CY23)</f>
        <v>6923.3</v>
      </c>
      <c r="CZ6" s="37">
        <f t="shared" si="51"/>
        <v>7141.3</v>
      </c>
      <c r="DA6" s="37">
        <f t="shared" ref="DA6:DC6" si="52">SUM(DA8:DA23)</f>
        <v>7356.9999999999991</v>
      </c>
      <c r="DB6" s="37">
        <f t="shared" si="52"/>
        <v>7606</v>
      </c>
      <c r="DC6" s="37">
        <f t="shared" si="52"/>
        <v>7838.1000000000013</v>
      </c>
      <c r="DD6" s="37">
        <f t="shared" ref="DD6:DE6" si="53">SUM(DD8:DD23)</f>
        <v>7990.9000000000005</v>
      </c>
      <c r="DE6" s="37">
        <f t="shared" si="53"/>
        <v>8113.2</v>
      </c>
      <c r="DF6" s="37">
        <f t="shared" ref="DF6:DG6" si="54">SUM(DF8:DF23)</f>
        <v>8282.6</v>
      </c>
      <c r="DG6" s="37">
        <f t="shared" si="54"/>
        <v>7007.2999999999993</v>
      </c>
      <c r="DH6" s="37">
        <f t="shared" ref="DH6:DI6" si="55">SUM(DH8:DH23)</f>
        <v>7572.6000000000013</v>
      </c>
      <c r="DI6" s="37">
        <f t="shared" si="55"/>
        <v>8208.4000000000015</v>
      </c>
      <c r="DJ6" s="38">
        <f t="shared" si="40"/>
        <v>8435.5999999999985</v>
      </c>
      <c r="DK6" s="37">
        <f t="shared" si="40"/>
        <v>8487.1</v>
      </c>
      <c r="DL6" s="37">
        <f t="shared" si="40"/>
        <v>8387.2999999999993</v>
      </c>
      <c r="DM6" s="37">
        <f t="shared" ref="DM6:DN6" si="56">SUM(DM8:DM23)</f>
        <v>8339.4</v>
      </c>
      <c r="DN6" s="37">
        <f t="shared" si="56"/>
        <v>8342.8000000000011</v>
      </c>
      <c r="DO6" s="37">
        <f t="shared" ref="DO6:DQ6" si="57">SUM(DO8:DO23)</f>
        <v>8348.6</v>
      </c>
      <c r="DP6" s="37">
        <f>SUM(DQ8:DQ23)</f>
        <v>8495.6</v>
      </c>
      <c r="DQ6" s="37">
        <f t="shared" si="57"/>
        <v>8495.6</v>
      </c>
      <c r="DR6" s="37">
        <f t="shared" ref="DR6:DS6" si="58">SUM(DR8:DR23)</f>
        <v>8535.5</v>
      </c>
      <c r="DS6" s="86">
        <f t="shared" si="58"/>
        <v>8570.2000000000007</v>
      </c>
      <c r="DT6" s="86">
        <f t="shared" ref="DT6:DU6" si="59">SUM(DT8:DT23)</f>
        <v>8623.9</v>
      </c>
      <c r="DU6" s="37">
        <f t="shared" si="59"/>
        <v>8482.1</v>
      </c>
      <c r="DV6" s="37">
        <f t="shared" ref="DV6:DW6" si="60">SUM(DV8:DV23)</f>
        <v>8441.2999999999993</v>
      </c>
      <c r="DW6" s="37">
        <f t="shared" si="60"/>
        <v>8525</v>
      </c>
    </row>
    <row r="7" spans="1:127">
      <c r="A7" s="19" t="s">
        <v>91</v>
      </c>
      <c r="B7" s="37">
        <f t="shared" ref="B7:BT7" si="61">(B6/B5)*100</f>
        <v>35.42470262814993</v>
      </c>
      <c r="C7" s="37">
        <f t="shared" si="61"/>
        <v>35.555632316254076</v>
      </c>
      <c r="D7" s="37">
        <f t="shared" si="61"/>
        <v>35.599733013758893</v>
      </c>
      <c r="E7" s="37">
        <f t="shared" ref="E7:H7" si="62">(E6/E5)*100</f>
        <v>35.647706257829746</v>
      </c>
      <c r="F7" s="37">
        <f t="shared" si="62"/>
        <v>35.704764907289963</v>
      </c>
      <c r="G7" s="37">
        <f t="shared" ref="G7:I7" si="63">(G6/G5)*100</f>
        <v>35.782713137037739</v>
      </c>
      <c r="H7" s="37">
        <f t="shared" si="62"/>
        <v>35.841565356224741</v>
      </c>
      <c r="I7" s="37">
        <f t="shared" si="63"/>
        <v>35.866486114146433</v>
      </c>
      <c r="J7" s="37">
        <f t="shared" ref="J7" si="64">(J6/J5)*100</f>
        <v>35.883256758987983</v>
      </c>
      <c r="K7" s="37">
        <f t="shared" ref="K7" si="65">(K6/K5)*100</f>
        <v>35.952538523816401</v>
      </c>
      <c r="L7" s="37">
        <f>(L6/L5)*100</f>
        <v>36.088226085479874</v>
      </c>
      <c r="M7" s="37">
        <f>(M6/M5)*100</f>
        <v>36.63467358286713</v>
      </c>
      <c r="N7" s="37">
        <f t="shared" ref="N7:O7" si="66">(N6/N5)*100</f>
        <v>36.707957129692311</v>
      </c>
      <c r="O7" s="37">
        <f t="shared" si="66"/>
        <v>36.760326332015559</v>
      </c>
      <c r="P7" s="38">
        <f t="shared" si="61"/>
        <v>45.432792677051545</v>
      </c>
      <c r="Q7" s="37">
        <f t="shared" si="61"/>
        <v>43.668852459016385</v>
      </c>
      <c r="R7" s="37">
        <f t="shared" si="61"/>
        <v>42.23186119873818</v>
      </c>
      <c r="S7" s="37">
        <f t="shared" ref="S7:T7" si="67">(S6/S5)*100</f>
        <v>42.315643319962973</v>
      </c>
      <c r="T7" s="37">
        <f t="shared" si="67"/>
        <v>42.147861082128493</v>
      </c>
      <c r="U7" s="37">
        <f t="shared" ref="U7:W7" si="68">(U6/U5)*100</f>
        <v>41.676308734302239</v>
      </c>
      <c r="V7" s="37">
        <f t="shared" si="68"/>
        <v>41.578773442018004</v>
      </c>
      <c r="W7" s="37">
        <f t="shared" si="68"/>
        <v>41.104976872261631</v>
      </c>
      <c r="X7" s="37">
        <f t="shared" ref="X7:Y7" si="69">(X6/X5)*100</f>
        <v>40.974648627347953</v>
      </c>
      <c r="Y7" s="37">
        <f t="shared" si="69"/>
        <v>41.083274700974982</v>
      </c>
      <c r="Z7" s="37">
        <f t="shared" ref="Z7:AA7" si="70">(Z6/Z5)*100</f>
        <v>41.100122100122114</v>
      </c>
      <c r="AA7" s="37">
        <f t="shared" si="70"/>
        <v>40.770580625328229</v>
      </c>
      <c r="AB7" s="37">
        <f t="shared" ref="AB7:AC7" si="71">(AB6/AB5)*100</f>
        <v>40.265414913671485</v>
      </c>
      <c r="AC7" s="37">
        <f t="shared" si="71"/>
        <v>40.359792418231713</v>
      </c>
      <c r="AD7" s="38">
        <f t="shared" si="61"/>
        <v>34.513659300504614</v>
      </c>
      <c r="AE7" s="37">
        <f t="shared" si="61"/>
        <v>33.019648397104447</v>
      </c>
      <c r="AF7" s="37">
        <f t="shared" si="61"/>
        <v>32.967796610169501</v>
      </c>
      <c r="AG7" s="37">
        <f t="shared" ref="AG7:AH7" si="72">(AG6/AG5)*100</f>
        <v>33.181133968891118</v>
      </c>
      <c r="AH7" s="37">
        <f t="shared" si="72"/>
        <v>33.107414763323405</v>
      </c>
      <c r="AI7" s="37">
        <f t="shared" ref="AI7:AK7" si="73">(AI6/AI5)*100</f>
        <v>33.025524304991052</v>
      </c>
      <c r="AJ7" s="37">
        <f t="shared" si="73"/>
        <v>33.408740776777748</v>
      </c>
      <c r="AK7" s="37">
        <f t="shared" si="73"/>
        <v>33.398218891430247</v>
      </c>
      <c r="AL7" s="37">
        <f t="shared" ref="AL7:AM7" si="74">(AL6/AL5)*100</f>
        <v>33.455323461516805</v>
      </c>
      <c r="AM7" s="37">
        <f t="shared" si="74"/>
        <v>33.584676241383953</v>
      </c>
      <c r="AN7" s="37">
        <f t="shared" ref="AN7:AQ7" si="75">(AN6/AN5)*100</f>
        <v>33.830748546057151</v>
      </c>
      <c r="AO7" s="37">
        <f t="shared" si="75"/>
        <v>34.107066097940013</v>
      </c>
      <c r="AP7" s="37">
        <f t="shared" si="75"/>
        <v>34.118476956507635</v>
      </c>
      <c r="AQ7" s="37">
        <f t="shared" si="75"/>
        <v>34.279636494455126</v>
      </c>
      <c r="AR7" s="38">
        <f t="shared" si="61"/>
        <v>36.178166633525549</v>
      </c>
      <c r="AS7" s="37">
        <f t="shared" si="61"/>
        <v>35.553630492991033</v>
      </c>
      <c r="AT7" s="37">
        <f t="shared" si="61"/>
        <v>35.478119935170177</v>
      </c>
      <c r="AU7" s="37">
        <f t="shared" ref="AU7" si="76">(AU6/AU5)*100</f>
        <v>35.596323305986026</v>
      </c>
      <c r="AV7" s="37">
        <f>(AW6/AW5)*100</f>
        <v>35.625866725056561</v>
      </c>
      <c r="AW7" s="37">
        <f t="shared" ref="AW7:AY7" si="77">(AW6/AW5)*100</f>
        <v>35.625866725056561</v>
      </c>
      <c r="AX7" s="37">
        <f t="shared" si="77"/>
        <v>37.26210189427411</v>
      </c>
      <c r="AY7" s="37">
        <f t="shared" si="77"/>
        <v>37.345516119101021</v>
      </c>
      <c r="AZ7" s="37">
        <f t="shared" ref="AZ7" si="78">(AZ6/AZ5)*100</f>
        <v>37.330246016052122</v>
      </c>
      <c r="BA7" s="37">
        <f t="shared" ref="BA7:BB7" si="79">(BA6/BA5)*100</f>
        <v>37.459589640483408</v>
      </c>
      <c r="BB7" s="37">
        <f t="shared" si="79"/>
        <v>37.658388789698641</v>
      </c>
      <c r="BC7" s="37">
        <f t="shared" ref="BC7:BE7" si="80">(BC6/BC5)*100</f>
        <v>38.231727234839816</v>
      </c>
      <c r="BD7" s="37">
        <f t="shared" si="80"/>
        <v>38.456091419157417</v>
      </c>
      <c r="BE7" s="37">
        <f t="shared" si="80"/>
        <v>38.673738201992364</v>
      </c>
      <c r="BF7" s="38">
        <f t="shared" si="61"/>
        <v>31.680580762250461</v>
      </c>
      <c r="BG7" s="37">
        <f t="shared" si="61"/>
        <v>30.952557449962931</v>
      </c>
      <c r="BH7" s="37">
        <f t="shared" si="61"/>
        <v>30.508160237388726</v>
      </c>
      <c r="BI7" s="37">
        <f t="shared" ref="BI7:BJ7" si="81">(BI6/BI5)*100</f>
        <v>30.578142484147708</v>
      </c>
      <c r="BJ7" s="37">
        <f t="shared" si="81"/>
        <v>30.322108345534403</v>
      </c>
      <c r="BK7" s="37">
        <f t="shared" ref="BK7:BM7" si="82">(BK6/BK5)*100</f>
        <v>30.129729729729732</v>
      </c>
      <c r="BL7" s="37">
        <f t="shared" si="82"/>
        <v>30.208295729396056</v>
      </c>
      <c r="BM7" s="37">
        <f t="shared" si="82"/>
        <v>29.712619149238872</v>
      </c>
      <c r="BN7" s="37">
        <f t="shared" ref="BN7:BO7" si="83">(BN6/BN5)*100</f>
        <v>29.768878474810951</v>
      </c>
      <c r="BO7" s="37">
        <f t="shared" si="83"/>
        <v>29.434334189869404</v>
      </c>
      <c r="BP7" s="37">
        <f t="shared" ref="BP7:BQ7" si="84">(BP6/BP5)*100</f>
        <v>29.139927455357139</v>
      </c>
      <c r="BQ7" s="37">
        <f t="shared" si="84"/>
        <v>28.991813555571937</v>
      </c>
      <c r="BR7" s="37">
        <f t="shared" ref="BR7:BS7" si="85">(BR6/BR5)*100</f>
        <v>29.306479859894914</v>
      </c>
      <c r="BS7" s="37">
        <f t="shared" si="85"/>
        <v>29.652800524074678</v>
      </c>
      <c r="BT7" s="38">
        <f t="shared" si="61"/>
        <v>34.663926002055504</v>
      </c>
      <c r="BU7" s="37">
        <f t="shared" ref="BU7:DL7" si="86">(BU6/BU5)*100</f>
        <v>34.342693686797467</v>
      </c>
      <c r="BV7" s="37">
        <f t="shared" si="86"/>
        <v>34.524979364018712</v>
      </c>
      <c r="BW7" s="37">
        <f t="shared" ref="BW7:BX7" si="87">(BW6/BW5)*100</f>
        <v>34.704371165644176</v>
      </c>
      <c r="BX7" s="37">
        <f t="shared" si="87"/>
        <v>34.822063391086324</v>
      </c>
      <c r="BY7" s="37">
        <f t="shared" ref="BY7:CA7" si="88">(BY6/BY5)*100</f>
        <v>34.756690115309311</v>
      </c>
      <c r="BZ7" s="37">
        <f t="shared" si="88"/>
        <v>35.59492484590708</v>
      </c>
      <c r="CA7" s="37">
        <f t="shared" si="88"/>
        <v>35.680021476965237</v>
      </c>
      <c r="CB7" s="37">
        <f t="shared" ref="CB7:CC7" si="89">(CB6/CB5)*100</f>
        <v>35.85638647827313</v>
      </c>
      <c r="CC7" s="37">
        <f t="shared" si="89"/>
        <v>36.077357288611374</v>
      </c>
      <c r="CD7" s="37">
        <f t="shared" ref="CD7:CE7" si="90">(CD6/CD5)*100</f>
        <v>36.297571365420424</v>
      </c>
      <c r="CE7" s="37">
        <f t="shared" si="90"/>
        <v>36.819621955324521</v>
      </c>
      <c r="CF7" s="37">
        <f t="shared" ref="CF7:CG7" si="91">(CF6/CF5)*100</f>
        <v>37.284872547288913</v>
      </c>
      <c r="CG7" s="37">
        <f t="shared" si="91"/>
        <v>37.421935679420052</v>
      </c>
      <c r="CH7" s="38">
        <f>(CI6/CI5)*100</f>
        <v>31.454104366768988</v>
      </c>
      <c r="CI7" s="37">
        <f t="shared" si="86"/>
        <v>31.454104366768988</v>
      </c>
      <c r="CJ7" s="37">
        <f t="shared" si="86"/>
        <v>31.424056787242314</v>
      </c>
      <c r="CK7" s="37">
        <f t="shared" ref="CK7:CL7" si="92">(CK6/CK5)*100</f>
        <v>31.252489803661199</v>
      </c>
      <c r="CL7" s="37">
        <f t="shared" si="92"/>
        <v>31.379857997010468</v>
      </c>
      <c r="CM7" s="37">
        <f t="shared" ref="CM7:CO7" si="93">(CM6/CM5)*100</f>
        <v>31.28168821084364</v>
      </c>
      <c r="CN7" s="37">
        <f t="shared" si="93"/>
        <v>31.965095194922945</v>
      </c>
      <c r="CO7" s="37">
        <f t="shared" si="93"/>
        <v>32.003635673724744</v>
      </c>
      <c r="CP7" s="37">
        <f t="shared" ref="CP7:CQ7" si="94">(CP6/CP5)*100</f>
        <v>31.902697141177345</v>
      </c>
      <c r="CQ7" s="37">
        <f t="shared" si="94"/>
        <v>31.839026435131672</v>
      </c>
      <c r="CR7" s="37">
        <f t="shared" ref="CR7:CS7" si="95">(CR6/CR5)*100</f>
        <v>31.907336484080972</v>
      </c>
      <c r="CS7" s="37">
        <f t="shared" si="95"/>
        <v>32.096665573034493</v>
      </c>
      <c r="CT7" s="37">
        <f t="shared" ref="CT7:CU7" si="96">(CT6/CT5)*100</f>
        <v>32.556886458008165</v>
      </c>
      <c r="CU7" s="37">
        <f t="shared" si="96"/>
        <v>32.248418631397364</v>
      </c>
      <c r="CV7" s="38">
        <f t="shared" si="86"/>
        <v>36.981595092024541</v>
      </c>
      <c r="CW7" s="37">
        <f t="shared" si="86"/>
        <v>36.379329362453127</v>
      </c>
      <c r="CX7" s="37">
        <f t="shared" si="86"/>
        <v>36.162252368647721</v>
      </c>
      <c r="CY7" s="37">
        <f t="shared" ref="CY7:CZ7" si="97">(CY6/CY5)*100</f>
        <v>36.289443337876087</v>
      </c>
      <c r="CZ7" s="37">
        <f t="shared" si="97"/>
        <v>36.379521141110544</v>
      </c>
      <c r="DA7" s="37">
        <f t="shared" ref="DA7:DC7" si="98">(DA6/DA5)*100</f>
        <v>36.44605171901317</v>
      </c>
      <c r="DB7" s="37">
        <f t="shared" si="98"/>
        <v>36.697513292354593</v>
      </c>
      <c r="DC7" s="37">
        <f t="shared" si="98"/>
        <v>36.865746053844553</v>
      </c>
      <c r="DD7" s="37">
        <f t="shared" ref="DD7:DE7" si="99">(DD6/DD5)*100</f>
        <v>36.889703438342494</v>
      </c>
      <c r="DE7" s="37">
        <f t="shared" si="99"/>
        <v>36.92702620284102</v>
      </c>
      <c r="DF7" s="37">
        <f t="shared" ref="DF7:DG7" si="100">(DF6/DF5)*100</f>
        <v>37.146201558036175</v>
      </c>
      <c r="DG7" s="37">
        <f t="shared" si="100"/>
        <v>38.983588317107085</v>
      </c>
      <c r="DH7" s="37">
        <f t="shared" ref="DH7:DI7" si="101">(DH6/DH5)*100</f>
        <v>38.669056482375112</v>
      </c>
      <c r="DI7" s="37">
        <f t="shared" si="101"/>
        <v>38.118324510077088</v>
      </c>
      <c r="DJ7" s="38">
        <f t="shared" si="86"/>
        <v>36.933450087565667</v>
      </c>
      <c r="DK7" s="37">
        <f t="shared" si="86"/>
        <v>37.541911797230945</v>
      </c>
      <c r="DL7" s="37">
        <f t="shared" si="86"/>
        <v>37.628084342754597</v>
      </c>
      <c r="DM7" s="37">
        <f t="shared" ref="DM7:DN7" si="102">(DM6/DM5)*100</f>
        <v>37.488873904248145</v>
      </c>
      <c r="DN7" s="37">
        <f t="shared" si="102"/>
        <v>37.615762658370535</v>
      </c>
      <c r="DO7" s="37">
        <f t="shared" ref="DO7:DQ7" si="103">(DO6/DO5)*100</f>
        <v>37.503256816854588</v>
      </c>
      <c r="DP7" s="37">
        <f>(DQ6/DQ5)*100</f>
        <v>37.652293769085198</v>
      </c>
      <c r="DQ7" s="37">
        <f t="shared" si="103"/>
        <v>37.652293769085198</v>
      </c>
      <c r="DR7" s="37">
        <f t="shared" ref="DR7:DS7" si="104">(DR6/DR5)*100</f>
        <v>37.639624463661264</v>
      </c>
      <c r="DS7" s="37">
        <f t="shared" si="104"/>
        <v>37.624570861613293</v>
      </c>
      <c r="DT7" s="37">
        <f t="shared" ref="DT7:DU7" si="105">(DT6/DT5)*100</f>
        <v>37.620510046502694</v>
      </c>
      <c r="DU7" s="37">
        <f t="shared" si="105"/>
        <v>38.167770618092803</v>
      </c>
      <c r="DV7" s="37">
        <f t="shared" ref="DV7:DW7" si="106">(DV6/DV5)*100</f>
        <v>38.151906171611927</v>
      </c>
      <c r="DW7" s="37">
        <f t="shared" si="106"/>
        <v>38.250826711416025</v>
      </c>
    </row>
    <row r="8" spans="1:127" ht="14.45">
      <c r="A8" s="20" t="s">
        <v>17</v>
      </c>
      <c r="B8" s="39">
        <v>1886.5</v>
      </c>
      <c r="C8" s="39">
        <v>1870.8</v>
      </c>
      <c r="D8" s="39">
        <v>1870</v>
      </c>
      <c r="E8" s="39">
        <v>1885.1</v>
      </c>
      <c r="F8" s="39">
        <v>1902.6</v>
      </c>
      <c r="G8" s="39">
        <v>1923.2</v>
      </c>
      <c r="H8" s="39">
        <v>1949.1</v>
      </c>
      <c r="I8" s="39">
        <v>1975.8</v>
      </c>
      <c r="J8" s="39">
        <v>2015.5</v>
      </c>
      <c r="K8" s="39">
        <v>2042</v>
      </c>
      <c r="L8" s="88">
        <v>2072.6</v>
      </c>
      <c r="M8" s="88">
        <v>1986.1</v>
      </c>
      <c r="N8" s="88">
        <v>2049.6</v>
      </c>
      <c r="O8" s="88">
        <v>2111.6999999999998</v>
      </c>
      <c r="P8" s="40">
        <v>103.5</v>
      </c>
      <c r="Q8" s="39">
        <v>99.2</v>
      </c>
      <c r="R8" s="39">
        <v>93.100000000000009</v>
      </c>
      <c r="S8" s="39">
        <v>92.199999999999989</v>
      </c>
      <c r="T8" s="39">
        <v>91.3</v>
      </c>
      <c r="U8" s="39">
        <v>91.3</v>
      </c>
      <c r="V8" s="39">
        <v>92.6</v>
      </c>
      <c r="W8" s="39">
        <v>93.8</v>
      </c>
      <c r="X8" s="39">
        <v>94.8</v>
      </c>
      <c r="Y8" s="39">
        <v>99.1</v>
      </c>
      <c r="Z8" s="39">
        <v>103.6</v>
      </c>
      <c r="AA8" s="39">
        <v>102.6</v>
      </c>
      <c r="AB8" s="39">
        <f>8.7+94.4</f>
        <v>103.10000000000001</v>
      </c>
      <c r="AC8" s="39">
        <f>9.1+99.1</f>
        <v>108.19999999999999</v>
      </c>
      <c r="AD8" s="40">
        <v>246.8</v>
      </c>
      <c r="AE8" s="39">
        <v>236.3</v>
      </c>
      <c r="AF8" s="39">
        <v>237.4</v>
      </c>
      <c r="AG8" s="39">
        <v>243.6</v>
      </c>
      <c r="AH8" s="39">
        <v>249.3</v>
      </c>
      <c r="AI8" s="39">
        <v>252.6</v>
      </c>
      <c r="AJ8" s="39">
        <v>257.8</v>
      </c>
      <c r="AK8" s="39">
        <v>260.7</v>
      </c>
      <c r="AL8" s="39">
        <v>263.3</v>
      </c>
      <c r="AM8" s="39">
        <v>267.10000000000002</v>
      </c>
      <c r="AN8" s="39">
        <v>268.60000000000002</v>
      </c>
      <c r="AO8" s="39">
        <v>257.8</v>
      </c>
      <c r="AP8" s="109">
        <v>264.39999999999998</v>
      </c>
      <c r="AQ8" s="109">
        <v>274</v>
      </c>
      <c r="AR8" s="40">
        <v>365.8</v>
      </c>
      <c r="AS8" s="39">
        <v>361.4</v>
      </c>
      <c r="AT8" s="39">
        <v>364.2</v>
      </c>
      <c r="AU8" s="39">
        <v>366.1</v>
      </c>
      <c r="AV8" s="39">
        <v>368.6</v>
      </c>
      <c r="AW8" s="39">
        <v>373.1</v>
      </c>
      <c r="AX8" s="39">
        <v>377.8</v>
      </c>
      <c r="AY8" s="39">
        <v>380.3</v>
      </c>
      <c r="AZ8" s="39">
        <v>378.8</v>
      </c>
      <c r="BA8" s="39">
        <v>380.7</v>
      </c>
      <c r="BB8" s="39">
        <v>383.2</v>
      </c>
      <c r="BC8" s="39">
        <v>374.5</v>
      </c>
      <c r="BD8" s="109">
        <v>396.2</v>
      </c>
      <c r="BE8" s="109">
        <v>405.1</v>
      </c>
      <c r="BF8" s="40">
        <v>25.1</v>
      </c>
      <c r="BG8" s="39">
        <v>24</v>
      </c>
      <c r="BH8" s="39">
        <v>23.1</v>
      </c>
      <c r="BI8" s="39">
        <v>22.7</v>
      </c>
      <c r="BJ8" s="39">
        <v>22.6</v>
      </c>
      <c r="BK8" s="39">
        <v>22</v>
      </c>
      <c r="BL8" s="39">
        <v>21.4</v>
      </c>
      <c r="BM8" s="39">
        <v>20.6</v>
      </c>
      <c r="BN8" s="39">
        <v>20.9</v>
      </c>
      <c r="BO8" s="39">
        <v>21.1</v>
      </c>
      <c r="BP8" s="88">
        <v>21.2</v>
      </c>
      <c r="BQ8" s="39">
        <v>19.3</v>
      </c>
      <c r="BR8" s="109">
        <v>20.399999999999999</v>
      </c>
      <c r="BS8" s="109">
        <v>22.6</v>
      </c>
      <c r="BT8" s="40">
        <v>300.10000000000002</v>
      </c>
      <c r="BU8" s="39">
        <v>300.89999999999998</v>
      </c>
      <c r="BV8" s="39">
        <v>305.70000000000005</v>
      </c>
      <c r="BW8" s="39">
        <v>310.29999999999995</v>
      </c>
      <c r="BX8" s="39">
        <v>312.89999999999998</v>
      </c>
      <c r="BY8" s="39">
        <v>317.8</v>
      </c>
      <c r="BZ8" s="39">
        <v>324.5</v>
      </c>
      <c r="CA8" s="39">
        <v>330.5</v>
      </c>
      <c r="CB8" s="39">
        <v>335.6</v>
      </c>
      <c r="CC8" s="39">
        <v>340.4</v>
      </c>
      <c r="CD8" s="39">
        <v>346.8</v>
      </c>
      <c r="CE8">
        <v>338.5</v>
      </c>
      <c r="CF8">
        <f>98.5+252.9</f>
        <v>351.4</v>
      </c>
      <c r="CG8">
        <f>101.6+262.5</f>
        <v>364.1</v>
      </c>
      <c r="CH8" s="40">
        <v>211</v>
      </c>
      <c r="CI8" s="39">
        <v>214.3</v>
      </c>
      <c r="CJ8" s="39">
        <v>215.8</v>
      </c>
      <c r="CK8" s="39">
        <v>218.4</v>
      </c>
      <c r="CL8" s="39">
        <v>221.7</v>
      </c>
      <c r="CM8" s="39">
        <v>223.9</v>
      </c>
      <c r="CN8" s="39">
        <v>227.2</v>
      </c>
      <c r="CO8" s="39">
        <v>232.8</v>
      </c>
      <c r="CP8" s="39">
        <v>241.4</v>
      </c>
      <c r="CQ8" s="39">
        <v>245.3</v>
      </c>
      <c r="CR8" s="39">
        <v>249.6</v>
      </c>
      <c r="CS8" s="39">
        <v>238.1</v>
      </c>
      <c r="CT8" s="39">
        <v>241.8</v>
      </c>
      <c r="CU8" s="109">
        <v>247.8</v>
      </c>
      <c r="CV8" s="40">
        <v>250.2</v>
      </c>
      <c r="CW8" s="39">
        <v>247.4</v>
      </c>
      <c r="CX8" s="39">
        <v>248.39999999999998</v>
      </c>
      <c r="CY8" s="39">
        <v>253.89999999999998</v>
      </c>
      <c r="CZ8" s="39">
        <v>258.60000000000002</v>
      </c>
      <c r="DA8" s="39">
        <v>264.7</v>
      </c>
      <c r="DB8" s="39">
        <v>270.39999999999998</v>
      </c>
      <c r="DC8" s="39">
        <v>277.79999999999995</v>
      </c>
      <c r="DD8" s="39">
        <v>295.60000000000002</v>
      </c>
      <c r="DE8" s="39">
        <v>302.60000000000002</v>
      </c>
      <c r="DF8" s="39">
        <v>307.89999999999998</v>
      </c>
      <c r="DG8" s="39">
        <v>270.60000000000002</v>
      </c>
      <c r="DH8" s="39">
        <f>188.9+95.3</f>
        <v>284.2</v>
      </c>
      <c r="DI8" s="39">
        <f>197.9+99.3</f>
        <v>297.2</v>
      </c>
      <c r="DJ8" s="40">
        <v>384</v>
      </c>
      <c r="DK8" s="39">
        <v>387.2</v>
      </c>
      <c r="DL8" s="39">
        <v>382.3</v>
      </c>
      <c r="DM8" s="39">
        <v>377.9</v>
      </c>
      <c r="DN8" s="39">
        <v>377.7</v>
      </c>
      <c r="DO8" s="39">
        <v>377.9</v>
      </c>
      <c r="DP8" s="39">
        <v>377.4</v>
      </c>
      <c r="DQ8" s="39">
        <v>379.3</v>
      </c>
      <c r="DR8" s="39">
        <v>385.1</v>
      </c>
      <c r="DS8" s="39">
        <v>385.9</v>
      </c>
      <c r="DT8" s="88">
        <v>391.7</v>
      </c>
      <c r="DU8" s="88">
        <v>384.6</v>
      </c>
      <c r="DV8" s="88">
        <v>388.2</v>
      </c>
      <c r="DW8" s="88">
        <v>392.6</v>
      </c>
    </row>
    <row r="9" spans="1:127" ht="14.45">
      <c r="A9" s="20" t="s">
        <v>18</v>
      </c>
      <c r="B9" s="39">
        <v>1164.9000000000001</v>
      </c>
      <c r="C9" s="39">
        <v>1163</v>
      </c>
      <c r="D9" s="39">
        <v>1170.0999999999999</v>
      </c>
      <c r="E9" s="39">
        <v>1176.5</v>
      </c>
      <c r="F9" s="39">
        <v>1176.2</v>
      </c>
      <c r="G9" s="39">
        <v>1188.8</v>
      </c>
      <c r="H9" s="39">
        <v>1209.3</v>
      </c>
      <c r="I9" s="39">
        <v>1227.5</v>
      </c>
      <c r="J9" s="39">
        <v>1239.2</v>
      </c>
      <c r="K9" s="39">
        <v>1261.9000000000001</v>
      </c>
      <c r="L9" s="88">
        <v>1276.4000000000001</v>
      </c>
      <c r="M9" s="88">
        <v>1242</v>
      </c>
      <c r="N9" s="88">
        <v>1286.5</v>
      </c>
      <c r="O9" s="88">
        <v>1335</v>
      </c>
      <c r="P9" s="40">
        <v>61.900000000000006</v>
      </c>
      <c r="Q9" s="39">
        <v>59.300000000000004</v>
      </c>
      <c r="R9" s="39">
        <v>58.4</v>
      </c>
      <c r="S9" s="39">
        <v>58.099999999999994</v>
      </c>
      <c r="T9" s="39">
        <v>55</v>
      </c>
      <c r="U9" s="39">
        <v>54.8</v>
      </c>
      <c r="V9" s="39">
        <v>57.2</v>
      </c>
      <c r="W9" s="39">
        <v>56.599999999999994</v>
      </c>
      <c r="X9" s="39">
        <v>57.199999999999996</v>
      </c>
      <c r="Y9" s="39">
        <v>56.6</v>
      </c>
      <c r="Z9" s="39">
        <v>58.3</v>
      </c>
      <c r="AA9" s="39">
        <v>58.7</v>
      </c>
      <c r="AB9" s="39">
        <f>5.2+55.3</f>
        <v>60.5</v>
      </c>
      <c r="AC9" s="39">
        <f>5.2+57.6</f>
        <v>62.800000000000004</v>
      </c>
      <c r="AD9" s="40">
        <v>163.69999999999999</v>
      </c>
      <c r="AE9" s="39">
        <v>160.30000000000001</v>
      </c>
      <c r="AF9" s="39">
        <v>158.9</v>
      </c>
      <c r="AG9" s="39">
        <v>155.4</v>
      </c>
      <c r="AH9" s="39">
        <v>152.80000000000001</v>
      </c>
      <c r="AI9" s="39">
        <v>154.69999999999999</v>
      </c>
      <c r="AJ9" s="39">
        <v>155.19999999999999</v>
      </c>
      <c r="AK9" s="39">
        <v>154.80000000000001</v>
      </c>
      <c r="AL9" s="39">
        <v>157.1</v>
      </c>
      <c r="AM9" s="39">
        <v>160.5</v>
      </c>
      <c r="AN9" s="39">
        <v>162.4</v>
      </c>
      <c r="AO9" s="39">
        <v>155.1</v>
      </c>
      <c r="AP9" s="109">
        <v>157.19999999999999</v>
      </c>
      <c r="AQ9" s="109">
        <v>162.30000000000001</v>
      </c>
      <c r="AR9" s="40">
        <v>235.6</v>
      </c>
      <c r="AS9" s="39">
        <v>234.6</v>
      </c>
      <c r="AT9" s="39">
        <v>238.1</v>
      </c>
      <c r="AU9" s="39">
        <v>241.4</v>
      </c>
      <c r="AV9" s="39">
        <v>241.3</v>
      </c>
      <c r="AW9" s="39">
        <v>244.8</v>
      </c>
      <c r="AX9" s="39">
        <v>250.9</v>
      </c>
      <c r="AY9" s="39">
        <v>252.2</v>
      </c>
      <c r="AZ9" s="39">
        <v>250.7</v>
      </c>
      <c r="BA9" s="39">
        <v>251.5</v>
      </c>
      <c r="BB9" s="39">
        <v>252.1</v>
      </c>
      <c r="BC9" s="39">
        <v>247.8</v>
      </c>
      <c r="BD9" s="109">
        <v>256.2</v>
      </c>
      <c r="BE9" s="109">
        <v>270.2</v>
      </c>
      <c r="BF9" s="40">
        <v>16.2</v>
      </c>
      <c r="BG9" s="39">
        <v>15.3</v>
      </c>
      <c r="BH9" s="39">
        <v>14.9</v>
      </c>
      <c r="BI9" s="39">
        <v>14.5</v>
      </c>
      <c r="BJ9" s="39">
        <v>14.2</v>
      </c>
      <c r="BK9" s="39">
        <v>13.7</v>
      </c>
      <c r="BL9" s="39">
        <v>13.5</v>
      </c>
      <c r="BM9" s="39">
        <v>13.5</v>
      </c>
      <c r="BN9" s="39">
        <v>13.2</v>
      </c>
      <c r="BO9" s="39">
        <v>11.2</v>
      </c>
      <c r="BP9" s="88">
        <v>11.3</v>
      </c>
      <c r="BQ9" s="39">
        <v>11.8</v>
      </c>
      <c r="BR9" s="109">
        <v>11.8</v>
      </c>
      <c r="BS9" s="109">
        <v>12.7</v>
      </c>
      <c r="BT9" s="40">
        <v>163.80000000000001</v>
      </c>
      <c r="BU9" s="39">
        <v>167.39999999999998</v>
      </c>
      <c r="BV9" s="39">
        <v>171.6</v>
      </c>
      <c r="BW9" s="39">
        <v>174.1</v>
      </c>
      <c r="BX9" s="39">
        <v>178.5</v>
      </c>
      <c r="BY9" s="39">
        <v>183.3</v>
      </c>
      <c r="BZ9" s="39">
        <v>188.6</v>
      </c>
      <c r="CA9" s="39">
        <v>193.7</v>
      </c>
      <c r="CB9" s="39">
        <v>197.2</v>
      </c>
      <c r="CC9" s="39">
        <v>206.7</v>
      </c>
      <c r="CD9" s="39">
        <v>207.9</v>
      </c>
      <c r="CE9">
        <v>202.2</v>
      </c>
      <c r="CF9">
        <f>67+145.8</f>
        <v>212.8</v>
      </c>
      <c r="CG9">
        <f>70.6+152</f>
        <v>222.6</v>
      </c>
      <c r="CH9" s="40">
        <v>162.69999999999999</v>
      </c>
      <c r="CI9" s="39">
        <v>166</v>
      </c>
      <c r="CJ9" s="39">
        <v>167.5</v>
      </c>
      <c r="CK9" s="39">
        <v>170.5</v>
      </c>
      <c r="CL9" s="39">
        <v>171.5</v>
      </c>
      <c r="CM9" s="39">
        <v>172.2</v>
      </c>
      <c r="CN9" s="39">
        <v>175.1</v>
      </c>
      <c r="CO9" s="39">
        <v>181.4</v>
      </c>
      <c r="CP9" s="39">
        <v>187.3</v>
      </c>
      <c r="CQ9" s="39">
        <v>191.2</v>
      </c>
      <c r="CR9" s="39">
        <v>193.6</v>
      </c>
      <c r="CS9" s="39">
        <v>187.1</v>
      </c>
      <c r="CT9" s="39">
        <v>194.7</v>
      </c>
      <c r="CU9" s="109">
        <v>199</v>
      </c>
      <c r="CV9" s="40">
        <v>144.19999999999999</v>
      </c>
      <c r="CW9" s="39">
        <v>141.9</v>
      </c>
      <c r="CX9" s="39">
        <v>143.69999999999999</v>
      </c>
      <c r="CY9" s="39">
        <v>146.30000000000001</v>
      </c>
      <c r="CZ9" s="39">
        <v>148.10000000000002</v>
      </c>
      <c r="DA9" s="39">
        <v>152.1</v>
      </c>
      <c r="DB9" s="39">
        <v>156.30000000000001</v>
      </c>
      <c r="DC9" s="39">
        <v>162.80000000000001</v>
      </c>
      <c r="DD9" s="39">
        <v>165.3</v>
      </c>
      <c r="DE9" s="39">
        <v>172</v>
      </c>
      <c r="DF9" s="39">
        <v>179.60000000000002</v>
      </c>
      <c r="DG9" s="39">
        <v>171.3</v>
      </c>
      <c r="DH9" s="39">
        <f>116.1+70.6</f>
        <v>186.7</v>
      </c>
      <c r="DI9" s="39">
        <f>122.5+75</f>
        <v>197.5</v>
      </c>
      <c r="DJ9" s="40">
        <v>217</v>
      </c>
      <c r="DK9" s="39">
        <v>218.2</v>
      </c>
      <c r="DL9" s="39">
        <v>216.9</v>
      </c>
      <c r="DM9" s="39">
        <v>216.2</v>
      </c>
      <c r="DN9" s="39">
        <v>214.9</v>
      </c>
      <c r="DO9" s="39">
        <v>213.4</v>
      </c>
      <c r="DP9" s="39">
        <v>212.7</v>
      </c>
      <c r="DQ9" s="39">
        <v>212.4</v>
      </c>
      <c r="DR9" s="39">
        <v>211.3</v>
      </c>
      <c r="DS9" s="39">
        <v>212.2</v>
      </c>
      <c r="DT9" s="88">
        <v>211.2</v>
      </c>
      <c r="DU9" s="88">
        <v>208.2</v>
      </c>
      <c r="DV9" s="88">
        <v>206.6</v>
      </c>
      <c r="DW9" s="88">
        <v>208</v>
      </c>
    </row>
    <row r="10" spans="1:127" ht="14.45">
      <c r="A10" s="20" t="s">
        <v>19</v>
      </c>
      <c r="B10" s="39">
        <v>416.6</v>
      </c>
      <c r="C10" s="39">
        <v>413.8</v>
      </c>
      <c r="D10" s="39">
        <v>417.1</v>
      </c>
      <c r="E10" s="39">
        <v>419.4</v>
      </c>
      <c r="F10" s="39">
        <v>428.7</v>
      </c>
      <c r="G10" s="39">
        <v>437.7</v>
      </c>
      <c r="H10" s="39">
        <v>448.2</v>
      </c>
      <c r="I10" s="39">
        <v>452.8</v>
      </c>
      <c r="J10" s="39">
        <v>455.8</v>
      </c>
      <c r="K10" s="39">
        <v>461.3</v>
      </c>
      <c r="L10" s="88">
        <v>465.7</v>
      </c>
      <c r="M10" s="88">
        <v>439</v>
      </c>
      <c r="N10" s="88">
        <v>453.9</v>
      </c>
      <c r="O10" s="88">
        <v>472.1</v>
      </c>
      <c r="P10" s="40">
        <v>20</v>
      </c>
      <c r="Q10" s="39">
        <v>19.3</v>
      </c>
      <c r="R10" s="39">
        <v>19.3</v>
      </c>
      <c r="S10" s="39">
        <v>18.5</v>
      </c>
      <c r="T10" s="39">
        <v>19.7</v>
      </c>
      <c r="U10" s="39">
        <v>20.399999999999999</v>
      </c>
      <c r="V10" s="39">
        <v>20.8</v>
      </c>
      <c r="W10" s="39">
        <v>20.8</v>
      </c>
      <c r="X10" s="39">
        <v>21.9</v>
      </c>
      <c r="Y10" s="39">
        <v>22.3</v>
      </c>
      <c r="Z10" s="39">
        <v>22.9</v>
      </c>
      <c r="AA10" s="39">
        <v>23</v>
      </c>
      <c r="AB10" s="39">
        <v>23.3</v>
      </c>
      <c r="AC10" s="39">
        <f>23.6</f>
        <v>23.6</v>
      </c>
      <c r="AD10" s="40">
        <v>27.9</v>
      </c>
      <c r="AE10" s="39">
        <v>25.9</v>
      </c>
      <c r="AF10" s="39">
        <v>25.7</v>
      </c>
      <c r="AG10" s="39">
        <v>25.7</v>
      </c>
      <c r="AH10" s="39">
        <v>25.4</v>
      </c>
      <c r="AI10" s="39">
        <v>25.7</v>
      </c>
      <c r="AJ10" s="39">
        <v>25.6</v>
      </c>
      <c r="AK10" s="39">
        <v>25.8</v>
      </c>
      <c r="AL10" s="39">
        <v>25.9</v>
      </c>
      <c r="AM10" s="39">
        <v>27.1</v>
      </c>
      <c r="AN10" s="39">
        <v>27.3</v>
      </c>
      <c r="AO10" s="39">
        <v>25.6</v>
      </c>
      <c r="AP10" s="109">
        <v>25</v>
      </c>
      <c r="AQ10" s="109">
        <v>26.1</v>
      </c>
      <c r="AR10" s="40">
        <v>75.3</v>
      </c>
      <c r="AS10" s="39">
        <v>74.5</v>
      </c>
      <c r="AT10" s="39">
        <v>75.5</v>
      </c>
      <c r="AU10" s="39">
        <v>75.900000000000006</v>
      </c>
      <c r="AV10" s="39">
        <v>77.599999999999994</v>
      </c>
      <c r="AW10" s="39">
        <v>79.5</v>
      </c>
      <c r="AX10" s="39">
        <v>81.599999999999994</v>
      </c>
      <c r="AY10" s="39">
        <v>82.5</v>
      </c>
      <c r="AZ10" s="39">
        <v>80.900000000000006</v>
      </c>
      <c r="BA10" s="39">
        <v>80.099999999999994</v>
      </c>
      <c r="BB10" s="39">
        <v>81</v>
      </c>
      <c r="BC10" s="39">
        <v>77.599999999999994</v>
      </c>
      <c r="BD10" s="109">
        <v>83</v>
      </c>
      <c r="BE10" s="109">
        <v>89.5</v>
      </c>
      <c r="BF10" s="40">
        <v>6.5</v>
      </c>
      <c r="BG10" s="39">
        <v>6</v>
      </c>
      <c r="BH10" s="39">
        <v>5.7</v>
      </c>
      <c r="BI10" s="39">
        <v>5.5</v>
      </c>
      <c r="BJ10" s="39">
        <v>5.2</v>
      </c>
      <c r="BK10" s="39">
        <v>4.9000000000000004</v>
      </c>
      <c r="BL10" s="39">
        <v>4.7</v>
      </c>
      <c r="BM10" s="39">
        <v>4.5999999999999996</v>
      </c>
      <c r="BN10" s="39">
        <v>4.5999999999999996</v>
      </c>
      <c r="BO10" s="39">
        <v>4.0999999999999996</v>
      </c>
      <c r="BP10" s="88">
        <v>3.9</v>
      </c>
      <c r="BQ10" s="39">
        <v>3.7</v>
      </c>
      <c r="BR10" s="109">
        <v>3.6</v>
      </c>
      <c r="BS10" s="109">
        <v>3.8</v>
      </c>
      <c r="BT10" s="40">
        <v>99.5</v>
      </c>
      <c r="BU10" s="39">
        <v>97.5</v>
      </c>
      <c r="BV10" s="39">
        <v>97.800000000000011</v>
      </c>
      <c r="BW10" s="39">
        <v>98.5</v>
      </c>
      <c r="BX10" s="39">
        <v>102.19999999999999</v>
      </c>
      <c r="BY10" s="39">
        <v>104.6</v>
      </c>
      <c r="BZ10" s="39">
        <v>107.6</v>
      </c>
      <c r="CA10" s="39">
        <v>108.2</v>
      </c>
      <c r="CB10" s="39">
        <v>110</v>
      </c>
      <c r="CC10" s="39">
        <v>111.1</v>
      </c>
      <c r="CD10" s="39">
        <v>111</v>
      </c>
      <c r="CE10">
        <v>108.9</v>
      </c>
      <c r="CF10">
        <f>47.5+63.2</f>
        <v>110.7</v>
      </c>
      <c r="CG10">
        <f>48.8+66</f>
        <v>114.8</v>
      </c>
      <c r="CH10" s="40">
        <v>63.7</v>
      </c>
      <c r="CI10" s="39">
        <v>64.8</v>
      </c>
      <c r="CJ10" s="39">
        <v>66.599999999999994</v>
      </c>
      <c r="CK10" s="39">
        <v>68.5</v>
      </c>
      <c r="CL10" s="39">
        <v>70.3</v>
      </c>
      <c r="CM10" s="39">
        <v>72.5</v>
      </c>
      <c r="CN10" s="39">
        <v>75.5</v>
      </c>
      <c r="CO10" s="39">
        <v>77.099999999999994</v>
      </c>
      <c r="CP10" s="39">
        <v>78.099999999999994</v>
      </c>
      <c r="CQ10" s="39">
        <v>80.099999999999994</v>
      </c>
      <c r="CR10" s="39">
        <v>81.099999999999994</v>
      </c>
      <c r="CS10" s="39">
        <v>77.599999999999994</v>
      </c>
      <c r="CT10" s="39">
        <v>78.2</v>
      </c>
      <c r="CU10" s="109">
        <v>79.2</v>
      </c>
      <c r="CV10" s="40">
        <v>60.5</v>
      </c>
      <c r="CW10" s="39">
        <v>62</v>
      </c>
      <c r="CX10" s="39">
        <v>62.900000000000006</v>
      </c>
      <c r="CY10" s="39">
        <v>63.3</v>
      </c>
      <c r="CZ10" s="39">
        <v>64.5</v>
      </c>
      <c r="DA10" s="39">
        <v>65.199999999999989</v>
      </c>
      <c r="DB10" s="39">
        <v>67.2</v>
      </c>
      <c r="DC10" s="39">
        <v>68.5</v>
      </c>
      <c r="DD10" s="39">
        <v>68.2</v>
      </c>
      <c r="DE10" s="39">
        <v>70.099999999999994</v>
      </c>
      <c r="DF10" s="39">
        <v>71.599999999999994</v>
      </c>
      <c r="DG10" s="39">
        <v>57.699999999999996</v>
      </c>
      <c r="DH10" s="39">
        <f>45.7+18.3</f>
        <v>64</v>
      </c>
      <c r="DI10" s="39">
        <f>49.5+18.6</f>
        <v>68.099999999999994</v>
      </c>
      <c r="DJ10" s="40">
        <v>63.3</v>
      </c>
      <c r="DK10" s="39">
        <v>63.8</v>
      </c>
      <c r="DL10" s="39">
        <v>63.7</v>
      </c>
      <c r="DM10" s="39">
        <v>63.6</v>
      </c>
      <c r="DN10" s="39">
        <v>64</v>
      </c>
      <c r="DO10" s="39">
        <v>64.900000000000006</v>
      </c>
      <c r="DP10" s="39">
        <v>65.3</v>
      </c>
      <c r="DQ10" s="39">
        <v>65.3</v>
      </c>
      <c r="DR10" s="39">
        <v>66.2</v>
      </c>
      <c r="DS10" s="39">
        <v>66.400000000000006</v>
      </c>
      <c r="DT10" s="88">
        <v>66.900000000000006</v>
      </c>
      <c r="DU10" s="88">
        <v>65.599999999999994</v>
      </c>
      <c r="DV10" s="88">
        <v>66.3</v>
      </c>
      <c r="DW10" s="88">
        <v>67.2</v>
      </c>
    </row>
    <row r="11" spans="1:127" ht="14.45">
      <c r="A11" s="20" t="s">
        <v>20</v>
      </c>
      <c r="B11" s="39">
        <v>7232.3</v>
      </c>
      <c r="C11" s="39">
        <v>7172.9</v>
      </c>
      <c r="D11" s="39">
        <v>7251.9</v>
      </c>
      <c r="E11" s="39">
        <v>7396.9</v>
      </c>
      <c r="F11" s="39">
        <v>7582.5</v>
      </c>
      <c r="G11" s="39">
        <v>7824.5</v>
      </c>
      <c r="H11" s="39">
        <v>8107.7</v>
      </c>
      <c r="I11" s="39">
        <v>8383.4</v>
      </c>
      <c r="J11" s="39">
        <v>8566.7999999999993</v>
      </c>
      <c r="K11" s="39">
        <v>8781.9</v>
      </c>
      <c r="L11" s="88">
        <v>8952.6</v>
      </c>
      <c r="M11" s="88">
        <v>8498.6</v>
      </c>
      <c r="N11" s="88">
        <v>8917.7000000000007</v>
      </c>
      <c r="O11" s="88">
        <v>9423.2000000000007</v>
      </c>
      <c r="P11" s="40">
        <v>402.1</v>
      </c>
      <c r="Q11" s="39">
        <v>356.2</v>
      </c>
      <c r="R11" s="39">
        <v>341.2</v>
      </c>
      <c r="S11" s="39">
        <v>347.70000000000005</v>
      </c>
      <c r="T11" s="39">
        <v>371.7</v>
      </c>
      <c r="U11" s="39">
        <v>403.09999999999997</v>
      </c>
      <c r="V11" s="39">
        <v>438.2</v>
      </c>
      <c r="W11" s="39">
        <v>479.2</v>
      </c>
      <c r="X11" s="39">
        <v>510.2</v>
      </c>
      <c r="Y11" s="39">
        <v>546.69999999999993</v>
      </c>
      <c r="Z11" s="39">
        <v>571.20000000000005</v>
      </c>
      <c r="AA11" s="39">
        <v>566.79999999999995</v>
      </c>
      <c r="AB11" s="39">
        <f>5.4+577.9</f>
        <v>583.29999999999995</v>
      </c>
      <c r="AC11" s="39">
        <f>5.6+600.8</f>
        <v>606.4</v>
      </c>
      <c r="AD11" s="40">
        <v>324.10000000000002</v>
      </c>
      <c r="AE11" s="39">
        <v>309.10000000000002</v>
      </c>
      <c r="AF11" s="39">
        <v>312.5</v>
      </c>
      <c r="AG11" s="39">
        <v>317.39999999999998</v>
      </c>
      <c r="AH11" s="39">
        <v>322.39999999999998</v>
      </c>
      <c r="AI11" s="39">
        <v>330.5</v>
      </c>
      <c r="AJ11" s="39">
        <v>343.2</v>
      </c>
      <c r="AK11" s="39">
        <v>355.4</v>
      </c>
      <c r="AL11" s="39">
        <v>363.6</v>
      </c>
      <c r="AM11" s="39">
        <v>372</v>
      </c>
      <c r="AN11" s="39">
        <v>384.5</v>
      </c>
      <c r="AO11" s="39">
        <v>376.7</v>
      </c>
      <c r="AP11" s="109">
        <v>389.8</v>
      </c>
      <c r="AQ11" s="109">
        <v>410.5</v>
      </c>
      <c r="AR11" s="40">
        <v>1487.1</v>
      </c>
      <c r="AS11" s="39">
        <v>1474.4</v>
      </c>
      <c r="AT11" s="39">
        <v>1502.8</v>
      </c>
      <c r="AU11" s="39">
        <v>1537</v>
      </c>
      <c r="AV11" s="39">
        <v>1573.3</v>
      </c>
      <c r="AW11" s="39">
        <v>1622.6</v>
      </c>
      <c r="AX11" s="39">
        <v>1683</v>
      </c>
      <c r="AY11" s="39">
        <v>1718.1</v>
      </c>
      <c r="AZ11" s="39">
        <v>1742.7</v>
      </c>
      <c r="BA11" s="39">
        <v>1780.9</v>
      </c>
      <c r="BB11" s="39">
        <v>1803.4</v>
      </c>
      <c r="BC11" s="39">
        <v>1739.5</v>
      </c>
      <c r="BD11" s="109">
        <v>1830.9</v>
      </c>
      <c r="BE11" s="109">
        <v>1927.5</v>
      </c>
      <c r="BF11" s="40">
        <v>143.80000000000001</v>
      </c>
      <c r="BG11" s="39">
        <v>137.1</v>
      </c>
      <c r="BH11" s="39">
        <v>135.69999999999999</v>
      </c>
      <c r="BI11" s="39">
        <v>133.6</v>
      </c>
      <c r="BJ11" s="39">
        <v>134.1</v>
      </c>
      <c r="BK11" s="39">
        <v>136.19999999999999</v>
      </c>
      <c r="BL11" s="39">
        <v>136.6</v>
      </c>
      <c r="BM11" s="39">
        <v>137</v>
      </c>
      <c r="BN11" s="39">
        <v>138.1</v>
      </c>
      <c r="BO11" s="39">
        <v>139.69999999999999</v>
      </c>
      <c r="BP11" s="88">
        <v>138.9</v>
      </c>
      <c r="BQ11" s="39">
        <v>130.1</v>
      </c>
      <c r="BR11" s="109">
        <v>141.4</v>
      </c>
      <c r="BS11" s="109">
        <v>155.5</v>
      </c>
      <c r="BT11" s="40">
        <v>1481.1999999999998</v>
      </c>
      <c r="BU11" s="39">
        <v>1484.1</v>
      </c>
      <c r="BV11" s="39">
        <v>1522.6</v>
      </c>
      <c r="BW11" s="39">
        <v>1573.1999999999998</v>
      </c>
      <c r="BX11" s="39">
        <v>1629.9</v>
      </c>
      <c r="BY11" s="39">
        <v>1687.6000000000001</v>
      </c>
      <c r="BZ11" s="39">
        <v>1757</v>
      </c>
      <c r="CA11" s="39">
        <v>1831.5</v>
      </c>
      <c r="CB11" s="39">
        <v>1883.8000000000002</v>
      </c>
      <c r="CC11" s="39">
        <v>1943.5</v>
      </c>
      <c r="CD11" s="39">
        <v>1983.1</v>
      </c>
      <c r="CE11">
        <v>1945.6</v>
      </c>
      <c r="CF11">
        <f>625.8+1459.7</f>
        <v>2085.5</v>
      </c>
      <c r="CG11">
        <f>664.4+1583.2</f>
        <v>2247.6</v>
      </c>
      <c r="CH11" s="40">
        <v>1051.2</v>
      </c>
      <c r="CI11" s="39">
        <v>1070.9000000000001</v>
      </c>
      <c r="CJ11" s="39">
        <v>1091</v>
      </c>
      <c r="CK11" s="39">
        <v>1109.3</v>
      </c>
      <c r="CL11" s="39">
        <v>1128.3</v>
      </c>
      <c r="CM11" s="39">
        <v>1160.0999999999999</v>
      </c>
      <c r="CN11" s="39">
        <v>1200.2</v>
      </c>
      <c r="CO11" s="39">
        <v>1243.4000000000001</v>
      </c>
      <c r="CP11" s="39">
        <v>1272.7</v>
      </c>
      <c r="CQ11" s="39">
        <v>1305.3</v>
      </c>
      <c r="CR11" s="39">
        <v>1340</v>
      </c>
      <c r="CS11" s="39">
        <v>1307.4000000000001</v>
      </c>
      <c r="CT11" s="39">
        <v>1339.6</v>
      </c>
      <c r="CU11" s="109">
        <v>1395.5</v>
      </c>
      <c r="CV11" s="40">
        <v>1228.3</v>
      </c>
      <c r="CW11" s="39">
        <v>1228.9000000000001</v>
      </c>
      <c r="CX11" s="39">
        <v>1253.0999999999999</v>
      </c>
      <c r="CY11" s="39">
        <v>1299.3000000000002</v>
      </c>
      <c r="CZ11" s="39">
        <v>1346.7</v>
      </c>
      <c r="DA11" s="39">
        <v>1409.6999999999998</v>
      </c>
      <c r="DB11" s="39">
        <v>1468.1999999999998</v>
      </c>
      <c r="DC11" s="39">
        <v>1524.3999999999999</v>
      </c>
      <c r="DD11" s="39">
        <v>1549.2</v>
      </c>
      <c r="DE11" s="39">
        <v>1581.5</v>
      </c>
      <c r="DF11" s="39">
        <v>1608.3000000000002</v>
      </c>
      <c r="DG11" s="39">
        <v>1323.6</v>
      </c>
      <c r="DH11" s="39">
        <f>1124.3+332.1</f>
        <v>1456.4</v>
      </c>
      <c r="DI11" s="39">
        <f>1245.7+342.8</f>
        <v>1588.5</v>
      </c>
      <c r="DJ11" s="40">
        <v>1114.5999999999999</v>
      </c>
      <c r="DK11" s="39">
        <v>1112.3</v>
      </c>
      <c r="DL11" s="39">
        <v>1093.0999999999999</v>
      </c>
      <c r="DM11" s="39">
        <v>1079.5</v>
      </c>
      <c r="DN11" s="39">
        <v>1076.2</v>
      </c>
      <c r="DO11" s="39">
        <v>1074.7</v>
      </c>
      <c r="DP11" s="39">
        <v>1081.5</v>
      </c>
      <c r="DQ11" s="39">
        <v>1094.5</v>
      </c>
      <c r="DR11" s="39">
        <v>1106.5999999999999</v>
      </c>
      <c r="DS11" s="39">
        <v>1112.5</v>
      </c>
      <c r="DT11" s="88">
        <v>1123.2</v>
      </c>
      <c r="DU11" s="88">
        <v>1108.9000000000001</v>
      </c>
      <c r="DV11" s="88">
        <v>1090.3</v>
      </c>
      <c r="DW11" s="88">
        <v>1091.7</v>
      </c>
    </row>
    <row r="12" spans="1:127" ht="14.45">
      <c r="A12" s="20" t="s">
        <v>21</v>
      </c>
      <c r="B12" s="39">
        <v>3900.1</v>
      </c>
      <c r="C12" s="39">
        <v>3860.4</v>
      </c>
      <c r="D12" s="39">
        <v>3900.5</v>
      </c>
      <c r="E12" s="39">
        <v>3954</v>
      </c>
      <c r="F12" s="39">
        <v>4035.4</v>
      </c>
      <c r="G12" s="39">
        <v>4155.6000000000004</v>
      </c>
      <c r="H12" s="39">
        <v>4261.8999999999996</v>
      </c>
      <c r="I12" s="39">
        <v>4378</v>
      </c>
      <c r="J12" s="39">
        <v>4452.1000000000004</v>
      </c>
      <c r="K12" s="39">
        <v>4540</v>
      </c>
      <c r="L12" s="88">
        <v>4613.8</v>
      </c>
      <c r="M12" s="88">
        <v>4406.5</v>
      </c>
      <c r="N12" s="88">
        <v>4595.3999999999996</v>
      </c>
      <c r="O12" s="88">
        <v>4797.7</v>
      </c>
      <c r="P12" s="40">
        <v>175.20000000000002</v>
      </c>
      <c r="Q12" s="39">
        <v>158.89999999999998</v>
      </c>
      <c r="R12" s="39">
        <v>154.9</v>
      </c>
      <c r="S12" s="39">
        <v>150.1</v>
      </c>
      <c r="T12" s="39">
        <v>154.80000000000001</v>
      </c>
      <c r="U12" s="39">
        <v>165.1</v>
      </c>
      <c r="V12" s="39">
        <v>175.5</v>
      </c>
      <c r="W12" s="39">
        <v>185.6</v>
      </c>
      <c r="X12" s="39">
        <v>193.4</v>
      </c>
      <c r="Y12" s="39">
        <v>205.7</v>
      </c>
      <c r="Z12" s="39">
        <v>212.8</v>
      </c>
      <c r="AA12" s="39">
        <v>210.7</v>
      </c>
      <c r="AB12" s="39">
        <f>9.5+206</f>
        <v>215.5</v>
      </c>
      <c r="AC12" s="39">
        <f>9.7+213.9</f>
        <v>223.6</v>
      </c>
      <c r="AD12" s="40">
        <v>357.8</v>
      </c>
      <c r="AE12" s="39">
        <v>344.8</v>
      </c>
      <c r="AF12" s="39">
        <v>350.4</v>
      </c>
      <c r="AG12" s="39">
        <v>354.4</v>
      </c>
      <c r="AH12" s="39">
        <v>357.3</v>
      </c>
      <c r="AI12" s="39">
        <v>367.2</v>
      </c>
      <c r="AJ12" s="39">
        <v>379.1</v>
      </c>
      <c r="AK12" s="39">
        <v>388.2</v>
      </c>
      <c r="AL12" s="39">
        <v>397.5</v>
      </c>
      <c r="AM12" s="39">
        <v>408</v>
      </c>
      <c r="AN12" s="39">
        <v>406.1</v>
      </c>
      <c r="AO12" s="39">
        <v>385.3</v>
      </c>
      <c r="AP12" s="109">
        <v>395.8</v>
      </c>
      <c r="AQ12" s="109">
        <v>415.1</v>
      </c>
      <c r="AR12" s="40">
        <v>818.9</v>
      </c>
      <c r="AS12" s="39">
        <v>810.1</v>
      </c>
      <c r="AT12" s="39">
        <v>821.8</v>
      </c>
      <c r="AU12" s="39">
        <v>833.2</v>
      </c>
      <c r="AV12" s="39">
        <v>845.1</v>
      </c>
      <c r="AW12" s="39">
        <v>871.8</v>
      </c>
      <c r="AX12" s="39">
        <v>905.5</v>
      </c>
      <c r="AY12" s="39">
        <v>926</v>
      </c>
      <c r="AZ12" s="39">
        <v>939.7</v>
      </c>
      <c r="BA12" s="39">
        <v>943</v>
      </c>
      <c r="BB12" s="39">
        <v>944</v>
      </c>
      <c r="BC12" s="39">
        <v>922.6</v>
      </c>
      <c r="BD12" s="109">
        <v>980.3</v>
      </c>
      <c r="BE12" s="109">
        <v>1026</v>
      </c>
      <c r="BF12" s="40">
        <v>104.6</v>
      </c>
      <c r="BG12" s="39">
        <v>99.8</v>
      </c>
      <c r="BH12" s="39">
        <v>98.6</v>
      </c>
      <c r="BI12" s="39">
        <v>100.3</v>
      </c>
      <c r="BJ12" s="39">
        <v>103</v>
      </c>
      <c r="BK12" s="39">
        <v>107.3</v>
      </c>
      <c r="BL12" s="39">
        <v>111.5</v>
      </c>
      <c r="BM12" s="39">
        <v>111.4</v>
      </c>
      <c r="BN12" s="39">
        <v>116.2</v>
      </c>
      <c r="BO12" s="39">
        <v>114.6</v>
      </c>
      <c r="BP12" s="88">
        <v>117</v>
      </c>
      <c r="BQ12" s="39">
        <v>109.6</v>
      </c>
      <c r="BR12" s="110">
        <v>124.7</v>
      </c>
      <c r="BS12" s="110">
        <v>127.9</v>
      </c>
      <c r="BT12" s="40">
        <v>734.6</v>
      </c>
      <c r="BU12" s="39">
        <v>744.40000000000009</v>
      </c>
      <c r="BV12" s="39">
        <v>767.40000000000009</v>
      </c>
      <c r="BW12" s="39">
        <v>788.1</v>
      </c>
      <c r="BX12" s="39">
        <v>816.5</v>
      </c>
      <c r="BY12" s="39">
        <v>851.5</v>
      </c>
      <c r="BZ12" s="39">
        <v>867.40000000000009</v>
      </c>
      <c r="CA12" s="39">
        <v>892.3</v>
      </c>
      <c r="CB12" s="39">
        <v>910.6</v>
      </c>
      <c r="CC12" s="39">
        <v>940.59999999999991</v>
      </c>
      <c r="CD12" s="39">
        <v>966.2</v>
      </c>
      <c r="CE12">
        <v>944.8</v>
      </c>
      <c r="CF12">
        <f>259.1+737.6</f>
        <v>996.7</v>
      </c>
      <c r="CG12" s="100">
        <f>273.3+776.4</f>
        <v>1049.7</v>
      </c>
      <c r="CH12" s="40">
        <v>464.4</v>
      </c>
      <c r="CI12" s="39">
        <v>475.5</v>
      </c>
      <c r="CJ12" s="39">
        <v>484.7</v>
      </c>
      <c r="CK12" s="39">
        <v>495.3</v>
      </c>
      <c r="CL12" s="39">
        <v>510</v>
      </c>
      <c r="CM12" s="39">
        <v>523.70000000000005</v>
      </c>
      <c r="CN12" s="39">
        <v>539.9</v>
      </c>
      <c r="CO12" s="39">
        <v>561.70000000000005</v>
      </c>
      <c r="CP12" s="39">
        <v>570.20000000000005</v>
      </c>
      <c r="CQ12" s="39">
        <v>584.5</v>
      </c>
      <c r="CR12" s="39">
        <v>610.29999999999995</v>
      </c>
      <c r="CS12" s="39">
        <v>587.70000000000005</v>
      </c>
      <c r="CT12" s="39">
        <v>603.29999999999995</v>
      </c>
      <c r="CU12" s="109">
        <v>628.5</v>
      </c>
      <c r="CV12" s="40">
        <v>536</v>
      </c>
      <c r="CW12" s="39">
        <v>527.6</v>
      </c>
      <c r="CX12" s="39">
        <v>535.29999999999995</v>
      </c>
      <c r="CY12" s="39">
        <v>546.9</v>
      </c>
      <c r="CZ12" s="39">
        <v>564.59999999999991</v>
      </c>
      <c r="DA12" s="39">
        <v>584.40000000000009</v>
      </c>
      <c r="DB12" s="39">
        <v>603.6</v>
      </c>
      <c r="DC12" s="39">
        <v>627</v>
      </c>
      <c r="DD12" s="39">
        <v>637.1</v>
      </c>
      <c r="DE12" s="39">
        <v>649.90000000000009</v>
      </c>
      <c r="DF12" s="39">
        <v>667.1</v>
      </c>
      <c r="DG12" s="39">
        <v>565.6</v>
      </c>
      <c r="DH12" s="39">
        <f>451+157.4</f>
        <v>608.4</v>
      </c>
      <c r="DI12" s="39">
        <f>485.8+163.7</f>
        <v>649.5</v>
      </c>
      <c r="DJ12" s="40">
        <v>708.7</v>
      </c>
      <c r="DK12" s="39">
        <v>699.3</v>
      </c>
      <c r="DL12" s="39">
        <v>687.4</v>
      </c>
      <c r="DM12" s="39">
        <v>685.8</v>
      </c>
      <c r="DN12" s="39">
        <v>684.3</v>
      </c>
      <c r="DO12" s="39">
        <v>684.7</v>
      </c>
      <c r="DP12" s="39">
        <v>679.3</v>
      </c>
      <c r="DQ12" s="39">
        <v>685.9</v>
      </c>
      <c r="DR12" s="39">
        <v>687.3</v>
      </c>
      <c r="DS12" s="39">
        <v>693.8</v>
      </c>
      <c r="DT12" s="88">
        <v>690.4</v>
      </c>
      <c r="DU12" s="88">
        <v>680.2</v>
      </c>
      <c r="DV12" s="88">
        <v>670.8</v>
      </c>
      <c r="DW12" s="88">
        <v>677.5</v>
      </c>
    </row>
    <row r="13" spans="1:127" ht="14.45">
      <c r="A13" s="20" t="s">
        <v>22</v>
      </c>
      <c r="B13" s="39">
        <v>1758.8</v>
      </c>
      <c r="C13" s="39">
        <v>1759.2</v>
      </c>
      <c r="D13" s="39">
        <v>1782.9</v>
      </c>
      <c r="E13" s="39">
        <v>1810.8</v>
      </c>
      <c r="F13" s="39">
        <v>1830</v>
      </c>
      <c r="G13" s="39">
        <v>1857.8</v>
      </c>
      <c r="H13" s="39">
        <v>1886.1</v>
      </c>
      <c r="I13" s="39">
        <v>1914.2</v>
      </c>
      <c r="J13" s="39">
        <v>1920.4</v>
      </c>
      <c r="K13" s="39">
        <v>1931.6</v>
      </c>
      <c r="L13" s="88">
        <v>1938.7</v>
      </c>
      <c r="M13" s="88">
        <v>1835.4</v>
      </c>
      <c r="N13" s="88">
        <v>1903.4</v>
      </c>
      <c r="O13" s="88">
        <v>1961.4</v>
      </c>
      <c r="P13" s="40">
        <v>97.5</v>
      </c>
      <c r="Q13" s="39">
        <v>90</v>
      </c>
      <c r="R13" s="39">
        <v>90.5</v>
      </c>
      <c r="S13" s="39">
        <v>87.8</v>
      </c>
      <c r="T13" s="39">
        <v>85.5</v>
      </c>
      <c r="U13" s="39">
        <v>88.9</v>
      </c>
      <c r="V13" s="39">
        <v>89.8</v>
      </c>
      <c r="W13" s="39">
        <v>87.5</v>
      </c>
      <c r="X13" s="39">
        <v>87.399999999999991</v>
      </c>
      <c r="Y13" s="39">
        <v>88.1</v>
      </c>
      <c r="Z13" s="39">
        <v>90.3</v>
      </c>
      <c r="AA13" s="39">
        <v>85.3</v>
      </c>
      <c r="AB13" s="39">
        <f>7.6+79.5</f>
        <v>87.1</v>
      </c>
      <c r="AC13" s="39">
        <f>8.2+82.6</f>
        <v>90.8</v>
      </c>
      <c r="AD13" s="40">
        <v>213</v>
      </c>
      <c r="AE13" s="39">
        <v>209</v>
      </c>
      <c r="AF13" s="39">
        <v>212.7</v>
      </c>
      <c r="AG13" s="39">
        <v>223.3</v>
      </c>
      <c r="AH13" s="39">
        <v>228.9</v>
      </c>
      <c r="AI13" s="39">
        <v>234.5</v>
      </c>
      <c r="AJ13" s="39">
        <v>241.2</v>
      </c>
      <c r="AK13" s="39">
        <v>248.7</v>
      </c>
      <c r="AL13" s="39">
        <v>250.1</v>
      </c>
      <c r="AM13" s="39">
        <v>252.1</v>
      </c>
      <c r="AN13" s="39">
        <v>252.1</v>
      </c>
      <c r="AO13" s="39">
        <v>235.7</v>
      </c>
      <c r="AP13" s="109">
        <v>243.1</v>
      </c>
      <c r="AQ13" s="109">
        <v>252.5</v>
      </c>
      <c r="AR13" s="40">
        <v>362.9</v>
      </c>
      <c r="AS13" s="39">
        <v>360.9</v>
      </c>
      <c r="AT13" s="39">
        <v>365.5</v>
      </c>
      <c r="AU13" s="39">
        <v>369.1</v>
      </c>
      <c r="AV13" s="39">
        <v>370.2</v>
      </c>
      <c r="AW13" s="39">
        <v>376.8</v>
      </c>
      <c r="AX13" s="39">
        <v>387.5</v>
      </c>
      <c r="AY13" s="39">
        <v>397.2</v>
      </c>
      <c r="AZ13" s="39">
        <v>401.7</v>
      </c>
      <c r="BA13" s="39">
        <v>403.8</v>
      </c>
      <c r="BB13" s="39">
        <v>402.9</v>
      </c>
      <c r="BC13" s="39">
        <v>394.9</v>
      </c>
      <c r="BD13" s="109">
        <v>412.6</v>
      </c>
      <c r="BE13" s="109">
        <v>424.6</v>
      </c>
      <c r="BF13" s="40">
        <v>27.1</v>
      </c>
      <c r="BG13" s="39">
        <v>26.4</v>
      </c>
      <c r="BH13" s="39">
        <v>26.8</v>
      </c>
      <c r="BI13" s="39">
        <v>26.5</v>
      </c>
      <c r="BJ13" s="39">
        <v>26.3</v>
      </c>
      <c r="BK13" s="39">
        <v>26.3</v>
      </c>
      <c r="BL13" s="39">
        <v>22.7</v>
      </c>
      <c r="BM13" s="39">
        <v>22.9</v>
      </c>
      <c r="BN13" s="39">
        <v>22.7</v>
      </c>
      <c r="BO13" s="39">
        <v>22</v>
      </c>
      <c r="BP13" s="88">
        <v>21.6</v>
      </c>
      <c r="BQ13" s="39">
        <v>20.3</v>
      </c>
      <c r="BR13" s="109">
        <v>20.6</v>
      </c>
      <c r="BS13" s="109">
        <v>21.5</v>
      </c>
      <c r="BT13" s="40">
        <v>259.39999999999998</v>
      </c>
      <c r="BU13" s="39">
        <v>265.39999999999998</v>
      </c>
      <c r="BV13" s="39">
        <v>271.3</v>
      </c>
      <c r="BW13" s="39">
        <v>279.2</v>
      </c>
      <c r="BX13" s="39">
        <v>289.7</v>
      </c>
      <c r="BY13" s="39">
        <v>300.39999999999998</v>
      </c>
      <c r="BZ13" s="39">
        <v>310.2</v>
      </c>
      <c r="CA13" s="39">
        <v>312.10000000000002</v>
      </c>
      <c r="CB13" s="39">
        <v>307.60000000000002</v>
      </c>
      <c r="CC13" s="39">
        <v>310.39999999999998</v>
      </c>
      <c r="CD13" s="39">
        <v>309.89999999999998</v>
      </c>
      <c r="CE13">
        <v>299.60000000000002</v>
      </c>
      <c r="CF13">
        <f>96.1+219.6</f>
        <v>315.7</v>
      </c>
      <c r="CG13" s="92">
        <f>96.5+227.8</f>
        <v>324.3</v>
      </c>
      <c r="CH13" s="40">
        <v>249.7</v>
      </c>
      <c r="CI13" s="39">
        <v>254.2</v>
      </c>
      <c r="CJ13" s="39">
        <v>257.3</v>
      </c>
      <c r="CK13" s="39">
        <v>259.8</v>
      </c>
      <c r="CL13" s="39">
        <v>260.89999999999998</v>
      </c>
      <c r="CM13" s="39">
        <v>261</v>
      </c>
      <c r="CN13" s="39">
        <v>263.89999999999998</v>
      </c>
      <c r="CO13" s="39">
        <v>268.89999999999998</v>
      </c>
      <c r="CP13" s="39">
        <v>272.10000000000002</v>
      </c>
      <c r="CQ13" s="39">
        <v>278.3</v>
      </c>
      <c r="CR13" s="39">
        <v>283.2</v>
      </c>
      <c r="CS13" s="39">
        <v>274.3</v>
      </c>
      <c r="CT13" s="39">
        <v>282.60000000000002</v>
      </c>
      <c r="CU13" s="109">
        <v>287.8</v>
      </c>
      <c r="CV13" s="40">
        <v>238.2</v>
      </c>
      <c r="CW13" s="39">
        <v>236.10000000000002</v>
      </c>
      <c r="CX13" s="39">
        <v>237.7</v>
      </c>
      <c r="CY13" s="39">
        <v>240.8</v>
      </c>
      <c r="CZ13" s="39">
        <v>244.1</v>
      </c>
      <c r="DA13" s="39">
        <v>246.2</v>
      </c>
      <c r="DB13" s="39">
        <v>251.8</v>
      </c>
      <c r="DC13" s="39">
        <v>258.2</v>
      </c>
      <c r="DD13" s="39">
        <v>263</v>
      </c>
      <c r="DE13" s="39">
        <v>263.2</v>
      </c>
      <c r="DF13" s="39">
        <v>267.60000000000002</v>
      </c>
      <c r="DG13" s="39">
        <v>227.1</v>
      </c>
      <c r="DH13" s="39">
        <f>181.5+63.2</f>
        <v>244.7</v>
      </c>
      <c r="DI13" s="39">
        <f>195+66.2</f>
        <v>261.2</v>
      </c>
      <c r="DJ13" s="40">
        <v>311.2</v>
      </c>
      <c r="DK13" s="39">
        <v>317.2</v>
      </c>
      <c r="DL13" s="39">
        <v>321</v>
      </c>
      <c r="DM13" s="39">
        <v>324.2</v>
      </c>
      <c r="DN13" s="39">
        <v>324.39999999999998</v>
      </c>
      <c r="DO13" s="39">
        <v>323.60000000000002</v>
      </c>
      <c r="DP13" s="39">
        <v>319</v>
      </c>
      <c r="DQ13" s="39">
        <v>318.60000000000002</v>
      </c>
      <c r="DR13" s="39">
        <v>315.8</v>
      </c>
      <c r="DS13" s="39">
        <v>313.7</v>
      </c>
      <c r="DT13" s="88">
        <v>311.39999999999998</v>
      </c>
      <c r="DU13" s="88">
        <v>298.3</v>
      </c>
      <c r="DV13" s="88">
        <v>296.89999999999998</v>
      </c>
      <c r="DW13" s="88">
        <v>298.89999999999998</v>
      </c>
    </row>
    <row r="14" spans="1:127" ht="14.45">
      <c r="A14" s="20" t="s">
        <v>23</v>
      </c>
      <c r="B14" s="39">
        <v>1901.9</v>
      </c>
      <c r="C14" s="39">
        <v>1885.6</v>
      </c>
      <c r="D14" s="39">
        <v>1902.9</v>
      </c>
      <c r="E14" s="39">
        <v>1926.9</v>
      </c>
      <c r="F14" s="39">
        <v>1953.3</v>
      </c>
      <c r="G14" s="39">
        <v>1980.7</v>
      </c>
      <c r="H14" s="39">
        <v>1994.5</v>
      </c>
      <c r="I14" s="39">
        <v>1971.3</v>
      </c>
      <c r="J14" s="39">
        <v>1971</v>
      </c>
      <c r="K14" s="39">
        <v>1981.5</v>
      </c>
      <c r="L14" s="88">
        <v>1988.8</v>
      </c>
      <c r="M14" s="88">
        <v>1837.3</v>
      </c>
      <c r="N14" s="88">
        <v>1877.1</v>
      </c>
      <c r="O14" s="88">
        <v>1920.2</v>
      </c>
      <c r="P14" s="40">
        <v>181.39999999999998</v>
      </c>
      <c r="Q14" s="39">
        <v>173.1</v>
      </c>
      <c r="R14" s="39">
        <v>175.5</v>
      </c>
      <c r="S14" s="39">
        <v>180.8</v>
      </c>
      <c r="T14" s="39">
        <v>185</v>
      </c>
      <c r="U14" s="39">
        <v>193</v>
      </c>
      <c r="V14" s="39">
        <v>188.5</v>
      </c>
      <c r="W14" s="39">
        <v>178.7</v>
      </c>
      <c r="X14" s="39">
        <v>181.20000000000002</v>
      </c>
      <c r="Y14" s="39">
        <v>187</v>
      </c>
      <c r="Z14" s="39">
        <v>178.6</v>
      </c>
      <c r="AA14" s="39">
        <v>151.4</v>
      </c>
      <c r="AB14" s="39">
        <f>29.9+129.5</f>
        <v>159.4</v>
      </c>
      <c r="AC14" s="39">
        <f>31+129.1</f>
        <v>160.1</v>
      </c>
      <c r="AD14" s="40">
        <v>142.1</v>
      </c>
      <c r="AE14" s="39">
        <v>137.9</v>
      </c>
      <c r="AF14" s="39">
        <v>139.69999999999999</v>
      </c>
      <c r="AG14" s="39">
        <v>142.19999999999999</v>
      </c>
      <c r="AH14" s="39">
        <v>144.6</v>
      </c>
      <c r="AI14" s="39">
        <v>147.69999999999999</v>
      </c>
      <c r="AJ14" s="39">
        <v>144</v>
      </c>
      <c r="AK14" s="39">
        <v>135.80000000000001</v>
      </c>
      <c r="AL14" s="39">
        <v>134.4</v>
      </c>
      <c r="AM14" s="39">
        <v>134.9</v>
      </c>
      <c r="AN14" s="39">
        <v>137.5</v>
      </c>
      <c r="AO14" s="39">
        <v>131.5</v>
      </c>
      <c r="AP14" s="109">
        <v>129.6</v>
      </c>
      <c r="AQ14" s="109">
        <v>134.1</v>
      </c>
      <c r="AR14" s="40">
        <v>370.2</v>
      </c>
      <c r="AS14" s="39">
        <v>366.8</v>
      </c>
      <c r="AT14" s="39">
        <v>374.2</v>
      </c>
      <c r="AU14" s="39">
        <v>377.8</v>
      </c>
      <c r="AV14" s="39">
        <v>382.8</v>
      </c>
      <c r="AW14" s="39">
        <v>389.2</v>
      </c>
      <c r="AX14" s="39">
        <v>393.3</v>
      </c>
      <c r="AY14" s="39">
        <v>387.9</v>
      </c>
      <c r="AZ14" s="39">
        <v>381.2</v>
      </c>
      <c r="BA14" s="39">
        <v>379.5</v>
      </c>
      <c r="BB14" s="39">
        <v>378.8</v>
      </c>
      <c r="BC14" s="39">
        <v>360.1</v>
      </c>
      <c r="BD14" s="109">
        <v>367.3</v>
      </c>
      <c r="BE14" s="109">
        <v>373.8</v>
      </c>
      <c r="BF14" s="40">
        <v>24.7</v>
      </c>
      <c r="BG14" s="39">
        <v>24.7</v>
      </c>
      <c r="BH14" s="39">
        <v>23.7</v>
      </c>
      <c r="BI14" s="39">
        <v>25</v>
      </c>
      <c r="BJ14" s="39">
        <v>26.4</v>
      </c>
      <c r="BK14" s="39">
        <v>26</v>
      </c>
      <c r="BL14" s="39">
        <v>26.4</v>
      </c>
      <c r="BM14" s="39">
        <v>23.6</v>
      </c>
      <c r="BN14" s="39">
        <v>22.9</v>
      </c>
      <c r="BO14" s="39">
        <v>22.9</v>
      </c>
      <c r="BP14" s="88">
        <v>22.2</v>
      </c>
      <c r="BQ14" s="39">
        <v>18.2</v>
      </c>
      <c r="BR14" s="109">
        <v>20.7</v>
      </c>
      <c r="BS14" s="109">
        <v>23.2</v>
      </c>
      <c r="BT14" s="40">
        <v>284.60000000000002</v>
      </c>
      <c r="BU14" s="39">
        <v>284.89999999999998</v>
      </c>
      <c r="BV14" s="39">
        <v>288.3</v>
      </c>
      <c r="BW14" s="39">
        <v>294.79999999999995</v>
      </c>
      <c r="BX14" s="39">
        <v>300.39999999999998</v>
      </c>
      <c r="BY14" s="39">
        <v>303.89999999999998</v>
      </c>
      <c r="BZ14" s="39">
        <v>306.8</v>
      </c>
      <c r="CA14" s="39">
        <v>302.89999999999998</v>
      </c>
      <c r="CB14" s="39">
        <v>302.8</v>
      </c>
      <c r="CC14" s="39">
        <v>304.10000000000002</v>
      </c>
      <c r="CD14" s="39">
        <v>308</v>
      </c>
      <c r="CE14">
        <v>293.5</v>
      </c>
      <c r="CF14">
        <f>87.1+213.5</f>
        <v>300.60000000000002</v>
      </c>
      <c r="CG14">
        <f>89.7+220.5</f>
        <v>310.2</v>
      </c>
      <c r="CH14" s="40">
        <v>265.7</v>
      </c>
      <c r="CI14" s="39">
        <v>271.10000000000002</v>
      </c>
      <c r="CJ14" s="39">
        <v>277</v>
      </c>
      <c r="CK14" s="39">
        <v>282.8</v>
      </c>
      <c r="CL14" s="39">
        <v>291.3</v>
      </c>
      <c r="CM14" s="39">
        <v>299</v>
      </c>
      <c r="CN14" s="39">
        <v>304.89999999999998</v>
      </c>
      <c r="CO14" s="39">
        <v>310.2</v>
      </c>
      <c r="CP14" s="39">
        <v>314.3</v>
      </c>
      <c r="CQ14" s="39">
        <v>315.5</v>
      </c>
      <c r="CR14" s="39">
        <v>320.3</v>
      </c>
      <c r="CS14" s="39">
        <v>310.2</v>
      </c>
      <c r="CT14" s="39">
        <v>317.2</v>
      </c>
      <c r="CU14" s="109">
        <v>324.39999999999998</v>
      </c>
      <c r="CV14" s="40">
        <v>264.20000000000005</v>
      </c>
      <c r="CW14" s="39">
        <v>260.8</v>
      </c>
      <c r="CX14" s="39">
        <v>267.60000000000002</v>
      </c>
      <c r="CY14" s="39">
        <v>274.8</v>
      </c>
      <c r="CZ14" s="39">
        <v>284.39999999999998</v>
      </c>
      <c r="DA14" s="39">
        <v>292.8</v>
      </c>
      <c r="DB14" s="39">
        <v>303.39999999999998</v>
      </c>
      <c r="DC14" s="39">
        <v>307</v>
      </c>
      <c r="DD14" s="39">
        <v>307.20000000000005</v>
      </c>
      <c r="DE14" s="39">
        <v>310</v>
      </c>
      <c r="DF14" s="39">
        <v>312.3</v>
      </c>
      <c r="DG14" s="39">
        <v>254.29999999999998</v>
      </c>
      <c r="DH14" s="39">
        <f>199.8+69.7</f>
        <v>269.5</v>
      </c>
      <c r="DI14" s="39">
        <f>212.9+70.7</f>
        <v>283.60000000000002</v>
      </c>
      <c r="DJ14" s="40">
        <v>369.2</v>
      </c>
      <c r="DK14" s="39">
        <v>366.3</v>
      </c>
      <c r="DL14" s="39">
        <v>356.9</v>
      </c>
      <c r="DM14" s="39">
        <v>348.7</v>
      </c>
      <c r="DN14" s="39">
        <v>338.5</v>
      </c>
      <c r="DO14" s="39">
        <v>329.1</v>
      </c>
      <c r="DP14" s="39">
        <v>327.2</v>
      </c>
      <c r="DQ14" s="39">
        <v>325.39999999999998</v>
      </c>
      <c r="DR14" s="39">
        <v>327.2</v>
      </c>
      <c r="DS14" s="39">
        <v>327.60000000000002</v>
      </c>
      <c r="DT14" s="88">
        <v>331.2</v>
      </c>
      <c r="DU14" s="88">
        <v>318</v>
      </c>
      <c r="DV14" s="88">
        <v>313</v>
      </c>
      <c r="DW14" s="88">
        <v>311</v>
      </c>
    </row>
    <row r="15" spans="1:127" ht="14.45">
      <c r="A15" s="20" t="s">
        <v>24</v>
      </c>
      <c r="B15" s="39">
        <v>2522.3000000000002</v>
      </c>
      <c r="C15" s="39">
        <v>2516.6999999999998</v>
      </c>
      <c r="D15" s="39">
        <v>2542.1</v>
      </c>
      <c r="E15" s="39">
        <v>2573.6999999999998</v>
      </c>
      <c r="F15" s="39">
        <v>2596.3000000000002</v>
      </c>
      <c r="G15" s="39">
        <v>2619</v>
      </c>
      <c r="H15" s="39">
        <v>2674</v>
      </c>
      <c r="I15" s="39">
        <v>2707.8</v>
      </c>
      <c r="J15" s="39">
        <v>2721.2</v>
      </c>
      <c r="K15" s="39">
        <v>2744.3</v>
      </c>
      <c r="L15" s="88">
        <v>2768.9</v>
      </c>
      <c r="M15" s="88">
        <v>2581.3000000000002</v>
      </c>
      <c r="N15" s="88">
        <v>2648.7</v>
      </c>
      <c r="O15" s="88">
        <v>2708.8</v>
      </c>
      <c r="P15" s="40">
        <v>155</v>
      </c>
      <c r="Q15" s="39">
        <v>144.80000000000001</v>
      </c>
      <c r="R15" s="39">
        <v>144.80000000000001</v>
      </c>
      <c r="S15" s="39">
        <v>145.1</v>
      </c>
      <c r="T15" s="39">
        <v>147.5</v>
      </c>
      <c r="U15" s="39">
        <v>151.1</v>
      </c>
      <c r="V15" s="39">
        <v>155.70000000000002</v>
      </c>
      <c r="W15" s="39">
        <v>161.9</v>
      </c>
      <c r="X15" s="39">
        <v>163.20000000000002</v>
      </c>
      <c r="Y15" s="39">
        <v>164.4</v>
      </c>
      <c r="Z15" s="39">
        <v>167.4</v>
      </c>
      <c r="AA15" s="39">
        <v>161.5</v>
      </c>
      <c r="AB15" s="39">
        <f>1.3+160.5</f>
        <v>161.80000000000001</v>
      </c>
      <c r="AC15" s="39">
        <f>1.4+160.8</f>
        <v>162.20000000000002</v>
      </c>
      <c r="AD15" s="40">
        <v>118.8</v>
      </c>
      <c r="AE15" s="39">
        <v>114.3</v>
      </c>
      <c r="AF15" s="39">
        <v>112.6</v>
      </c>
      <c r="AG15" s="39">
        <v>109</v>
      </c>
      <c r="AH15" s="39">
        <v>105.9</v>
      </c>
      <c r="AI15" s="39">
        <v>103.4</v>
      </c>
      <c r="AJ15" s="39">
        <v>104.5</v>
      </c>
      <c r="AK15" s="39">
        <v>103.8</v>
      </c>
      <c r="AL15" s="39">
        <v>106.7</v>
      </c>
      <c r="AM15" s="39">
        <v>108.3</v>
      </c>
      <c r="AN15" s="39">
        <v>112.9</v>
      </c>
      <c r="AO15" s="39">
        <v>108.4</v>
      </c>
      <c r="AP15" s="109">
        <v>108.8</v>
      </c>
      <c r="AQ15" s="109">
        <v>110</v>
      </c>
      <c r="AR15" s="40">
        <v>439.9</v>
      </c>
      <c r="AS15" s="39">
        <v>438</v>
      </c>
      <c r="AT15" s="39">
        <v>444.2</v>
      </c>
      <c r="AU15" s="39">
        <v>450.2</v>
      </c>
      <c r="AV15" s="39">
        <v>451.5</v>
      </c>
      <c r="AW15" s="39">
        <v>454.9</v>
      </c>
      <c r="AX15" s="39">
        <v>463.5</v>
      </c>
      <c r="AY15" s="39">
        <v>466.6</v>
      </c>
      <c r="AZ15" s="39">
        <v>466.6</v>
      </c>
      <c r="BA15" s="39">
        <v>467.4</v>
      </c>
      <c r="BB15" s="39">
        <v>469.1</v>
      </c>
      <c r="BC15" s="39">
        <v>446.1</v>
      </c>
      <c r="BD15" s="109">
        <v>466.2</v>
      </c>
      <c r="BE15" s="109">
        <v>476.3</v>
      </c>
      <c r="BF15" s="40">
        <v>45.6</v>
      </c>
      <c r="BG15" s="39">
        <v>44</v>
      </c>
      <c r="BH15" s="39">
        <v>40.9</v>
      </c>
      <c r="BI15" s="39">
        <v>39.9</v>
      </c>
      <c r="BJ15" s="39">
        <v>39.1</v>
      </c>
      <c r="BK15" s="39">
        <v>37.9</v>
      </c>
      <c r="BL15" s="39">
        <v>38.6</v>
      </c>
      <c r="BM15" s="39">
        <v>37.700000000000003</v>
      </c>
      <c r="BN15" s="39">
        <v>37.299999999999997</v>
      </c>
      <c r="BO15" s="39">
        <v>36.5</v>
      </c>
      <c r="BP15" s="88">
        <v>35.299999999999997</v>
      </c>
      <c r="BQ15" s="39">
        <v>32.799999999999997</v>
      </c>
      <c r="BR15" s="109">
        <v>33.4</v>
      </c>
      <c r="BS15" s="109">
        <v>35.4</v>
      </c>
      <c r="BT15" s="40">
        <v>530.1</v>
      </c>
      <c r="BU15" s="39">
        <v>531.29999999999995</v>
      </c>
      <c r="BV15" s="39">
        <v>542.70000000000005</v>
      </c>
      <c r="BW15" s="39">
        <v>553.4</v>
      </c>
      <c r="BX15" s="39">
        <v>562.29999999999995</v>
      </c>
      <c r="BY15" s="39">
        <v>568</v>
      </c>
      <c r="BZ15" s="39">
        <v>579.29999999999995</v>
      </c>
      <c r="CA15" s="39">
        <v>590.4</v>
      </c>
      <c r="CB15" s="39">
        <v>589.70000000000005</v>
      </c>
      <c r="CC15" s="39">
        <v>595.4</v>
      </c>
      <c r="CD15" s="39">
        <v>607.1</v>
      </c>
      <c r="CE15">
        <v>578.5</v>
      </c>
      <c r="CF15">
        <f>137.6+460.6</f>
        <v>598.20000000000005</v>
      </c>
      <c r="CG15" s="92">
        <f>135+475.2</f>
        <v>610.20000000000005</v>
      </c>
      <c r="CH15" s="40">
        <v>392.7</v>
      </c>
      <c r="CI15" s="39">
        <v>398.3</v>
      </c>
      <c r="CJ15" s="39">
        <v>404.8</v>
      </c>
      <c r="CK15" s="39">
        <v>414.8</v>
      </c>
      <c r="CL15" s="39">
        <v>420.6</v>
      </c>
      <c r="CM15" s="39">
        <v>427.7</v>
      </c>
      <c r="CN15" s="39">
        <v>449.6</v>
      </c>
      <c r="CO15" s="39">
        <v>458.7</v>
      </c>
      <c r="CP15" s="39">
        <v>461.4</v>
      </c>
      <c r="CQ15" s="39">
        <v>471.5</v>
      </c>
      <c r="CR15" s="39">
        <v>473.5</v>
      </c>
      <c r="CS15" s="39">
        <v>443.1</v>
      </c>
      <c r="CT15" s="39">
        <v>442.6</v>
      </c>
      <c r="CU15" s="109">
        <v>446.4</v>
      </c>
      <c r="CV15" s="40">
        <v>346.4</v>
      </c>
      <c r="CW15" s="39">
        <v>344.4</v>
      </c>
      <c r="CX15" s="39">
        <v>347.5</v>
      </c>
      <c r="CY15" s="39">
        <v>356.8</v>
      </c>
      <c r="CZ15" s="39">
        <v>365.5</v>
      </c>
      <c r="DA15" s="39">
        <v>372.2</v>
      </c>
      <c r="DB15" s="39">
        <v>379.5</v>
      </c>
      <c r="DC15" s="39">
        <v>384.9</v>
      </c>
      <c r="DD15" s="39">
        <v>392</v>
      </c>
      <c r="DE15" s="39">
        <v>396.2</v>
      </c>
      <c r="DF15" s="39">
        <v>396.79999999999995</v>
      </c>
      <c r="DG15" s="39">
        <v>312.5</v>
      </c>
      <c r="DH15" s="39">
        <f>231.1+105.3</f>
        <v>336.4</v>
      </c>
      <c r="DI15" s="39">
        <f>249.4+106.3</f>
        <v>355.7</v>
      </c>
      <c r="DJ15" s="40">
        <v>494</v>
      </c>
      <c r="DK15" s="39">
        <v>501.6</v>
      </c>
      <c r="DL15" s="39">
        <v>504.7</v>
      </c>
      <c r="DM15" s="39">
        <v>504.5</v>
      </c>
      <c r="DN15" s="39">
        <v>504</v>
      </c>
      <c r="DO15" s="39">
        <v>503.7</v>
      </c>
      <c r="DP15" s="39">
        <v>503.2</v>
      </c>
      <c r="DQ15" s="39">
        <v>504</v>
      </c>
      <c r="DR15" s="39">
        <v>504.1</v>
      </c>
      <c r="DS15" s="39">
        <v>504.6</v>
      </c>
      <c r="DT15" s="88">
        <v>506.7</v>
      </c>
      <c r="DU15" s="88">
        <v>498.4</v>
      </c>
      <c r="DV15" s="88">
        <v>501.4</v>
      </c>
      <c r="DW15" s="88">
        <v>512.70000000000005</v>
      </c>
    </row>
    <row r="16" spans="1:127" ht="14.45">
      <c r="A16" s="20" t="s">
        <v>25</v>
      </c>
      <c r="B16" s="39">
        <v>1097.5999999999999</v>
      </c>
      <c r="C16" s="39">
        <v>1092.5</v>
      </c>
      <c r="D16" s="39">
        <v>1092.9000000000001</v>
      </c>
      <c r="E16" s="39">
        <v>1102.3</v>
      </c>
      <c r="F16" s="39">
        <v>1111.3</v>
      </c>
      <c r="G16" s="39">
        <v>1119.5</v>
      </c>
      <c r="H16" s="39">
        <v>1133.7</v>
      </c>
      <c r="I16" s="39">
        <v>1144.5999999999999</v>
      </c>
      <c r="J16" s="39">
        <v>1152</v>
      </c>
      <c r="K16" s="39">
        <v>1154.8</v>
      </c>
      <c r="L16" s="88">
        <v>1158.4000000000001</v>
      </c>
      <c r="M16" s="88">
        <v>1108.7</v>
      </c>
      <c r="N16" s="88">
        <v>1137.5999999999999</v>
      </c>
      <c r="O16" s="88">
        <v>1164.8</v>
      </c>
      <c r="P16" s="40">
        <v>59.5</v>
      </c>
      <c r="Q16" s="39">
        <v>58.2</v>
      </c>
      <c r="R16" s="39">
        <v>57.9</v>
      </c>
      <c r="S16" s="39">
        <v>57.599999999999994</v>
      </c>
      <c r="T16" s="39">
        <v>60.2</v>
      </c>
      <c r="U16" s="39">
        <v>58.2</v>
      </c>
      <c r="V16" s="39">
        <v>54</v>
      </c>
      <c r="W16" s="39">
        <v>51.1</v>
      </c>
      <c r="X16" s="39">
        <v>50.199999999999996</v>
      </c>
      <c r="Y16" s="39">
        <v>50.6</v>
      </c>
      <c r="Z16" s="39">
        <v>51.199999999999996</v>
      </c>
      <c r="AA16" s="39">
        <v>49.9</v>
      </c>
      <c r="AB16" s="39">
        <f>5.9+44.8</f>
        <v>50.699999999999996</v>
      </c>
      <c r="AC16" s="39">
        <f>6+46.2</f>
        <v>52.2</v>
      </c>
      <c r="AD16" s="40">
        <v>141</v>
      </c>
      <c r="AE16" s="39">
        <v>136</v>
      </c>
      <c r="AF16" s="39">
        <v>135.19999999999999</v>
      </c>
      <c r="AG16" s="39">
        <v>137</v>
      </c>
      <c r="AH16" s="39">
        <v>136.80000000000001</v>
      </c>
      <c r="AI16" s="39">
        <v>139.30000000000001</v>
      </c>
      <c r="AJ16" s="39">
        <v>141.80000000000001</v>
      </c>
      <c r="AK16" s="39">
        <v>142.9</v>
      </c>
      <c r="AL16" s="39">
        <v>144</v>
      </c>
      <c r="AM16" s="39">
        <v>144.9</v>
      </c>
      <c r="AN16" s="39">
        <v>147.1</v>
      </c>
      <c r="AO16" s="39">
        <v>139.4</v>
      </c>
      <c r="AP16" s="109">
        <v>143.80000000000001</v>
      </c>
      <c r="AQ16" s="109">
        <v>147.9</v>
      </c>
      <c r="AR16" s="40">
        <v>214.8</v>
      </c>
      <c r="AS16" s="39">
        <v>213.5</v>
      </c>
      <c r="AT16" s="39">
        <v>215</v>
      </c>
      <c r="AU16" s="39">
        <v>215.7</v>
      </c>
      <c r="AV16" s="39">
        <v>216.6</v>
      </c>
      <c r="AW16" s="39">
        <v>219.9</v>
      </c>
      <c r="AX16" s="39">
        <v>225.3</v>
      </c>
      <c r="AY16" s="39">
        <v>229.3</v>
      </c>
      <c r="AZ16" s="39">
        <v>231.6</v>
      </c>
      <c r="BA16" s="39">
        <v>231.1</v>
      </c>
      <c r="BB16" s="39">
        <v>231</v>
      </c>
      <c r="BC16" s="39">
        <v>227.8</v>
      </c>
      <c r="BD16" s="109">
        <v>236</v>
      </c>
      <c r="BE16" s="109">
        <v>243.5</v>
      </c>
      <c r="BF16" s="40">
        <v>12.8</v>
      </c>
      <c r="BG16" s="39">
        <v>12.3</v>
      </c>
      <c r="BH16" s="39">
        <v>12.1</v>
      </c>
      <c r="BI16" s="39">
        <v>12.5</v>
      </c>
      <c r="BJ16" s="39">
        <v>12.8</v>
      </c>
      <c r="BK16" s="39">
        <v>13.1</v>
      </c>
      <c r="BL16" s="39">
        <v>12.7</v>
      </c>
      <c r="BM16" s="39">
        <v>12.1</v>
      </c>
      <c r="BN16" s="39">
        <v>11.6</v>
      </c>
      <c r="BO16" s="39">
        <v>11</v>
      </c>
      <c r="BP16" s="88">
        <v>10.7</v>
      </c>
      <c r="BQ16" s="39">
        <v>9.6</v>
      </c>
      <c r="BR16" s="109">
        <v>9.6999999999999993</v>
      </c>
      <c r="BS16" s="109">
        <v>10.199999999999999</v>
      </c>
      <c r="BT16" s="40">
        <v>132.6</v>
      </c>
      <c r="BU16" s="39">
        <v>136.6</v>
      </c>
      <c r="BV16" s="39">
        <v>137.80000000000001</v>
      </c>
      <c r="BW16" s="39">
        <v>140.4</v>
      </c>
      <c r="BX16" s="39">
        <v>142.69999999999999</v>
      </c>
      <c r="BY16" s="39">
        <v>144.30000000000001</v>
      </c>
      <c r="BZ16" s="39">
        <v>149.5</v>
      </c>
      <c r="CA16" s="39">
        <v>151</v>
      </c>
      <c r="CB16" s="39">
        <v>152.5</v>
      </c>
      <c r="CC16" s="39">
        <v>154.19999999999999</v>
      </c>
      <c r="CD16" s="39">
        <v>152.5</v>
      </c>
      <c r="CE16">
        <v>149.19999999999999</v>
      </c>
      <c r="CF16">
        <f>42.7+115</f>
        <v>157.69999999999999</v>
      </c>
      <c r="CG16" s="100">
        <f>44.1+117.9</f>
        <v>162</v>
      </c>
      <c r="CH16" s="40">
        <v>128.19999999999999</v>
      </c>
      <c r="CI16" s="39">
        <v>130.5</v>
      </c>
      <c r="CJ16" s="39">
        <v>132.1</v>
      </c>
      <c r="CK16" s="39">
        <v>133.19999999999999</v>
      </c>
      <c r="CL16" s="39">
        <v>133.9</v>
      </c>
      <c r="CM16" s="39">
        <v>135.1</v>
      </c>
      <c r="CN16" s="39">
        <v>138</v>
      </c>
      <c r="CO16" s="39">
        <v>140.19999999999999</v>
      </c>
      <c r="CP16" s="39">
        <v>144.1</v>
      </c>
      <c r="CQ16" s="39">
        <v>145</v>
      </c>
      <c r="CR16" s="39">
        <v>147</v>
      </c>
      <c r="CS16" s="39">
        <v>139.5</v>
      </c>
      <c r="CT16" s="39">
        <v>140.4</v>
      </c>
      <c r="CU16" s="109">
        <v>144.4</v>
      </c>
      <c r="CV16" s="40">
        <v>159</v>
      </c>
      <c r="CW16" s="39">
        <v>156.6</v>
      </c>
      <c r="CX16" s="39">
        <v>157</v>
      </c>
      <c r="CY16" s="39">
        <v>159.9</v>
      </c>
      <c r="CZ16" s="39">
        <v>162.89999999999998</v>
      </c>
      <c r="DA16" s="39">
        <v>164.7</v>
      </c>
      <c r="DB16" s="39">
        <v>168.89999999999998</v>
      </c>
      <c r="DC16" s="39">
        <v>173.5</v>
      </c>
      <c r="DD16" s="39">
        <v>175.39999999999998</v>
      </c>
      <c r="DE16" s="39">
        <v>176.8</v>
      </c>
      <c r="DF16" s="39">
        <v>177</v>
      </c>
      <c r="DG16" s="39">
        <v>157.19999999999999</v>
      </c>
      <c r="DH16" s="39">
        <f>126.2+39</f>
        <v>165.2</v>
      </c>
      <c r="DI16" s="39">
        <f>174.4+71.5</f>
        <v>245.9</v>
      </c>
      <c r="DJ16" s="40">
        <v>249.7</v>
      </c>
      <c r="DK16" s="39">
        <v>249</v>
      </c>
      <c r="DL16" s="39">
        <v>245.9</v>
      </c>
      <c r="DM16" s="39">
        <v>246</v>
      </c>
      <c r="DN16" s="39">
        <v>245.3</v>
      </c>
      <c r="DO16" s="39">
        <v>245.1</v>
      </c>
      <c r="DP16" s="39">
        <v>243.5</v>
      </c>
      <c r="DQ16" s="39">
        <v>244.4</v>
      </c>
      <c r="DR16" s="39">
        <v>242.6</v>
      </c>
      <c r="DS16" s="39">
        <v>241.3</v>
      </c>
      <c r="DT16" s="88">
        <v>241.9</v>
      </c>
      <c r="DU16" s="88">
        <v>236.1</v>
      </c>
      <c r="DV16" s="88">
        <v>234</v>
      </c>
      <c r="DW16" s="88">
        <v>232.8</v>
      </c>
    </row>
    <row r="17" spans="1:127" ht="14.45">
      <c r="A17" s="20" t="s">
        <v>26</v>
      </c>
      <c r="B17" s="39">
        <v>3904</v>
      </c>
      <c r="C17" s="39">
        <v>3869.6</v>
      </c>
      <c r="D17" s="39">
        <v>3916.6</v>
      </c>
      <c r="E17" s="39">
        <v>3986.3</v>
      </c>
      <c r="F17" s="39">
        <v>4056.8</v>
      </c>
      <c r="G17" s="39">
        <v>4141.8999999999996</v>
      </c>
      <c r="H17" s="39">
        <v>4240.3</v>
      </c>
      <c r="I17" s="39">
        <v>4339.8999999999996</v>
      </c>
      <c r="J17" s="39">
        <v>4414.8999999999996</v>
      </c>
      <c r="K17" s="39">
        <v>4488.2</v>
      </c>
      <c r="L17" s="88">
        <v>4574.2</v>
      </c>
      <c r="M17" s="88">
        <v>4381.3</v>
      </c>
      <c r="N17" s="88">
        <v>4602</v>
      </c>
      <c r="O17" s="88">
        <v>4797.2</v>
      </c>
      <c r="P17" s="40">
        <v>198.3</v>
      </c>
      <c r="Q17" s="39">
        <v>182.1</v>
      </c>
      <c r="R17" s="39">
        <v>178.9</v>
      </c>
      <c r="S17" s="39">
        <v>177.6</v>
      </c>
      <c r="T17" s="39">
        <v>179.1</v>
      </c>
      <c r="U17" s="39">
        <v>185</v>
      </c>
      <c r="V17" s="39">
        <v>194.8</v>
      </c>
      <c r="W17" s="39">
        <v>206.2</v>
      </c>
      <c r="X17" s="39">
        <v>214.29999999999998</v>
      </c>
      <c r="Y17" s="39">
        <v>225.3</v>
      </c>
      <c r="Z17" s="39">
        <v>237.2</v>
      </c>
      <c r="AA17" s="39">
        <v>234.79999999999998</v>
      </c>
      <c r="AB17" s="39">
        <f>5.6+238.4</f>
        <v>244</v>
      </c>
      <c r="AC17" s="39">
        <f>5.5+247.6</f>
        <v>253.1</v>
      </c>
      <c r="AD17" s="40">
        <v>447.9</v>
      </c>
      <c r="AE17" s="39">
        <v>432.2</v>
      </c>
      <c r="AF17" s="39">
        <v>433.7</v>
      </c>
      <c r="AG17" s="39">
        <v>440.1</v>
      </c>
      <c r="AH17" s="39">
        <v>442.8</v>
      </c>
      <c r="AI17" s="39">
        <v>449.1</v>
      </c>
      <c r="AJ17" s="39">
        <v>461.5</v>
      </c>
      <c r="AK17" s="39">
        <v>465</v>
      </c>
      <c r="AL17" s="39">
        <v>467.4</v>
      </c>
      <c r="AM17" s="39">
        <v>474.2</v>
      </c>
      <c r="AN17" s="39">
        <v>478.3</v>
      </c>
      <c r="AO17" s="39">
        <v>453</v>
      </c>
      <c r="AP17" s="109">
        <v>462.9</v>
      </c>
      <c r="AQ17" s="109">
        <v>473.9</v>
      </c>
      <c r="AR17" s="40">
        <v>720.8</v>
      </c>
      <c r="AS17" s="39">
        <v>713.8</v>
      </c>
      <c r="AT17" s="39">
        <v>727.6</v>
      </c>
      <c r="AU17" s="39">
        <v>743.6</v>
      </c>
      <c r="AV17" s="39">
        <v>757.1</v>
      </c>
      <c r="AW17" s="39">
        <v>775.8</v>
      </c>
      <c r="AX17" s="39">
        <v>796.7</v>
      </c>
      <c r="AY17" s="39">
        <v>813.9</v>
      </c>
      <c r="AZ17" s="39">
        <v>827.1</v>
      </c>
      <c r="BA17" s="39">
        <v>833.3</v>
      </c>
      <c r="BB17" s="39">
        <v>846.5</v>
      </c>
      <c r="BC17" s="39">
        <v>839.1</v>
      </c>
      <c r="BD17" s="109">
        <v>894</v>
      </c>
      <c r="BE17" s="109">
        <v>920</v>
      </c>
      <c r="BF17" s="40">
        <v>69.8</v>
      </c>
      <c r="BG17" s="39">
        <v>68.3</v>
      </c>
      <c r="BH17" s="39">
        <v>68.8</v>
      </c>
      <c r="BI17" s="39">
        <v>69.099999999999994</v>
      </c>
      <c r="BJ17" s="39">
        <v>70.2</v>
      </c>
      <c r="BK17" s="39">
        <v>72.400000000000006</v>
      </c>
      <c r="BL17" s="39">
        <v>76.2</v>
      </c>
      <c r="BM17" s="39">
        <v>78.5</v>
      </c>
      <c r="BN17" s="39">
        <v>79.099999999999994</v>
      </c>
      <c r="BO17" s="39">
        <v>80</v>
      </c>
      <c r="BP17" s="88">
        <v>76.2</v>
      </c>
      <c r="BQ17" s="39">
        <v>73.400000000000006</v>
      </c>
      <c r="BR17" s="109">
        <v>75.7</v>
      </c>
      <c r="BS17" s="109">
        <v>81.8</v>
      </c>
      <c r="BT17" s="40">
        <v>669.2</v>
      </c>
      <c r="BU17" s="39">
        <v>685.2</v>
      </c>
      <c r="BV17" s="39">
        <v>714.90000000000009</v>
      </c>
      <c r="BW17" s="39">
        <v>735.59999999999991</v>
      </c>
      <c r="BX17" s="39">
        <v>753.69999999999993</v>
      </c>
      <c r="BY17" s="39">
        <v>782.30000000000007</v>
      </c>
      <c r="BZ17" s="39">
        <v>808.2</v>
      </c>
      <c r="CA17" s="39">
        <v>833.8</v>
      </c>
      <c r="CB17" s="39">
        <v>850.4</v>
      </c>
      <c r="CC17" s="39">
        <v>874.1</v>
      </c>
      <c r="CD17" s="39">
        <v>901.2</v>
      </c>
      <c r="CE17">
        <v>892.7</v>
      </c>
      <c r="CF17">
        <f>275.1+681.3</f>
        <v>956.4</v>
      </c>
      <c r="CG17">
        <f>292.4+735.3</f>
        <v>1027.6999999999998</v>
      </c>
      <c r="CH17" s="40">
        <v>536.9</v>
      </c>
      <c r="CI17" s="39">
        <v>536.79999999999995</v>
      </c>
      <c r="CJ17" s="39">
        <v>539.6</v>
      </c>
      <c r="CK17" s="39">
        <v>548.9</v>
      </c>
      <c r="CL17" s="39">
        <v>558.9</v>
      </c>
      <c r="CM17" s="39">
        <v>568.70000000000005</v>
      </c>
      <c r="CN17" s="39">
        <v>573.70000000000005</v>
      </c>
      <c r="CO17" s="39">
        <v>584.9</v>
      </c>
      <c r="CP17" s="39">
        <v>599</v>
      </c>
      <c r="CQ17" s="39">
        <v>611.6</v>
      </c>
      <c r="CR17" s="39">
        <v>626.29999999999995</v>
      </c>
      <c r="CS17" s="39">
        <v>600.6</v>
      </c>
      <c r="CT17" s="39">
        <v>637.6</v>
      </c>
      <c r="CU17" s="109">
        <v>652.79999999999995</v>
      </c>
      <c r="CV17" s="40">
        <v>537.4</v>
      </c>
      <c r="CW17" s="39">
        <v>530.4</v>
      </c>
      <c r="CX17" s="39">
        <v>540</v>
      </c>
      <c r="CY17" s="39">
        <v>558.6</v>
      </c>
      <c r="CZ17" s="39">
        <v>578.9</v>
      </c>
      <c r="DA17" s="39">
        <v>594</v>
      </c>
      <c r="DB17" s="39">
        <v>609.5</v>
      </c>
      <c r="DC17" s="39">
        <v>631</v>
      </c>
      <c r="DD17" s="39">
        <v>644.70000000000005</v>
      </c>
      <c r="DE17" s="39">
        <v>656.90000000000009</v>
      </c>
      <c r="DF17" s="39">
        <v>676.09999999999991</v>
      </c>
      <c r="DG17" s="39">
        <v>573.79999999999995</v>
      </c>
      <c r="DH17" s="39">
        <f>458.6+160.7</f>
        <v>619.29999999999995</v>
      </c>
      <c r="DI17" s="39">
        <f>501.5+168.8</f>
        <v>670.3</v>
      </c>
      <c r="DJ17" s="40">
        <v>723.8</v>
      </c>
      <c r="DK17" s="39">
        <v>720.8</v>
      </c>
      <c r="DL17" s="39">
        <v>713.1</v>
      </c>
      <c r="DM17" s="39">
        <v>712.8</v>
      </c>
      <c r="DN17" s="39">
        <v>716</v>
      </c>
      <c r="DO17" s="39">
        <v>714.7</v>
      </c>
      <c r="DP17" s="39">
        <v>719.7</v>
      </c>
      <c r="DQ17" s="39">
        <v>726.6</v>
      </c>
      <c r="DR17" s="39">
        <v>733</v>
      </c>
      <c r="DS17" s="39">
        <v>733</v>
      </c>
      <c r="DT17" s="88">
        <v>732.5</v>
      </c>
      <c r="DU17" s="88">
        <v>714</v>
      </c>
      <c r="DV17" s="88">
        <v>712</v>
      </c>
      <c r="DW17" s="88">
        <v>717.7</v>
      </c>
    </row>
    <row r="18" spans="1:127" ht="14.45">
      <c r="A18" s="20" t="s">
        <v>27</v>
      </c>
      <c r="B18" s="39">
        <v>1567.5</v>
      </c>
      <c r="C18" s="39">
        <v>1556</v>
      </c>
      <c r="D18" s="39">
        <v>1577.7</v>
      </c>
      <c r="E18" s="39">
        <v>1614</v>
      </c>
      <c r="F18" s="39">
        <v>1635.2</v>
      </c>
      <c r="G18" s="39">
        <v>1653.7</v>
      </c>
      <c r="H18" s="39">
        <v>1667.8</v>
      </c>
      <c r="I18" s="39">
        <v>1651.7</v>
      </c>
      <c r="J18" s="39">
        <v>1662</v>
      </c>
      <c r="K18" s="39">
        <v>1687.4</v>
      </c>
      <c r="L18" s="88">
        <v>1703.4</v>
      </c>
      <c r="M18" s="88">
        <v>1621.4</v>
      </c>
      <c r="N18" s="88">
        <v>1649.9</v>
      </c>
      <c r="O18" s="88">
        <v>1697.8</v>
      </c>
      <c r="P18" s="40">
        <v>112.30000000000001</v>
      </c>
      <c r="Q18" s="39">
        <v>110.8</v>
      </c>
      <c r="R18" s="39">
        <v>119.8</v>
      </c>
      <c r="S18" s="39">
        <v>128.5</v>
      </c>
      <c r="T18" s="39">
        <v>134.4</v>
      </c>
      <c r="U18" s="39">
        <v>136.80000000000001</v>
      </c>
      <c r="V18" s="39">
        <v>131.80000000000001</v>
      </c>
      <c r="W18" s="39">
        <v>121.1</v>
      </c>
      <c r="X18" s="39">
        <v>125.2</v>
      </c>
      <c r="Y18" s="39">
        <v>133.4</v>
      </c>
      <c r="Z18" s="39">
        <v>131.30000000000001</v>
      </c>
      <c r="AA18" s="39">
        <v>109.4</v>
      </c>
      <c r="AB18" s="39">
        <f>27.5+78.5</f>
        <v>106</v>
      </c>
      <c r="AC18" s="39">
        <f>30.5+79.5</f>
        <v>110</v>
      </c>
      <c r="AD18" s="40">
        <v>129.30000000000001</v>
      </c>
      <c r="AE18" s="39">
        <v>123.3</v>
      </c>
      <c r="AF18" s="39">
        <v>129.80000000000001</v>
      </c>
      <c r="AG18" s="39">
        <v>135.6</v>
      </c>
      <c r="AH18" s="39">
        <v>136.69999999999999</v>
      </c>
      <c r="AI18" s="39">
        <v>138.69999999999999</v>
      </c>
      <c r="AJ18" s="39">
        <v>137.19999999999999</v>
      </c>
      <c r="AK18" s="39">
        <v>128.69999999999999</v>
      </c>
      <c r="AL18" s="39">
        <v>128.19999999999999</v>
      </c>
      <c r="AM18" s="39">
        <v>137.69999999999999</v>
      </c>
      <c r="AN18" s="39">
        <v>140.80000000000001</v>
      </c>
      <c r="AO18" s="39">
        <v>131.30000000000001</v>
      </c>
      <c r="AP18" s="109">
        <v>128.80000000000001</v>
      </c>
      <c r="AQ18" s="109">
        <v>133.19999999999999</v>
      </c>
      <c r="AR18" s="40">
        <v>281.3</v>
      </c>
      <c r="AS18" s="39">
        <v>277.3</v>
      </c>
      <c r="AT18" s="39">
        <v>282.7</v>
      </c>
      <c r="AU18" s="39">
        <v>290.39999999999998</v>
      </c>
      <c r="AV18" s="39">
        <v>295</v>
      </c>
      <c r="AW18" s="39">
        <v>300.8</v>
      </c>
      <c r="AX18" s="39">
        <v>307</v>
      </c>
      <c r="AY18" s="39">
        <v>306.7</v>
      </c>
      <c r="AZ18" s="39">
        <v>303.2</v>
      </c>
      <c r="BA18" s="39">
        <v>299.2</v>
      </c>
      <c r="BB18" s="39">
        <v>301.3</v>
      </c>
      <c r="BC18" s="39">
        <v>300</v>
      </c>
      <c r="BD18" s="109">
        <v>313.8</v>
      </c>
      <c r="BE18" s="109">
        <v>321.3</v>
      </c>
      <c r="BF18" s="40">
        <v>26.8</v>
      </c>
      <c r="BG18" s="39">
        <v>24.3</v>
      </c>
      <c r="BH18" s="39">
        <v>23</v>
      </c>
      <c r="BI18" s="39">
        <v>22.5</v>
      </c>
      <c r="BJ18" s="39">
        <v>21.9</v>
      </c>
      <c r="BK18" s="39">
        <v>21.7</v>
      </c>
      <c r="BL18" s="39">
        <v>21.2</v>
      </c>
      <c r="BM18" s="39">
        <v>21.3</v>
      </c>
      <c r="BN18" s="39">
        <v>20.5</v>
      </c>
      <c r="BO18" s="39">
        <v>19.899999999999999</v>
      </c>
      <c r="BP18" s="88">
        <v>19.600000000000001</v>
      </c>
      <c r="BQ18" s="39">
        <v>18.3</v>
      </c>
      <c r="BR18" s="109">
        <v>17.7</v>
      </c>
      <c r="BS18" s="109">
        <v>17.8</v>
      </c>
      <c r="BT18" s="40">
        <v>249.3</v>
      </c>
      <c r="BU18" s="39">
        <v>250.5</v>
      </c>
      <c r="BV18" s="39">
        <v>253.7</v>
      </c>
      <c r="BW18" s="39">
        <v>257.89999999999998</v>
      </c>
      <c r="BX18" s="39">
        <v>260.3</v>
      </c>
      <c r="BY18" s="39">
        <v>265.3</v>
      </c>
      <c r="BZ18" s="39">
        <v>263.60000000000002</v>
      </c>
      <c r="CA18" s="39">
        <v>259.3</v>
      </c>
      <c r="CB18" s="39">
        <v>264.5</v>
      </c>
      <c r="CC18" s="39">
        <v>269.60000000000002</v>
      </c>
      <c r="CD18" s="39">
        <v>273.20000000000005</v>
      </c>
      <c r="CE18">
        <v>260.2</v>
      </c>
      <c r="CF18">
        <f>78.5+191.9</f>
        <v>270.39999999999998</v>
      </c>
      <c r="CG18">
        <f>81+202.7</f>
        <v>283.7</v>
      </c>
      <c r="CH18" s="40">
        <v>218.6</v>
      </c>
      <c r="CI18" s="39">
        <v>221.7</v>
      </c>
      <c r="CJ18" s="39">
        <v>223.1</v>
      </c>
      <c r="CK18" s="39">
        <v>226.2</v>
      </c>
      <c r="CL18" s="39">
        <v>227.7</v>
      </c>
      <c r="CM18" s="39">
        <v>228.1</v>
      </c>
      <c r="CN18" s="39">
        <v>231.6</v>
      </c>
      <c r="CO18" s="39">
        <v>233.9</v>
      </c>
      <c r="CP18" s="39">
        <v>234.7</v>
      </c>
      <c r="CQ18" s="39">
        <v>236.3</v>
      </c>
      <c r="CR18" s="39">
        <v>238.8</v>
      </c>
      <c r="CS18" s="39">
        <v>235.6</v>
      </c>
      <c r="CT18" s="39">
        <v>237.1</v>
      </c>
      <c r="CU18" s="109">
        <v>242.3</v>
      </c>
      <c r="CV18" s="40">
        <v>201.6</v>
      </c>
      <c r="CW18" s="39">
        <v>199.6</v>
      </c>
      <c r="CX18" s="39">
        <v>201.7</v>
      </c>
      <c r="CY18" s="39">
        <v>205.79999999999998</v>
      </c>
      <c r="CZ18" s="39">
        <v>210.7</v>
      </c>
      <c r="DA18" s="39">
        <v>214.3</v>
      </c>
      <c r="DB18" s="39">
        <v>224.4</v>
      </c>
      <c r="DC18" s="39">
        <v>227.10000000000002</v>
      </c>
      <c r="DD18" s="39">
        <v>235.9</v>
      </c>
      <c r="DE18" s="39">
        <v>243.4</v>
      </c>
      <c r="DF18" s="39">
        <v>245.29999999999998</v>
      </c>
      <c r="DG18" s="39">
        <v>221.2</v>
      </c>
      <c r="DH18" s="39">
        <f>165.8+64.4</f>
        <v>230.20000000000002</v>
      </c>
      <c r="DI18" s="39">
        <f>173.8+66.8</f>
        <v>240.60000000000002</v>
      </c>
      <c r="DJ18" s="40">
        <v>348.3</v>
      </c>
      <c r="DK18" s="39">
        <v>348.5</v>
      </c>
      <c r="DL18" s="39">
        <v>343.9</v>
      </c>
      <c r="DM18" s="39">
        <v>347.1</v>
      </c>
      <c r="DN18" s="39">
        <v>348.6</v>
      </c>
      <c r="DO18" s="39">
        <v>348</v>
      </c>
      <c r="DP18" s="39">
        <v>351.2</v>
      </c>
      <c r="DQ18" s="39">
        <v>353.6</v>
      </c>
      <c r="DR18" s="39">
        <v>350.1</v>
      </c>
      <c r="DS18" s="39">
        <v>347.8</v>
      </c>
      <c r="DT18" s="88">
        <v>353.1</v>
      </c>
      <c r="DU18" s="88">
        <v>345.6</v>
      </c>
      <c r="DV18" s="88">
        <v>345.9</v>
      </c>
      <c r="DW18" s="88">
        <v>348.9</v>
      </c>
    </row>
    <row r="19" spans="1:127" ht="14.45">
      <c r="A19" s="20" t="s">
        <v>28</v>
      </c>
      <c r="B19" s="39">
        <v>1814.4</v>
      </c>
      <c r="C19" s="39">
        <v>1811.4</v>
      </c>
      <c r="D19" s="39">
        <v>1832.6</v>
      </c>
      <c r="E19" s="39">
        <v>1864.2</v>
      </c>
      <c r="F19" s="39">
        <v>1901</v>
      </c>
      <c r="G19" s="39">
        <v>1948.6</v>
      </c>
      <c r="H19" s="39">
        <v>2006.7</v>
      </c>
      <c r="I19" s="39">
        <v>2053.9</v>
      </c>
      <c r="J19" s="39">
        <v>2091</v>
      </c>
      <c r="K19" s="39">
        <v>2145.3000000000002</v>
      </c>
      <c r="L19" s="88">
        <v>2189.4</v>
      </c>
      <c r="M19" s="88">
        <v>2079.5</v>
      </c>
      <c r="N19" s="88">
        <v>2154.6</v>
      </c>
      <c r="O19" s="88">
        <v>2243.5</v>
      </c>
      <c r="P19" s="40">
        <v>91.6</v>
      </c>
      <c r="Q19" s="39">
        <v>83.4</v>
      </c>
      <c r="R19" s="39">
        <v>80.900000000000006</v>
      </c>
      <c r="S19" s="39">
        <v>81.400000000000006</v>
      </c>
      <c r="T19" s="39">
        <v>83.7</v>
      </c>
      <c r="U19" s="39">
        <v>86.2</v>
      </c>
      <c r="V19" s="39">
        <v>91</v>
      </c>
      <c r="W19" s="39">
        <v>99</v>
      </c>
      <c r="X19" s="39">
        <v>105.1</v>
      </c>
      <c r="Y19" s="39">
        <v>106.9</v>
      </c>
      <c r="Z19" s="39">
        <v>111.7</v>
      </c>
      <c r="AA19" s="39">
        <v>108.2</v>
      </c>
      <c r="AB19" s="39">
        <f>4.4+105</f>
        <v>109.4</v>
      </c>
      <c r="AC19" s="39">
        <f>4.4+108.7</f>
        <v>113.10000000000001</v>
      </c>
      <c r="AD19" s="40">
        <v>212.8</v>
      </c>
      <c r="AE19" s="39">
        <v>207</v>
      </c>
      <c r="AF19" s="39">
        <v>215.3</v>
      </c>
      <c r="AG19" s="39">
        <v>220.1</v>
      </c>
      <c r="AH19" s="39">
        <v>224.4</v>
      </c>
      <c r="AI19" s="39">
        <v>230.1</v>
      </c>
      <c r="AJ19" s="39">
        <v>235.9</v>
      </c>
      <c r="AK19" s="39">
        <v>238.4</v>
      </c>
      <c r="AL19" s="39">
        <v>240.6</v>
      </c>
      <c r="AM19" s="39">
        <v>247.8</v>
      </c>
      <c r="AN19" s="39">
        <v>258.2</v>
      </c>
      <c r="AO19" s="39">
        <v>244.2</v>
      </c>
      <c r="AP19" s="109">
        <v>250</v>
      </c>
      <c r="AQ19" s="109">
        <v>261.3</v>
      </c>
      <c r="AR19" s="40">
        <v>349.1</v>
      </c>
      <c r="AS19" s="39">
        <v>346</v>
      </c>
      <c r="AT19" s="39">
        <v>349.7</v>
      </c>
      <c r="AU19" s="39">
        <v>354.7</v>
      </c>
      <c r="AV19" s="39">
        <v>362.4</v>
      </c>
      <c r="AW19" s="39">
        <v>373.1</v>
      </c>
      <c r="AX19" s="39">
        <v>385.1</v>
      </c>
      <c r="AY19" s="39">
        <v>394.5</v>
      </c>
      <c r="AZ19" s="39">
        <v>397.1</v>
      </c>
      <c r="BA19" s="39">
        <v>406.3</v>
      </c>
      <c r="BB19" s="39">
        <v>408.2</v>
      </c>
      <c r="BC19" s="39">
        <v>400.3</v>
      </c>
      <c r="BD19" s="109">
        <v>415.1</v>
      </c>
      <c r="BE19" s="109">
        <v>433.6</v>
      </c>
      <c r="BF19" s="40">
        <v>27.2</v>
      </c>
      <c r="BG19" s="39">
        <v>25.9</v>
      </c>
      <c r="BH19" s="39">
        <v>25.8</v>
      </c>
      <c r="BI19" s="39">
        <v>25.8</v>
      </c>
      <c r="BJ19" s="39">
        <v>26.4</v>
      </c>
      <c r="BK19" s="39">
        <v>26.5</v>
      </c>
      <c r="BL19" s="39">
        <v>26.9</v>
      </c>
      <c r="BM19" s="39">
        <v>27.1</v>
      </c>
      <c r="BN19" s="39">
        <v>27.6</v>
      </c>
      <c r="BO19" s="39">
        <v>28.2</v>
      </c>
      <c r="BP19" s="88">
        <v>27.1</v>
      </c>
      <c r="BQ19" s="39">
        <v>24.7</v>
      </c>
      <c r="BR19" s="109">
        <v>27.6</v>
      </c>
      <c r="BS19" s="109">
        <v>30.3</v>
      </c>
      <c r="BT19" s="40">
        <v>296.10000000000002</v>
      </c>
      <c r="BU19" s="39">
        <v>307.5</v>
      </c>
      <c r="BV19" s="39">
        <v>319.89999999999998</v>
      </c>
      <c r="BW19" s="39">
        <v>329.6</v>
      </c>
      <c r="BX19" s="39">
        <v>337.8</v>
      </c>
      <c r="BY19" s="39">
        <v>350.6</v>
      </c>
      <c r="BZ19" s="39">
        <v>360.29999999999995</v>
      </c>
      <c r="CA19" s="39">
        <v>368</v>
      </c>
      <c r="CB19" s="39">
        <v>378.70000000000005</v>
      </c>
      <c r="CC19" s="39">
        <v>397.09999999999997</v>
      </c>
      <c r="CD19" s="39">
        <v>403</v>
      </c>
      <c r="CE19" s="92">
        <v>386</v>
      </c>
      <c r="CF19">
        <f>110.4+296.7</f>
        <v>407.1</v>
      </c>
      <c r="CG19">
        <f>117.5+308.2</f>
        <v>425.7</v>
      </c>
      <c r="CH19" s="40">
        <v>204.3</v>
      </c>
      <c r="CI19" s="39">
        <v>210.4</v>
      </c>
      <c r="CJ19" s="39">
        <v>213.4</v>
      </c>
      <c r="CK19" s="39">
        <v>215.4</v>
      </c>
      <c r="CL19" s="39">
        <v>219.3</v>
      </c>
      <c r="CM19" s="39">
        <v>225.8</v>
      </c>
      <c r="CN19" s="39">
        <v>235</v>
      </c>
      <c r="CO19" s="39">
        <v>241.9</v>
      </c>
      <c r="CP19" s="39">
        <v>246.3</v>
      </c>
      <c r="CQ19" s="39">
        <v>252.9</v>
      </c>
      <c r="CR19" s="39">
        <v>258.2</v>
      </c>
      <c r="CS19" s="39">
        <v>249.3</v>
      </c>
      <c r="CT19" s="39">
        <v>255.8</v>
      </c>
      <c r="CU19" s="109">
        <v>266</v>
      </c>
      <c r="CV19" s="40">
        <v>277.89999999999998</v>
      </c>
      <c r="CW19" s="39">
        <v>276</v>
      </c>
      <c r="CX19" s="39">
        <v>279</v>
      </c>
      <c r="CY19" s="39">
        <v>286</v>
      </c>
      <c r="CZ19" s="39">
        <v>293.8</v>
      </c>
      <c r="DA19" s="39">
        <v>300.2</v>
      </c>
      <c r="DB19" s="39">
        <v>312.39999999999998</v>
      </c>
      <c r="DC19" s="39">
        <v>321.3</v>
      </c>
      <c r="DD19" s="39">
        <v>329.6</v>
      </c>
      <c r="DE19" s="39">
        <v>337.1</v>
      </c>
      <c r="DF19" s="39">
        <v>351</v>
      </c>
      <c r="DG19" s="39">
        <v>300.5</v>
      </c>
      <c r="DH19" s="39">
        <f>246.5+77.5</f>
        <v>324</v>
      </c>
      <c r="DI19" s="39">
        <f>264.4+81.9</f>
        <v>346.29999999999995</v>
      </c>
      <c r="DJ19" s="40">
        <v>355.4</v>
      </c>
      <c r="DK19" s="39">
        <v>355.3</v>
      </c>
      <c r="DL19" s="39">
        <v>348.4</v>
      </c>
      <c r="DM19" s="39">
        <v>351.5</v>
      </c>
      <c r="DN19" s="39">
        <v>353.3</v>
      </c>
      <c r="DO19" s="39">
        <v>356.3</v>
      </c>
      <c r="DP19" s="39">
        <v>360.2</v>
      </c>
      <c r="DQ19" s="39">
        <v>363.9</v>
      </c>
      <c r="DR19" s="39">
        <v>366</v>
      </c>
      <c r="DS19" s="39">
        <v>369</v>
      </c>
      <c r="DT19" s="88">
        <v>372.1</v>
      </c>
      <c r="DU19" s="88">
        <v>366.3</v>
      </c>
      <c r="DV19" s="88">
        <v>365.7</v>
      </c>
      <c r="DW19" s="88">
        <v>367.1</v>
      </c>
    </row>
    <row r="20" spans="1:127" ht="14.45">
      <c r="A20" s="20" t="s">
        <v>29</v>
      </c>
      <c r="B20" s="39">
        <v>2619.8000000000002</v>
      </c>
      <c r="C20" s="39">
        <v>2615.4</v>
      </c>
      <c r="D20" s="39">
        <v>2661.4</v>
      </c>
      <c r="E20" s="39">
        <v>2715</v>
      </c>
      <c r="F20" s="39">
        <v>2758.8</v>
      </c>
      <c r="G20" s="39">
        <v>2815.4</v>
      </c>
      <c r="H20" s="39">
        <v>2893.9</v>
      </c>
      <c r="I20" s="39">
        <v>2965.8</v>
      </c>
      <c r="J20" s="39">
        <v>3010</v>
      </c>
      <c r="K20" s="39">
        <v>3060.3</v>
      </c>
      <c r="L20" s="88">
        <v>3122.1</v>
      </c>
      <c r="M20" s="88">
        <v>2998.6</v>
      </c>
      <c r="N20" s="88">
        <v>3103.5</v>
      </c>
      <c r="O20" s="88">
        <v>3244.8</v>
      </c>
      <c r="P20" s="40">
        <v>109.9</v>
      </c>
      <c r="Q20" s="39">
        <v>105.1</v>
      </c>
      <c r="R20" s="39">
        <v>108.7</v>
      </c>
      <c r="S20" s="39">
        <v>108.9</v>
      </c>
      <c r="T20" s="39">
        <v>107.9</v>
      </c>
      <c r="U20" s="39">
        <v>111</v>
      </c>
      <c r="V20" s="39">
        <v>117.2</v>
      </c>
      <c r="W20" s="39">
        <v>119.3</v>
      </c>
      <c r="X20" s="39">
        <v>124</v>
      </c>
      <c r="Y20" s="39">
        <v>129.19999999999999</v>
      </c>
      <c r="Z20" s="39">
        <v>134.30000000000001</v>
      </c>
      <c r="AA20" s="39">
        <v>133.29999999999998</v>
      </c>
      <c r="AB20" s="39">
        <f>4.2+136.5</f>
        <v>140.69999999999999</v>
      </c>
      <c r="AC20" s="39">
        <f>4.5+147</f>
        <v>151.5</v>
      </c>
      <c r="AD20" s="40">
        <v>309.2</v>
      </c>
      <c r="AE20" s="39">
        <v>298.89999999999998</v>
      </c>
      <c r="AF20" s="39">
        <v>304.39999999999998</v>
      </c>
      <c r="AG20" s="39">
        <v>313.39999999999998</v>
      </c>
      <c r="AH20" s="39">
        <v>318.39999999999998</v>
      </c>
      <c r="AI20" s="39">
        <v>325.2</v>
      </c>
      <c r="AJ20" s="39">
        <v>333</v>
      </c>
      <c r="AK20" s="39">
        <v>343.3</v>
      </c>
      <c r="AL20" s="39">
        <v>348.8</v>
      </c>
      <c r="AM20" s="39">
        <v>350.7</v>
      </c>
      <c r="AN20" s="39">
        <v>355.1</v>
      </c>
      <c r="AO20" s="39">
        <v>335.1</v>
      </c>
      <c r="AP20" s="109">
        <v>349.5</v>
      </c>
      <c r="AQ20" s="109">
        <v>364.9</v>
      </c>
      <c r="AR20" s="40">
        <v>559.5</v>
      </c>
      <c r="AS20" s="39">
        <v>555.1</v>
      </c>
      <c r="AT20" s="39">
        <v>563.5</v>
      </c>
      <c r="AU20" s="39">
        <v>575.1</v>
      </c>
      <c r="AV20" s="39">
        <v>582.1</v>
      </c>
      <c r="AW20" s="39">
        <v>591.6</v>
      </c>
      <c r="AX20" s="39">
        <v>602.20000000000005</v>
      </c>
      <c r="AY20" s="39">
        <v>617</v>
      </c>
      <c r="AZ20" s="39">
        <v>621</v>
      </c>
      <c r="BA20" s="39">
        <v>627.20000000000005</v>
      </c>
      <c r="BB20" s="39">
        <v>638.70000000000005</v>
      </c>
      <c r="BC20" s="39">
        <v>627.29999999999995</v>
      </c>
      <c r="BD20" s="39">
        <v>650.6</v>
      </c>
      <c r="BE20" s="39">
        <v>676.6</v>
      </c>
      <c r="BF20" s="40">
        <v>46.9</v>
      </c>
      <c r="BG20" s="39">
        <v>45</v>
      </c>
      <c r="BH20" s="39">
        <v>43.8</v>
      </c>
      <c r="BI20" s="39">
        <v>43.2</v>
      </c>
      <c r="BJ20" s="39">
        <v>44.1</v>
      </c>
      <c r="BK20" s="39">
        <v>43.9</v>
      </c>
      <c r="BL20" s="39">
        <v>44.4</v>
      </c>
      <c r="BM20" s="39">
        <v>45.5</v>
      </c>
      <c r="BN20" s="39">
        <v>45.6</v>
      </c>
      <c r="BO20" s="39">
        <v>45.5</v>
      </c>
      <c r="BP20" s="88">
        <v>45.5</v>
      </c>
      <c r="BQ20" s="39">
        <v>43.2</v>
      </c>
      <c r="BR20" s="39">
        <v>47.2</v>
      </c>
      <c r="BS20" s="39">
        <v>54.5</v>
      </c>
      <c r="BT20" s="40">
        <v>434.5</v>
      </c>
      <c r="BU20" s="39">
        <v>441.20000000000005</v>
      </c>
      <c r="BV20" s="39">
        <v>459.3</v>
      </c>
      <c r="BW20" s="39">
        <v>475.6</v>
      </c>
      <c r="BX20" s="39">
        <v>491.29999999999995</v>
      </c>
      <c r="BY20" s="39">
        <v>513.79999999999995</v>
      </c>
      <c r="BZ20" s="39">
        <v>541</v>
      </c>
      <c r="CA20" s="39">
        <v>558.40000000000009</v>
      </c>
      <c r="CB20" s="39">
        <v>564.70000000000005</v>
      </c>
      <c r="CC20" s="39">
        <v>579.4</v>
      </c>
      <c r="CD20" s="39">
        <v>598.79999999999995</v>
      </c>
      <c r="CE20">
        <v>585.70000000000005</v>
      </c>
      <c r="CF20">
        <f>169.7+437.8</f>
        <v>607.5</v>
      </c>
      <c r="CG20">
        <f>175.2+464.1</f>
        <v>639.29999999999995</v>
      </c>
      <c r="CH20" s="40">
        <v>365.9</v>
      </c>
      <c r="CI20" s="39">
        <v>373.9</v>
      </c>
      <c r="CJ20" s="39">
        <v>384.3</v>
      </c>
      <c r="CK20" s="39">
        <v>393.8</v>
      </c>
      <c r="CL20" s="39">
        <v>398.5</v>
      </c>
      <c r="CM20" s="39">
        <v>402.8</v>
      </c>
      <c r="CN20" s="39">
        <v>415</v>
      </c>
      <c r="CO20" s="39">
        <v>424.3</v>
      </c>
      <c r="CP20" s="39">
        <v>431.9</v>
      </c>
      <c r="CQ20" s="39">
        <v>435.6</v>
      </c>
      <c r="CR20" s="39">
        <v>442.2</v>
      </c>
      <c r="CS20" s="39">
        <v>431.9</v>
      </c>
      <c r="CT20" s="39">
        <v>439.9</v>
      </c>
      <c r="CU20" s="109">
        <v>450.8</v>
      </c>
      <c r="CV20" s="40">
        <v>365.5</v>
      </c>
      <c r="CW20" s="39">
        <v>363.2</v>
      </c>
      <c r="CX20" s="39">
        <v>369.70000000000005</v>
      </c>
      <c r="CY20" s="39">
        <v>381</v>
      </c>
      <c r="CZ20" s="39">
        <v>391.5</v>
      </c>
      <c r="DA20" s="39">
        <v>402.20000000000005</v>
      </c>
      <c r="DB20" s="39">
        <v>416</v>
      </c>
      <c r="DC20" s="39">
        <v>430.6</v>
      </c>
      <c r="DD20" s="39">
        <v>443.70000000000005</v>
      </c>
      <c r="DE20" s="39">
        <v>457.2</v>
      </c>
      <c r="DF20" s="39">
        <v>470.3</v>
      </c>
      <c r="DG20" s="39">
        <v>409.6</v>
      </c>
      <c r="DH20" s="39">
        <f>314.5+122.1</f>
        <v>436.6</v>
      </c>
      <c r="DI20" s="39">
        <f>344+125.8</f>
        <v>469.8</v>
      </c>
      <c r="DJ20" s="40">
        <v>428.5</v>
      </c>
      <c r="DK20" s="39">
        <v>432.9</v>
      </c>
      <c r="DL20" s="39">
        <v>427.8</v>
      </c>
      <c r="DM20" s="39">
        <v>424</v>
      </c>
      <c r="DN20" s="39">
        <v>425</v>
      </c>
      <c r="DO20" s="39">
        <v>424.8</v>
      </c>
      <c r="DP20" s="39">
        <v>425.1</v>
      </c>
      <c r="DQ20" s="39">
        <v>427.5</v>
      </c>
      <c r="DR20" s="39">
        <v>430.1</v>
      </c>
      <c r="DS20" s="39">
        <v>435.5</v>
      </c>
      <c r="DT20" s="88">
        <v>437.2</v>
      </c>
      <c r="DU20" s="88">
        <v>432.5</v>
      </c>
      <c r="DV20" s="88">
        <v>431.5</v>
      </c>
      <c r="DW20" s="88">
        <v>436.9</v>
      </c>
    </row>
    <row r="21" spans="1:127" ht="14.45">
      <c r="A21" s="20" t="s">
        <v>30</v>
      </c>
      <c r="B21" s="39">
        <v>10305.6</v>
      </c>
      <c r="C21" s="39">
        <v>10338.700000000001</v>
      </c>
      <c r="D21" s="39">
        <v>10569.7</v>
      </c>
      <c r="E21" s="39">
        <v>10880.3</v>
      </c>
      <c r="F21" s="39">
        <v>11206.9</v>
      </c>
      <c r="G21" s="39">
        <v>11550.2</v>
      </c>
      <c r="H21" s="39">
        <v>11869.7</v>
      </c>
      <c r="I21" s="39">
        <v>12028.4</v>
      </c>
      <c r="J21" s="39">
        <v>12225.5</v>
      </c>
      <c r="K21" s="39">
        <v>12503.4</v>
      </c>
      <c r="L21" s="88">
        <v>12801.3</v>
      </c>
      <c r="M21" s="88">
        <v>12265.7</v>
      </c>
      <c r="N21" s="88">
        <v>12722.8</v>
      </c>
      <c r="O21" s="88">
        <v>13458.6</v>
      </c>
      <c r="P21" s="40">
        <v>796.5</v>
      </c>
      <c r="Q21" s="39">
        <v>767</v>
      </c>
      <c r="R21" s="39">
        <v>797.5</v>
      </c>
      <c r="S21" s="39">
        <v>852</v>
      </c>
      <c r="T21" s="39">
        <v>898.90000000000009</v>
      </c>
      <c r="U21" s="39">
        <v>957.6</v>
      </c>
      <c r="V21" s="39">
        <v>960.3</v>
      </c>
      <c r="W21" s="39">
        <v>923.8</v>
      </c>
      <c r="X21" s="39">
        <v>936.6</v>
      </c>
      <c r="Y21" s="39">
        <v>985.6</v>
      </c>
      <c r="Z21" s="39">
        <v>1026.2</v>
      </c>
      <c r="AA21" s="39">
        <v>930.1</v>
      </c>
      <c r="AB21" s="39">
        <f>180.5+737.7</f>
        <v>918.2</v>
      </c>
      <c r="AC21" s="39">
        <f>200.6+780.6</f>
        <v>981.2</v>
      </c>
      <c r="AD21" s="40">
        <v>842.8</v>
      </c>
      <c r="AE21" s="39">
        <v>817</v>
      </c>
      <c r="AF21" s="39">
        <v>841.4</v>
      </c>
      <c r="AG21" s="39">
        <v>870.1</v>
      </c>
      <c r="AH21" s="39">
        <v>875.8</v>
      </c>
      <c r="AI21" s="39">
        <v>884.7</v>
      </c>
      <c r="AJ21" s="39">
        <v>879</v>
      </c>
      <c r="AK21" s="39">
        <v>847.1</v>
      </c>
      <c r="AL21" s="39">
        <v>851</v>
      </c>
      <c r="AM21" s="39">
        <v>881.1</v>
      </c>
      <c r="AN21" s="39">
        <v>906.6</v>
      </c>
      <c r="AO21" s="39">
        <v>868.7</v>
      </c>
      <c r="AP21" s="109">
        <v>876.5</v>
      </c>
      <c r="AQ21" s="109">
        <v>926.8</v>
      </c>
      <c r="AR21" s="40">
        <v>2055.6</v>
      </c>
      <c r="AS21" s="39">
        <v>2047</v>
      </c>
      <c r="AT21" s="39">
        <v>2104.9</v>
      </c>
      <c r="AU21" s="39">
        <v>2172.5</v>
      </c>
      <c r="AV21" s="39">
        <v>2238.6999999999998</v>
      </c>
      <c r="AW21" s="39">
        <v>2310.1999999999998</v>
      </c>
      <c r="AX21" s="39">
        <v>2387.6999999999998</v>
      </c>
      <c r="AY21" s="39">
        <v>2421.6999999999998</v>
      </c>
      <c r="AZ21" s="39">
        <v>2453.3000000000002</v>
      </c>
      <c r="BA21" s="39">
        <v>2485.3000000000002</v>
      </c>
      <c r="BB21" s="39">
        <v>2514.1999999999998</v>
      </c>
      <c r="BC21" s="39">
        <v>2468.4</v>
      </c>
      <c r="BD21" s="109">
        <v>2564</v>
      </c>
      <c r="BE21" s="109">
        <v>2708.7</v>
      </c>
      <c r="BF21" s="40">
        <v>204.2</v>
      </c>
      <c r="BG21" s="39">
        <v>195.7</v>
      </c>
      <c r="BH21" s="39">
        <v>195.7</v>
      </c>
      <c r="BI21" s="39">
        <v>197.4</v>
      </c>
      <c r="BJ21" s="39">
        <v>201</v>
      </c>
      <c r="BK21" s="39">
        <v>203.3</v>
      </c>
      <c r="BL21" s="39">
        <v>200.7</v>
      </c>
      <c r="BM21" s="39">
        <v>201.9</v>
      </c>
      <c r="BN21" s="39">
        <v>201.8</v>
      </c>
      <c r="BO21" s="39">
        <v>204.1</v>
      </c>
      <c r="BP21" s="88">
        <v>208.6</v>
      </c>
      <c r="BQ21" s="39">
        <v>198.5</v>
      </c>
      <c r="BR21" s="109">
        <v>208.3</v>
      </c>
      <c r="BS21" s="109">
        <v>230.4</v>
      </c>
      <c r="BT21" s="40">
        <v>1885.9</v>
      </c>
      <c r="BU21" s="39">
        <v>1906.1999999999998</v>
      </c>
      <c r="BV21" s="39">
        <v>1986.8999999999999</v>
      </c>
      <c r="BW21" s="39">
        <v>2078.3000000000002</v>
      </c>
      <c r="BX21" s="39">
        <v>2160</v>
      </c>
      <c r="BY21" s="39">
        <v>2243.4</v>
      </c>
      <c r="BZ21" s="39">
        <v>2316.1</v>
      </c>
      <c r="CA21" s="39">
        <v>2359.9</v>
      </c>
      <c r="CB21" s="39">
        <v>2425.3999999999996</v>
      </c>
      <c r="CC21" s="39">
        <v>2509.8000000000002</v>
      </c>
      <c r="CD21" s="39">
        <v>2593</v>
      </c>
      <c r="CE21">
        <v>2562.8999999999996</v>
      </c>
      <c r="CF21">
        <f>833.5+1905.9</f>
        <v>2739.4</v>
      </c>
      <c r="CG21">
        <f>879.8+2073.9</f>
        <v>2953.7</v>
      </c>
      <c r="CH21" s="40">
        <v>1336.4</v>
      </c>
      <c r="CI21" s="39">
        <v>1381</v>
      </c>
      <c r="CJ21" s="39">
        <v>1413.6</v>
      </c>
      <c r="CK21" s="39">
        <v>1447</v>
      </c>
      <c r="CL21" s="39">
        <v>1487.4</v>
      </c>
      <c r="CM21" s="39">
        <v>1525.1</v>
      </c>
      <c r="CN21" s="39">
        <v>1579.4</v>
      </c>
      <c r="CO21" s="39">
        <v>1632.9</v>
      </c>
      <c r="CP21" s="39">
        <v>1666.5</v>
      </c>
      <c r="CQ21" s="39">
        <v>1696.8</v>
      </c>
      <c r="CR21" s="39">
        <v>1741.2</v>
      </c>
      <c r="CS21" s="39">
        <v>1697.3</v>
      </c>
      <c r="CT21" s="39">
        <v>1737.5</v>
      </c>
      <c r="CU21" s="109">
        <v>1803</v>
      </c>
      <c r="CV21" s="40">
        <v>1366.4</v>
      </c>
      <c r="CW21" s="39">
        <v>1368.1999999999998</v>
      </c>
      <c r="CX21" s="39">
        <v>1408.9</v>
      </c>
      <c r="CY21" s="39">
        <v>1469</v>
      </c>
      <c r="CZ21" s="39">
        <v>1536.5</v>
      </c>
      <c r="DA21" s="39">
        <v>1598.1</v>
      </c>
      <c r="DB21" s="39">
        <v>1661.8</v>
      </c>
      <c r="DC21" s="39">
        <v>1717.5</v>
      </c>
      <c r="DD21" s="39">
        <v>1751.5</v>
      </c>
      <c r="DE21" s="39">
        <v>1789.1</v>
      </c>
      <c r="DF21" s="39">
        <v>1839.6999999999998</v>
      </c>
      <c r="DG21" s="39">
        <v>1575</v>
      </c>
      <c r="DH21" s="39">
        <f>1297+418.6</f>
        <v>1715.6</v>
      </c>
      <c r="DI21" s="39">
        <f>1411.1+448.1</f>
        <v>1859.1999999999998</v>
      </c>
      <c r="DJ21" s="40">
        <v>1817.9</v>
      </c>
      <c r="DK21" s="39">
        <v>1856.6</v>
      </c>
      <c r="DL21" s="39">
        <v>1820.7</v>
      </c>
      <c r="DM21" s="39">
        <v>1794.1</v>
      </c>
      <c r="DN21" s="39">
        <v>1808.7</v>
      </c>
      <c r="DO21" s="39">
        <v>1828</v>
      </c>
      <c r="DP21" s="39">
        <v>1884.7</v>
      </c>
      <c r="DQ21" s="39">
        <v>1923.7</v>
      </c>
      <c r="DR21" s="39">
        <v>1939.4</v>
      </c>
      <c r="DS21" s="39">
        <v>1951.8</v>
      </c>
      <c r="DT21" s="88">
        <v>1971.8</v>
      </c>
      <c r="DU21" s="88">
        <v>1964.9</v>
      </c>
      <c r="DV21" s="88">
        <v>1963.3</v>
      </c>
      <c r="DW21" s="88">
        <v>1995.6</v>
      </c>
    </row>
    <row r="22" spans="1:127" ht="14.45">
      <c r="A22" s="20" t="s">
        <v>31</v>
      </c>
      <c r="B22" s="39">
        <v>3648.7</v>
      </c>
      <c r="C22" s="39">
        <v>3644.5</v>
      </c>
      <c r="D22" s="39">
        <v>3689.9</v>
      </c>
      <c r="E22" s="39">
        <v>3732.3</v>
      </c>
      <c r="F22" s="39">
        <v>3758.1</v>
      </c>
      <c r="G22" s="39">
        <v>3774</v>
      </c>
      <c r="H22" s="39">
        <v>3859.1</v>
      </c>
      <c r="I22" s="39">
        <v>3917.6</v>
      </c>
      <c r="J22" s="39">
        <v>3951</v>
      </c>
      <c r="K22" s="39">
        <v>4000.6</v>
      </c>
      <c r="L22" s="88">
        <v>4058.5</v>
      </c>
      <c r="M22" s="88">
        <v>3856.1</v>
      </c>
      <c r="N22" s="88">
        <v>3951.2</v>
      </c>
      <c r="O22" s="88">
        <v>4055.4</v>
      </c>
      <c r="P22" s="40">
        <v>200.5</v>
      </c>
      <c r="Q22" s="39">
        <v>193.5</v>
      </c>
      <c r="R22" s="39">
        <v>189.4</v>
      </c>
      <c r="S22" s="39">
        <v>187.5</v>
      </c>
      <c r="T22" s="39">
        <v>186.9</v>
      </c>
      <c r="U22" s="39">
        <v>187.4</v>
      </c>
      <c r="V22" s="39">
        <v>193.8</v>
      </c>
      <c r="W22" s="39">
        <v>195.3</v>
      </c>
      <c r="X22" s="39">
        <v>201.4</v>
      </c>
      <c r="Y22" s="39">
        <v>205.3</v>
      </c>
      <c r="Z22" s="39">
        <v>210.70000000000002</v>
      </c>
      <c r="AA22" s="39">
        <v>209.5</v>
      </c>
      <c r="AB22" s="39">
        <f>7+206.7</f>
        <v>213.7</v>
      </c>
      <c r="AC22" s="39">
        <f>7.1+209.6</f>
        <v>216.7</v>
      </c>
      <c r="AD22" s="40">
        <v>239.3</v>
      </c>
      <c r="AE22" s="39">
        <v>230.5</v>
      </c>
      <c r="AF22" s="39">
        <v>231</v>
      </c>
      <c r="AG22" s="39">
        <v>231.4</v>
      </c>
      <c r="AH22" s="39">
        <v>230.8</v>
      </c>
      <c r="AI22" s="39">
        <v>231.6</v>
      </c>
      <c r="AJ22" s="39">
        <v>233.6</v>
      </c>
      <c r="AK22" s="39">
        <v>232.5</v>
      </c>
      <c r="AL22" s="39">
        <v>234.1</v>
      </c>
      <c r="AM22" s="39">
        <v>240.1</v>
      </c>
      <c r="AN22" s="39">
        <v>243.4</v>
      </c>
      <c r="AO22" s="39">
        <v>233.7</v>
      </c>
      <c r="AP22" s="109">
        <v>237.3</v>
      </c>
      <c r="AQ22" s="109">
        <v>244.4</v>
      </c>
      <c r="AR22" s="40">
        <v>624.29999999999995</v>
      </c>
      <c r="AS22" s="39">
        <v>621.1</v>
      </c>
      <c r="AT22" s="39">
        <v>628.70000000000005</v>
      </c>
      <c r="AU22" s="39">
        <v>633.5</v>
      </c>
      <c r="AV22" s="39">
        <v>637.5</v>
      </c>
      <c r="AW22" s="39">
        <v>643.29999999999995</v>
      </c>
      <c r="AX22" s="39">
        <v>653.6</v>
      </c>
      <c r="AY22" s="39">
        <v>662.3</v>
      </c>
      <c r="AZ22" s="39">
        <v>662.4</v>
      </c>
      <c r="BA22" s="39">
        <v>659.7</v>
      </c>
      <c r="BB22" s="39">
        <v>658.8</v>
      </c>
      <c r="BC22" s="39">
        <v>636.4</v>
      </c>
      <c r="BD22" s="109">
        <v>655.20000000000005</v>
      </c>
      <c r="BE22" s="109">
        <v>664.8</v>
      </c>
      <c r="BF22" s="40">
        <v>81.099999999999994</v>
      </c>
      <c r="BG22" s="39">
        <v>76</v>
      </c>
      <c r="BH22" s="39">
        <v>73.7</v>
      </c>
      <c r="BI22" s="39">
        <v>71.7</v>
      </c>
      <c r="BJ22" s="39">
        <v>71.5</v>
      </c>
      <c r="BK22" s="39">
        <v>71.3</v>
      </c>
      <c r="BL22" s="39">
        <v>69.599999999999994</v>
      </c>
      <c r="BM22" s="39">
        <v>68</v>
      </c>
      <c r="BN22" s="39">
        <v>67.8</v>
      </c>
      <c r="BO22" s="39">
        <v>67.2</v>
      </c>
      <c r="BP22" s="88">
        <v>68.3</v>
      </c>
      <c r="BQ22" s="39">
        <v>65.400000000000006</v>
      </c>
      <c r="BR22" s="109">
        <v>66.7</v>
      </c>
      <c r="BS22" s="109">
        <v>70</v>
      </c>
      <c r="BT22" s="40">
        <v>820.1</v>
      </c>
      <c r="BU22" s="39">
        <v>829.5</v>
      </c>
      <c r="BV22" s="39">
        <v>850.1</v>
      </c>
      <c r="BW22" s="39">
        <v>866.8</v>
      </c>
      <c r="BX22" s="39">
        <v>871.5</v>
      </c>
      <c r="BY22" s="39">
        <v>870.8</v>
      </c>
      <c r="BZ22" s="39">
        <v>900.09999999999991</v>
      </c>
      <c r="CA22" s="39">
        <v>915.8</v>
      </c>
      <c r="CB22" s="39">
        <v>933.8</v>
      </c>
      <c r="CC22" s="39">
        <v>956</v>
      </c>
      <c r="CD22" s="39">
        <v>978.5</v>
      </c>
      <c r="CE22">
        <v>967.1</v>
      </c>
      <c r="CF22" s="100">
        <f>211.3+779.7</f>
        <v>991</v>
      </c>
      <c r="CG22">
        <f>215.9+803.9</f>
        <v>1019.8</v>
      </c>
      <c r="CH22" s="40">
        <v>455.9</v>
      </c>
      <c r="CI22" s="39">
        <v>463.1</v>
      </c>
      <c r="CJ22" s="39">
        <v>469.6</v>
      </c>
      <c r="CK22" s="39">
        <v>480.4</v>
      </c>
      <c r="CL22" s="39">
        <v>491.4</v>
      </c>
      <c r="CM22" s="39">
        <v>496.4</v>
      </c>
      <c r="CN22" s="39">
        <v>513.79999999999995</v>
      </c>
      <c r="CO22" s="39">
        <v>531.20000000000005</v>
      </c>
      <c r="CP22" s="39">
        <v>529.6</v>
      </c>
      <c r="CQ22" s="39">
        <v>541.1</v>
      </c>
      <c r="CR22" s="39">
        <v>555.20000000000005</v>
      </c>
      <c r="CS22" s="39">
        <v>527.6</v>
      </c>
      <c r="CT22" s="39">
        <v>537.79999999999995</v>
      </c>
      <c r="CU22" s="109">
        <v>555.5</v>
      </c>
      <c r="CV22" s="40">
        <v>527.6</v>
      </c>
      <c r="CW22" s="39">
        <v>526.09999999999991</v>
      </c>
      <c r="CX22" s="39">
        <v>537.1</v>
      </c>
      <c r="CY22" s="39">
        <v>551.09999999999991</v>
      </c>
      <c r="CZ22" s="39">
        <v>560.1</v>
      </c>
      <c r="DA22" s="39">
        <v>567</v>
      </c>
      <c r="DB22" s="39">
        <v>583.29999999999995</v>
      </c>
      <c r="DC22" s="39">
        <v>597.79999999999995</v>
      </c>
      <c r="DD22" s="39">
        <v>605</v>
      </c>
      <c r="DE22" s="39">
        <v>608.9</v>
      </c>
      <c r="DF22" s="39">
        <v>612.79999999999995</v>
      </c>
      <c r="DG22" s="39">
        <v>504.4</v>
      </c>
      <c r="DH22" s="39">
        <f>356.6+184.5</f>
        <v>541.1</v>
      </c>
      <c r="DI22" s="39">
        <f>390.7+190.6</f>
        <v>581.29999999999995</v>
      </c>
      <c r="DJ22" s="40">
        <v>700</v>
      </c>
      <c r="DK22" s="39">
        <v>704.7</v>
      </c>
      <c r="DL22" s="39">
        <v>710.3</v>
      </c>
      <c r="DM22" s="39">
        <v>710</v>
      </c>
      <c r="DN22" s="39">
        <v>708.3</v>
      </c>
      <c r="DO22" s="39">
        <v>706.3</v>
      </c>
      <c r="DP22" s="39">
        <v>711.4</v>
      </c>
      <c r="DQ22" s="39">
        <v>714.4</v>
      </c>
      <c r="DR22" s="39">
        <v>716.9</v>
      </c>
      <c r="DS22" s="39">
        <v>722.5</v>
      </c>
      <c r="DT22" s="88">
        <v>730.8</v>
      </c>
      <c r="DU22" s="88">
        <v>712.1</v>
      </c>
      <c r="DV22" s="88">
        <v>708.4</v>
      </c>
      <c r="DW22" s="88">
        <v>717</v>
      </c>
    </row>
    <row r="23" spans="1:127" ht="14.45">
      <c r="A23" s="34" t="s">
        <v>32</v>
      </c>
      <c r="B23" s="35">
        <v>747.9</v>
      </c>
      <c r="C23" s="35">
        <v>749.6</v>
      </c>
      <c r="D23" s="35">
        <v>757.1</v>
      </c>
      <c r="E23" s="35">
        <v>767.3</v>
      </c>
      <c r="F23" s="35">
        <v>765.7</v>
      </c>
      <c r="G23" s="35">
        <v>762.4</v>
      </c>
      <c r="H23" s="35">
        <v>757</v>
      </c>
      <c r="I23" s="35">
        <v>747.8</v>
      </c>
      <c r="J23" s="35">
        <v>744.9</v>
      </c>
      <c r="K23" s="35">
        <v>726</v>
      </c>
      <c r="L23" s="88">
        <v>719.5</v>
      </c>
      <c r="M23" s="88">
        <v>673.6</v>
      </c>
      <c r="N23" s="88">
        <v>681.3</v>
      </c>
      <c r="O23" s="88">
        <v>697</v>
      </c>
      <c r="P23" s="36">
        <v>63.900000000000006</v>
      </c>
      <c r="Q23" s="35">
        <v>62.9</v>
      </c>
      <c r="R23" s="35">
        <v>66.7</v>
      </c>
      <c r="S23" s="35">
        <v>69.099999999999994</v>
      </c>
      <c r="T23" s="35">
        <v>66.099999999999994</v>
      </c>
      <c r="U23" s="35">
        <v>63.7</v>
      </c>
      <c r="V23" s="35">
        <v>58.5</v>
      </c>
      <c r="W23" s="35">
        <v>50.400000000000006</v>
      </c>
      <c r="X23" s="35">
        <v>53.3</v>
      </c>
      <c r="Y23" s="35">
        <v>63.7</v>
      </c>
      <c r="Z23" s="35">
        <v>58.4</v>
      </c>
      <c r="AA23" s="35">
        <v>47.8</v>
      </c>
      <c r="AB23" s="35">
        <f>17.8+30.8</f>
        <v>48.6</v>
      </c>
      <c r="AC23" s="35">
        <f>19.9+32.1</f>
        <v>52</v>
      </c>
      <c r="AD23" s="36">
        <v>50.5</v>
      </c>
      <c r="AE23" s="35">
        <v>49.1</v>
      </c>
      <c r="AF23" s="35">
        <v>49.5</v>
      </c>
      <c r="AG23" s="35">
        <v>49.1</v>
      </c>
      <c r="AH23" s="35">
        <v>48.4</v>
      </c>
      <c r="AI23" s="35">
        <v>47.8</v>
      </c>
      <c r="AJ23" s="35">
        <v>47.7</v>
      </c>
      <c r="AK23" s="35">
        <v>46.7</v>
      </c>
      <c r="AL23" s="35">
        <v>46.7</v>
      </c>
      <c r="AM23" s="35">
        <v>47.1</v>
      </c>
      <c r="AN23" s="35">
        <v>47</v>
      </c>
      <c r="AO23" s="35">
        <v>44.5</v>
      </c>
      <c r="AP23" s="109">
        <v>45.4</v>
      </c>
      <c r="AQ23" s="109">
        <v>46.2</v>
      </c>
      <c r="AR23" s="36">
        <v>135.9</v>
      </c>
      <c r="AS23" s="35">
        <v>134.69999999999999</v>
      </c>
      <c r="AT23" s="35">
        <v>135.4</v>
      </c>
      <c r="AU23" s="35">
        <v>135.6</v>
      </c>
      <c r="AV23" s="35">
        <v>135.69999999999999</v>
      </c>
      <c r="AW23" s="35">
        <v>134.80000000000001</v>
      </c>
      <c r="AX23" s="35">
        <v>135.4</v>
      </c>
      <c r="AY23" s="35">
        <v>133.30000000000001</v>
      </c>
      <c r="AZ23" s="35">
        <v>131.69999999999999</v>
      </c>
      <c r="BA23" s="35">
        <v>130</v>
      </c>
      <c r="BB23" s="35">
        <v>127.4</v>
      </c>
      <c r="BC23" s="35">
        <v>120.2</v>
      </c>
      <c r="BD23" s="109">
        <v>122.9</v>
      </c>
      <c r="BE23" s="109">
        <v>122.2</v>
      </c>
      <c r="BF23" s="36">
        <v>10.4</v>
      </c>
      <c r="BG23" s="35">
        <v>10.3</v>
      </c>
      <c r="BH23" s="35">
        <v>10.199999999999999</v>
      </c>
      <c r="BI23" s="35">
        <v>9.6</v>
      </c>
      <c r="BJ23" s="35">
        <v>9.6</v>
      </c>
      <c r="BK23" s="35">
        <v>9.6</v>
      </c>
      <c r="BL23" s="35">
        <v>9.6999999999999993</v>
      </c>
      <c r="BM23" s="35">
        <v>9.6999999999999993</v>
      </c>
      <c r="BN23" s="35">
        <v>8.6</v>
      </c>
      <c r="BO23" s="35">
        <v>8.1999999999999993</v>
      </c>
      <c r="BP23" s="88">
        <v>8.1</v>
      </c>
      <c r="BQ23" s="35">
        <v>7.3</v>
      </c>
      <c r="BR23" s="109">
        <v>7.2</v>
      </c>
      <c r="BS23" s="109">
        <v>7.7</v>
      </c>
      <c r="BT23" s="36">
        <v>91</v>
      </c>
      <c r="BU23" s="35">
        <v>91.6</v>
      </c>
      <c r="BV23" s="35">
        <v>93.5</v>
      </c>
      <c r="BW23" s="35">
        <v>95.1</v>
      </c>
      <c r="BX23" s="35">
        <v>95.8</v>
      </c>
      <c r="BY23" s="35">
        <v>97.6</v>
      </c>
      <c r="BZ23" s="35">
        <v>94.9</v>
      </c>
      <c r="CA23" s="35">
        <v>93</v>
      </c>
      <c r="CB23" s="35">
        <v>93.2</v>
      </c>
      <c r="CC23" s="35">
        <v>98</v>
      </c>
      <c r="CD23" s="35">
        <v>98.4</v>
      </c>
      <c r="CE23">
        <v>94.8</v>
      </c>
      <c r="CF23">
        <f>24.6+68.3</f>
        <v>92.9</v>
      </c>
      <c r="CG23">
        <f>25.4+71.7</f>
        <v>97.1</v>
      </c>
      <c r="CH23" s="36">
        <v>118.7</v>
      </c>
      <c r="CI23" s="35">
        <v>120.6</v>
      </c>
      <c r="CJ23" s="35">
        <v>122.9</v>
      </c>
      <c r="CK23" s="35">
        <v>125.6</v>
      </c>
      <c r="CL23" s="35">
        <v>126.1</v>
      </c>
      <c r="CM23" s="35">
        <v>126.4</v>
      </c>
      <c r="CN23" s="35">
        <v>128.69999999999999</v>
      </c>
      <c r="CO23" s="35">
        <v>129.9</v>
      </c>
      <c r="CP23" s="35">
        <v>130.1</v>
      </c>
      <c r="CQ23" s="35">
        <v>128.19999999999999</v>
      </c>
      <c r="CR23" s="35">
        <v>129.19999999999999</v>
      </c>
      <c r="CS23" s="35">
        <v>127.7</v>
      </c>
      <c r="CT23" s="109">
        <v>127.1</v>
      </c>
      <c r="CU23" s="109">
        <v>127.8</v>
      </c>
      <c r="CV23" s="36">
        <v>127.4</v>
      </c>
      <c r="CW23" s="35">
        <v>127.1</v>
      </c>
      <c r="CX23" s="35">
        <v>127.9</v>
      </c>
      <c r="CY23" s="35">
        <v>129.80000000000001</v>
      </c>
      <c r="CZ23" s="35">
        <v>130.39999999999998</v>
      </c>
      <c r="DA23" s="35">
        <v>129.19999999999999</v>
      </c>
      <c r="DB23" s="35">
        <v>129.30000000000001</v>
      </c>
      <c r="DC23" s="35">
        <v>128.69999999999999</v>
      </c>
      <c r="DD23" s="35">
        <v>127.5</v>
      </c>
      <c r="DE23" s="35">
        <v>98.3</v>
      </c>
      <c r="DF23" s="35">
        <v>99.2</v>
      </c>
      <c r="DG23" s="35">
        <v>82.9</v>
      </c>
      <c r="DH23" s="35">
        <f>67.3+23</f>
        <v>90.3</v>
      </c>
      <c r="DI23" s="35">
        <f>69.7+24</f>
        <v>93.7</v>
      </c>
      <c r="DJ23" s="36">
        <v>150</v>
      </c>
      <c r="DK23" s="35">
        <v>153.4</v>
      </c>
      <c r="DL23" s="35">
        <v>151.19999999999999</v>
      </c>
      <c r="DM23" s="35">
        <v>153.5</v>
      </c>
      <c r="DN23" s="35">
        <v>153.6</v>
      </c>
      <c r="DO23" s="35">
        <v>153.4</v>
      </c>
      <c r="DP23" s="35">
        <v>152.9</v>
      </c>
      <c r="DQ23" s="35">
        <v>156.1</v>
      </c>
      <c r="DR23" s="35">
        <v>153.80000000000001</v>
      </c>
      <c r="DS23" s="39">
        <v>152.6</v>
      </c>
      <c r="DT23" s="88">
        <v>151.80000000000001</v>
      </c>
      <c r="DU23" s="88">
        <v>148.4</v>
      </c>
      <c r="DV23" s="88">
        <v>147</v>
      </c>
      <c r="DW23" s="88">
        <v>149.4</v>
      </c>
    </row>
    <row r="24" spans="1:127">
      <c r="A24" s="20" t="s">
        <v>33</v>
      </c>
      <c r="B24" s="37">
        <f>SUM(B26:B38)</f>
        <v>28916.500000000004</v>
      </c>
      <c r="C24" s="37">
        <f t="shared" ref="C24:BT24" si="107">SUM(C26:C38)</f>
        <v>28592.999999999996</v>
      </c>
      <c r="D24" s="37">
        <f t="shared" si="107"/>
        <v>28917.899999999998</v>
      </c>
      <c r="E24" s="37">
        <f t="shared" ref="E24:F24" si="108">SUM(E26:E38)</f>
        <v>29546.800000000003</v>
      </c>
      <c r="F24" s="37">
        <f t="shared" si="108"/>
        <v>30359</v>
      </c>
      <c r="G24" s="37">
        <f t="shared" ref="G24:I24" si="109">SUM(G26:G38)</f>
        <v>31194.799999999999</v>
      </c>
      <c r="H24" s="37">
        <f t="shared" si="109"/>
        <v>32029.599999999999</v>
      </c>
      <c r="I24" s="37">
        <f t="shared" si="109"/>
        <v>32839.200000000004</v>
      </c>
      <c r="J24" s="37">
        <f t="shared" ref="J24" si="110">SUM(J26:J38)</f>
        <v>33532.800000000003</v>
      </c>
      <c r="K24" s="37">
        <f t="shared" ref="K24:L24" si="111">SUM(K26:K38)</f>
        <v>34301.5</v>
      </c>
      <c r="L24" s="37">
        <f t="shared" si="111"/>
        <v>34911.199999999997</v>
      </c>
      <c r="M24" s="37">
        <f t="shared" ref="M24:O24" si="112">SUM(M26:M38)</f>
        <v>32705.299999999992</v>
      </c>
      <c r="N24" s="37">
        <f t="shared" si="112"/>
        <v>33984.9</v>
      </c>
      <c r="O24" s="37">
        <f t="shared" si="112"/>
        <v>35684.299999999996</v>
      </c>
      <c r="P24" s="38">
        <f t="shared" si="107"/>
        <v>1611.4</v>
      </c>
      <c r="Q24" s="37">
        <f t="shared" si="107"/>
        <v>1451.1999999999996</v>
      </c>
      <c r="R24" s="37">
        <f t="shared" si="107"/>
        <v>1452.1999999999998</v>
      </c>
      <c r="S24" s="37">
        <f t="shared" ref="S24:T24" si="113">SUM(S26:S38)</f>
        <v>1511.6999999999998</v>
      </c>
      <c r="T24" s="37">
        <f t="shared" si="113"/>
        <v>1609.8999999999999</v>
      </c>
      <c r="U24" s="37">
        <f t="shared" ref="U24:W24" si="114">SUM(U26:U38)</f>
        <v>1703.0999999999997</v>
      </c>
      <c r="V24" s="37">
        <f t="shared" si="114"/>
        <v>1793.8</v>
      </c>
      <c r="W24" s="37">
        <f t="shared" si="114"/>
        <v>1855.1999999999998</v>
      </c>
      <c r="X24" s="37">
        <f t="shared" ref="X24:Y24" si="115">SUM(X26:X38)</f>
        <v>1944.8</v>
      </c>
      <c r="Y24" s="37">
        <f t="shared" si="115"/>
        <v>2070.5</v>
      </c>
      <c r="Z24" s="37">
        <f t="shared" ref="Z24:AA24" si="116">SUM(Z26:Z38)</f>
        <v>2149.6000000000004</v>
      </c>
      <c r="AA24" s="37">
        <f t="shared" si="116"/>
        <v>2089.6</v>
      </c>
      <c r="AB24" s="37">
        <f t="shared" ref="AB24:AC24" si="117">SUM(AB26:AB38)</f>
        <v>2154.1999999999998</v>
      </c>
      <c r="AC24" s="37">
        <f t="shared" si="117"/>
        <v>2252.2999999999997</v>
      </c>
      <c r="AD24" s="38">
        <f t="shared" si="107"/>
        <v>2289.2000000000003</v>
      </c>
      <c r="AE24" s="37">
        <f t="shared" si="107"/>
        <v>2220.8999999999996</v>
      </c>
      <c r="AF24" s="37">
        <f t="shared" si="107"/>
        <v>2254.6999999999994</v>
      </c>
      <c r="AG24" s="37">
        <f t="shared" ref="AG24:AH24" si="118">SUM(AG26:AG38)</f>
        <v>2289.8000000000002</v>
      </c>
      <c r="AH24" s="37">
        <f t="shared" si="118"/>
        <v>2309.6999999999998</v>
      </c>
      <c r="AI24" s="37">
        <f t="shared" ref="AI24:AK24" si="119">SUM(AI26:AI38)</f>
        <v>2337.6</v>
      </c>
      <c r="AJ24" s="37">
        <f t="shared" si="119"/>
        <v>2391.7999999999997</v>
      </c>
      <c r="AK24" s="37">
        <f t="shared" si="119"/>
        <v>2402.7999999999997</v>
      </c>
      <c r="AL24" s="37">
        <f t="shared" ref="AL24:AM24" si="120">SUM(AL26:AL38)</f>
        <v>2420.6000000000008</v>
      </c>
      <c r="AM24" s="37">
        <f t="shared" si="120"/>
        <v>2466.7000000000003</v>
      </c>
      <c r="AN24" s="37">
        <f t="shared" ref="AN24:AO24" si="121">SUM(AN26:AN38)</f>
        <v>2491.9999999999995</v>
      </c>
      <c r="AO24" s="37">
        <f t="shared" si="121"/>
        <v>2382.4</v>
      </c>
      <c r="AP24" s="37">
        <f t="shared" ref="AP24:AQ24" si="122">SUM(AP26:AP38)</f>
        <v>2423.6000000000004</v>
      </c>
      <c r="AQ24" s="37">
        <f t="shared" si="122"/>
        <v>2521.2999999999997</v>
      </c>
      <c r="AR24" s="38">
        <f t="shared" si="107"/>
        <v>5374.2</v>
      </c>
      <c r="AS24" s="37">
        <f t="shared" si="107"/>
        <v>5316.9</v>
      </c>
      <c r="AT24" s="37">
        <f t="shared" si="107"/>
        <v>5401</v>
      </c>
      <c r="AU24" s="37">
        <f t="shared" ref="AU24" si="123">SUM(AU26:AU38)</f>
        <v>5508.3000000000011</v>
      </c>
      <c r="AV24" s="37">
        <f>SUM(AW26:AW38)</f>
        <v>5774.2</v>
      </c>
      <c r="AW24" s="37">
        <f t="shared" ref="AW24:AY24" si="124">SUM(AW26:AW38)</f>
        <v>5774.2</v>
      </c>
      <c r="AX24" s="37">
        <f t="shared" si="124"/>
        <v>5919.5999999999995</v>
      </c>
      <c r="AY24" s="37">
        <f t="shared" si="124"/>
        <v>6034.8</v>
      </c>
      <c r="AZ24" s="37">
        <f t="shared" ref="AZ24" si="125">SUM(AZ26:AZ38)</f>
        <v>6140.5000000000009</v>
      </c>
      <c r="BA24" s="37">
        <f t="shared" ref="BA24:BB24" si="126">SUM(BA26:BA38)</f>
        <v>6200.9000000000005</v>
      </c>
      <c r="BB24" s="37">
        <f t="shared" si="126"/>
        <v>6240.0999999999995</v>
      </c>
      <c r="BC24" s="37">
        <f t="shared" ref="BC24:BE24" si="127">SUM(BC26:BC38)</f>
        <v>6016.2</v>
      </c>
      <c r="BD24" s="37">
        <f t="shared" si="127"/>
        <v>6254.1999999999989</v>
      </c>
      <c r="BE24" s="37">
        <f t="shared" si="127"/>
        <v>6456.800000000002</v>
      </c>
      <c r="BF24" s="38">
        <f t="shared" si="107"/>
        <v>785.10000000000014</v>
      </c>
      <c r="BG24" s="37">
        <f t="shared" si="107"/>
        <v>765.39999999999986</v>
      </c>
      <c r="BH24" s="37">
        <f t="shared" si="107"/>
        <v>766.10000000000014</v>
      </c>
      <c r="BI24" s="37">
        <f t="shared" ref="BI24:BJ24" si="128">SUM(BI26:BI38)</f>
        <v>774.00000000000011</v>
      </c>
      <c r="BJ24" s="37">
        <f t="shared" si="128"/>
        <v>792.29999999999984</v>
      </c>
      <c r="BK24" s="37">
        <f t="shared" ref="BK24:BM24" si="129">SUM(BK26:BK38)</f>
        <v>806.19999999999993</v>
      </c>
      <c r="BL24" s="37">
        <f t="shared" si="129"/>
        <v>844.2</v>
      </c>
      <c r="BM24" s="37">
        <f t="shared" si="129"/>
        <v>892.5</v>
      </c>
      <c r="BN24" s="37">
        <f t="shared" ref="BN24:BO24" si="130">SUM(BN26:BN38)</f>
        <v>906.3000000000003</v>
      </c>
      <c r="BO24" s="37">
        <f t="shared" si="130"/>
        <v>933.7</v>
      </c>
      <c r="BP24" s="37">
        <f t="shared" ref="BP24:BQ24" si="131">SUM(BP26:BP38)</f>
        <v>966.40000000000009</v>
      </c>
      <c r="BQ24" s="37">
        <f t="shared" si="131"/>
        <v>919.7</v>
      </c>
      <c r="BR24" s="37">
        <f t="shared" ref="BR24:BS24" si="132">SUM(BR26:BR38)</f>
        <v>975.60000000000014</v>
      </c>
      <c r="BS24" s="37">
        <f t="shared" si="132"/>
        <v>1050.1999999999998</v>
      </c>
      <c r="BT24" s="38">
        <f t="shared" si="107"/>
        <v>5474.5</v>
      </c>
      <c r="BU24" s="37">
        <f t="shared" ref="BU24:DL24" si="133">SUM(BU26:BU38)</f>
        <v>5442.5000000000009</v>
      </c>
      <c r="BV24" s="37">
        <f t="shared" si="133"/>
        <v>5558.5000000000009</v>
      </c>
      <c r="BW24" s="37">
        <f t="shared" ref="BW24:BX24" si="134">SUM(BW26:BW38)</f>
        <v>5751.4000000000005</v>
      </c>
      <c r="BX24" s="37">
        <f t="shared" si="134"/>
        <v>5958.9</v>
      </c>
      <c r="BY24" s="37">
        <f t="shared" ref="BY24:CA24" si="135">SUM(BY26:BY38)</f>
        <v>6128</v>
      </c>
      <c r="BZ24" s="37">
        <f t="shared" si="135"/>
        <v>6288.7</v>
      </c>
      <c r="CA24" s="37">
        <f t="shared" si="135"/>
        <v>6451.1999999999989</v>
      </c>
      <c r="CB24" s="37">
        <f t="shared" ref="CB24:CC24" si="136">SUM(CB26:CB38)</f>
        <v>6565.4</v>
      </c>
      <c r="CC24" s="37">
        <f t="shared" si="136"/>
        <v>6762.6000000000022</v>
      </c>
      <c r="CD24" s="37">
        <f t="shared" ref="CD24:CE24" si="137">SUM(CD26:CD38)</f>
        <v>6904.1999999999989</v>
      </c>
      <c r="CE24" s="37">
        <f t="shared" si="137"/>
        <v>6675.7999999999993</v>
      </c>
      <c r="CF24" s="37">
        <f t="shared" ref="CF24:CG24" si="138">SUM(CF26:CF38)</f>
        <v>7004.9000000000015</v>
      </c>
      <c r="CG24" s="37">
        <f t="shared" si="138"/>
        <v>7461.4999999999991</v>
      </c>
      <c r="CH24" s="38">
        <f>SUM(CI26:CI38)</f>
        <v>3986.7000000000003</v>
      </c>
      <c r="CI24" s="37">
        <f t="shared" si="133"/>
        <v>3986.7000000000003</v>
      </c>
      <c r="CJ24" s="37">
        <f t="shared" si="133"/>
        <v>4062.9999999999995</v>
      </c>
      <c r="CK24" s="37">
        <f t="shared" ref="CK24:CL24" si="139">SUM(CK26:CK38)</f>
        <v>4194.3</v>
      </c>
      <c r="CL24" s="37">
        <f t="shared" si="139"/>
        <v>4387.3</v>
      </c>
      <c r="CM24" s="37">
        <f t="shared" ref="CM24:CO24" si="140">SUM(CM26:CM38)</f>
        <v>4531.7000000000007</v>
      </c>
      <c r="CN24" s="37">
        <f t="shared" si="140"/>
        <v>4636.1000000000004</v>
      </c>
      <c r="CO24" s="37">
        <f t="shared" si="140"/>
        <v>4799.3</v>
      </c>
      <c r="CP24" s="37">
        <f t="shared" ref="CP24:CQ24" si="141">SUM(CP26:CP38)</f>
        <v>4957.4000000000005</v>
      </c>
      <c r="CQ24" s="37">
        <f t="shared" si="141"/>
        <v>5131.3999999999996</v>
      </c>
      <c r="CR24" s="37">
        <f t="shared" ref="CR24:CS24" si="142">SUM(CR26:CR38)</f>
        <v>5267.6</v>
      </c>
      <c r="CS24" s="37">
        <f t="shared" si="142"/>
        <v>5145.5000000000009</v>
      </c>
      <c r="CT24" s="37">
        <f t="shared" ref="CT24:CU24" si="143">SUM(CT26:CT38)</f>
        <v>5000.300000000002</v>
      </c>
      <c r="CU24" s="37">
        <f t="shared" si="143"/>
        <v>5480.4</v>
      </c>
      <c r="CV24" s="38">
        <f t="shared" si="133"/>
        <v>4258.9000000000005</v>
      </c>
      <c r="CW24" s="37">
        <f t="shared" si="133"/>
        <v>4237.7000000000007</v>
      </c>
      <c r="CX24" s="37">
        <f t="shared" si="133"/>
        <v>4323.5999999999995</v>
      </c>
      <c r="CY24" s="37">
        <f t="shared" ref="CY24:CZ24" si="144">SUM(CY26:CY38)</f>
        <v>4448.3</v>
      </c>
      <c r="CZ24" s="37">
        <f t="shared" si="144"/>
        <v>4601.9000000000005</v>
      </c>
      <c r="DA24" s="37">
        <f t="shared" ref="DA24:DC24" si="145">SUM(DA26:DA38)</f>
        <v>4779</v>
      </c>
      <c r="DB24" s="37">
        <f t="shared" si="145"/>
        <v>4934.2000000000007</v>
      </c>
      <c r="DC24" s="37">
        <f t="shared" si="145"/>
        <v>5093.4000000000005</v>
      </c>
      <c r="DD24" s="37">
        <f t="shared" ref="DD24:DE24" si="146">SUM(DD26:DD38)</f>
        <v>5217.3</v>
      </c>
      <c r="DE24" s="37">
        <f t="shared" si="146"/>
        <v>5320.9</v>
      </c>
      <c r="DF24" s="37">
        <f t="shared" ref="DF24:DG24" si="147">SUM(DF26:DF38)</f>
        <v>5419.3000000000011</v>
      </c>
      <c r="DG24" s="37">
        <f t="shared" si="147"/>
        <v>4227.2</v>
      </c>
      <c r="DH24" s="37">
        <f t="shared" ref="DH24:DI24" si="148">SUM(DH26:DH38)</f>
        <v>4645.7</v>
      </c>
      <c r="DI24" s="37">
        <f t="shared" si="148"/>
        <v>5249.4</v>
      </c>
      <c r="DJ24" s="38">
        <f t="shared" si="133"/>
        <v>5202.1999999999989</v>
      </c>
      <c r="DK24" s="37">
        <f t="shared" si="133"/>
        <v>5172</v>
      </c>
      <c r="DL24" s="37">
        <f t="shared" si="133"/>
        <v>5099.7</v>
      </c>
      <c r="DM24" s="37">
        <f t="shared" ref="DM24:DN24" si="149">SUM(DM26:DM38)</f>
        <v>5069.2000000000007</v>
      </c>
      <c r="DN24" s="37">
        <f t="shared" si="149"/>
        <v>5075.5999999999995</v>
      </c>
      <c r="DO24" s="37">
        <f t="shared" ref="DO24:DQ24" si="150">SUM(DO26:DO38)</f>
        <v>5135.6000000000004</v>
      </c>
      <c r="DP24" s="37">
        <f>SUM(DQ26:DQ38)</f>
        <v>5310.6</v>
      </c>
      <c r="DQ24" s="37">
        <f t="shared" si="150"/>
        <v>5310.6</v>
      </c>
      <c r="DR24" s="37">
        <f t="shared" ref="DR24:DS24" si="151">SUM(DR26:DR38)</f>
        <v>5381.1</v>
      </c>
      <c r="DS24" s="86">
        <f t="shared" si="151"/>
        <v>5415.1999999999989</v>
      </c>
      <c r="DT24" s="86">
        <f t="shared" ref="DT24:DU24" si="152">SUM(DT26:DT38)</f>
        <v>5472.7</v>
      </c>
      <c r="DU24" s="37">
        <f t="shared" si="152"/>
        <v>5249.4000000000005</v>
      </c>
      <c r="DV24" s="37">
        <f t="shared" ref="DV24:DW24" si="153">SUM(DV26:DV38)</f>
        <v>5226.9999999999991</v>
      </c>
      <c r="DW24" s="37">
        <f t="shared" si="153"/>
        <v>5208.4000000000005</v>
      </c>
    </row>
    <row r="25" spans="1:127">
      <c r="A25" s="19" t="s">
        <v>91</v>
      </c>
      <c r="B25" s="37">
        <f t="shared" ref="B25:AE25" si="154">(B24/B5)*100</f>
        <v>22.034473036507588</v>
      </c>
      <c r="C25" s="37">
        <f t="shared" si="154"/>
        <v>21.948186528497406</v>
      </c>
      <c r="D25" s="37">
        <f t="shared" si="154"/>
        <v>21.933754038925379</v>
      </c>
      <c r="E25" s="37">
        <f t="shared" ref="E25:F25" si="155">(E24/E5)*100</f>
        <v>22.032750700948519</v>
      </c>
      <c r="F25" s="37">
        <f t="shared" si="155"/>
        <v>22.258473675335246</v>
      </c>
      <c r="G25" s="37">
        <f t="shared" ref="G25:I25" si="156">(G24/G5)*100</f>
        <v>22.435523079357317</v>
      </c>
      <c r="H25" s="37">
        <f t="shared" si="156"/>
        <v>22.527738019461452</v>
      </c>
      <c r="I25" s="37">
        <f t="shared" si="156"/>
        <v>22.711441478575754</v>
      </c>
      <c r="J25" s="37">
        <f t="shared" ref="J25" si="157">(J24/J5)*100</f>
        <v>22.878695047616187</v>
      </c>
      <c r="K25" s="37">
        <f>(K24/K5)*100</f>
        <v>23.046430143143652</v>
      </c>
      <c r="L25" s="37">
        <f>(L24/L5)*100</f>
        <v>23.157788603389896</v>
      </c>
      <c r="M25" s="37">
        <f>(M24/M5)*100</f>
        <v>23.125314651295646</v>
      </c>
      <c r="N25" s="37">
        <f t="shared" ref="N25:O25" si="158">(N24/N5)*100</f>
        <v>23.215997190982453</v>
      </c>
      <c r="O25" s="37">
        <f t="shared" si="158"/>
        <v>23.387149628262527</v>
      </c>
      <c r="P25" s="38">
        <f t="shared" si="154"/>
        <v>25.877629677212145</v>
      </c>
      <c r="Q25" s="37">
        <f t="shared" si="154"/>
        <v>23.790163934426221</v>
      </c>
      <c r="R25" s="37">
        <f t="shared" si="154"/>
        <v>22.905362776025235</v>
      </c>
      <c r="S25" s="37">
        <f t="shared" ref="S25:T25" si="159">(S24/S5)*100</f>
        <v>23.321505708114778</v>
      </c>
      <c r="T25" s="37">
        <f t="shared" si="159"/>
        <v>23.996124608734533</v>
      </c>
      <c r="U25" s="37">
        <f t="shared" ref="U25:W25" si="160">(U24/U5)*100</f>
        <v>24.03132496119655</v>
      </c>
      <c r="V25" s="37">
        <f t="shared" si="160"/>
        <v>24.699143557403684</v>
      </c>
      <c r="W25" s="37">
        <f t="shared" si="160"/>
        <v>25.165149685978211</v>
      </c>
      <c r="X25" s="37">
        <f t="shared" ref="X25:Y25" si="161">(X24/X5)*100</f>
        <v>25.545776960462362</v>
      </c>
      <c r="Y25" s="37">
        <f t="shared" si="161"/>
        <v>26.013920997085137</v>
      </c>
      <c r="Z25" s="37">
        <f t="shared" ref="Z25:AA25" si="162">(Z24/Z5)*100</f>
        <v>26.246642246642253</v>
      </c>
      <c r="AA25" s="37">
        <f t="shared" si="162"/>
        <v>26.765380230815538</v>
      </c>
      <c r="AB25" s="37">
        <f t="shared" ref="AB25:AC25" si="163">(AB24/AB5)*100</f>
        <v>26.89354689704248</v>
      </c>
      <c r="AC25" s="37">
        <f t="shared" si="163"/>
        <v>26.994019439816867</v>
      </c>
      <c r="AD25" s="38">
        <f t="shared" si="154"/>
        <v>19.916478162519578</v>
      </c>
      <c r="AE25" s="37">
        <f t="shared" si="154"/>
        <v>19.139089968976212</v>
      </c>
      <c r="AF25" s="37">
        <f t="shared" ref="AF25:BT25" si="164">(AF24/AF5)*100</f>
        <v>19.107627118644064</v>
      </c>
      <c r="AG25" s="37">
        <f t="shared" ref="AG25:AH25" si="165">(AG24/AG5)*100</f>
        <v>19.148687071416624</v>
      </c>
      <c r="AH25" s="37">
        <f t="shared" si="165"/>
        <v>19.113704071499502</v>
      </c>
      <c r="AI25" s="37">
        <f t="shared" ref="AI25:AK25" si="166">(AI24/AI5)*100</f>
        <v>19.001788327101284</v>
      </c>
      <c r="AJ25" s="37">
        <f t="shared" si="166"/>
        <v>19.39349712154382</v>
      </c>
      <c r="AK25" s="37">
        <f t="shared" si="166"/>
        <v>19.488377374405893</v>
      </c>
      <c r="AL25" s="37">
        <f t="shared" ref="AL25:AM25" si="167">(AL24/AL5)*100</f>
        <v>19.469624458082325</v>
      </c>
      <c r="AM25" s="37">
        <f t="shared" si="167"/>
        <v>19.476048731573677</v>
      </c>
      <c r="AN25" s="37">
        <f t="shared" ref="AN25:AO25" si="168">(AN24/AN5)*100</f>
        <v>19.479707335376148</v>
      </c>
      <c r="AO25" s="37">
        <f t="shared" si="168"/>
        <v>19.69381344443342</v>
      </c>
      <c r="AP25" s="37">
        <f t="shared" ref="AP25:AQ25" si="169">(AP24/AP5)*100</f>
        <v>19.651023254305453</v>
      </c>
      <c r="AQ25" s="37">
        <f t="shared" si="169"/>
        <v>19.718298844102414</v>
      </c>
      <c r="AR25" s="38">
        <f t="shared" si="164"/>
        <v>21.372837542254921</v>
      </c>
      <c r="AS25" s="37">
        <f t="shared" si="164"/>
        <v>20.935974169160495</v>
      </c>
      <c r="AT25" s="37">
        <f t="shared" si="164"/>
        <v>20.842015898741991</v>
      </c>
      <c r="AU25" s="37">
        <f t="shared" ref="AU25" si="170">(AU24/AU5)*100</f>
        <v>20.921832269826805</v>
      </c>
      <c r="AV25" s="37">
        <f>(AW24/AW5)*100</f>
        <v>21.07218451207941</v>
      </c>
      <c r="AW25" s="37">
        <f t="shared" ref="AW25:AY25" si="171">(AW24/AW5)*100</f>
        <v>21.07218451207941</v>
      </c>
      <c r="AX25" s="37">
        <f t="shared" si="171"/>
        <v>21.978332058602941</v>
      </c>
      <c r="AY25" s="37">
        <f t="shared" si="171"/>
        <v>22.118133438888158</v>
      </c>
      <c r="AZ25" s="37">
        <f t="shared" ref="AZ25" si="172">(AZ24/AZ5)*100</f>
        <v>22.320649645225082</v>
      </c>
      <c r="BA25" s="37">
        <f t="shared" ref="BA25:BB25" si="173">(BA24/BA5)*100</f>
        <v>22.423319760756215</v>
      </c>
      <c r="BB25" s="37">
        <f t="shared" si="173"/>
        <v>22.507529441468737</v>
      </c>
      <c r="BC25" s="37">
        <f t="shared" ref="BC25:BE25" si="174">(BC24/BC5)*100</f>
        <v>22.588505626288296</v>
      </c>
      <c r="BD25" s="37">
        <f t="shared" si="174"/>
        <v>22.595387855819006</v>
      </c>
      <c r="BE25" s="37">
        <f t="shared" si="174"/>
        <v>22.529353268549706</v>
      </c>
      <c r="BF25" s="38">
        <f t="shared" si="164"/>
        <v>28.497277676951004</v>
      </c>
      <c r="BG25" s="37">
        <f t="shared" si="164"/>
        <v>28.369162342475899</v>
      </c>
      <c r="BH25" s="37">
        <f t="shared" si="164"/>
        <v>28.416172106824934</v>
      </c>
      <c r="BI25" s="37">
        <f t="shared" ref="BI25:BJ25" si="175">(BI24/BI5)*100</f>
        <v>28.869824692279007</v>
      </c>
      <c r="BJ25" s="37">
        <f t="shared" si="175"/>
        <v>29.000732064421662</v>
      </c>
      <c r="BK25" s="37">
        <f t="shared" ref="BK25:BM25" si="176">(BK24/BK5)*100</f>
        <v>29.052252252252249</v>
      </c>
      <c r="BL25" s="37">
        <f t="shared" si="176"/>
        <v>30.475434099851999</v>
      </c>
      <c r="BM25" s="37">
        <f t="shared" si="176"/>
        <v>31.743491250533506</v>
      </c>
      <c r="BN25" s="37">
        <f t="shared" ref="BN25:BO25" si="177">(BN24/BN5)*100</f>
        <v>32.175950580466512</v>
      </c>
      <c r="BO25" s="37">
        <f t="shared" si="177"/>
        <v>32.866345172304548</v>
      </c>
      <c r="BP25" s="37">
        <f t="shared" ref="BP25:BQ25" si="178">(BP24/BP5)*100</f>
        <v>33.705357142857146</v>
      </c>
      <c r="BQ25" s="37">
        <f t="shared" si="178"/>
        <v>33.91474297514565</v>
      </c>
      <c r="BR25" s="37">
        <f t="shared" ref="BR25:BS25" si="179">(BR24/BR5)*100</f>
        <v>34.171628721541147</v>
      </c>
      <c r="BS25" s="37">
        <f t="shared" si="179"/>
        <v>34.39895185063871</v>
      </c>
      <c r="BT25" s="38">
        <f t="shared" si="164"/>
        <v>22.505652620760536</v>
      </c>
      <c r="BU25" s="37">
        <f t="shared" ref="BU25:CX25" si="180">(BU24/BU5)*100</f>
        <v>21.92699730067282</v>
      </c>
      <c r="BV25" s="37">
        <f t="shared" si="180"/>
        <v>21.848590857277625</v>
      </c>
      <c r="BW25" s="37">
        <f t="shared" ref="BW25:BX25" si="181">(BW24/BW5)*100</f>
        <v>22.052914110429452</v>
      </c>
      <c r="BX25" s="37">
        <f t="shared" si="181"/>
        <v>22.298768850802677</v>
      </c>
      <c r="BY25" s="37">
        <f t="shared" ref="BY25:CA25" si="182">(BY24/BY5)*100</f>
        <v>22.220610631662922</v>
      </c>
      <c r="BZ25" s="37">
        <f t="shared" si="182"/>
        <v>22.667699960350358</v>
      </c>
      <c r="CA25" s="37">
        <f t="shared" si="182"/>
        <v>22.788190495029912</v>
      </c>
      <c r="CB25" s="37">
        <f t="shared" ref="CB25:CC25" si="183">(CB24/CB5)*100</f>
        <v>22.854377921892571</v>
      </c>
      <c r="CC25" s="37">
        <f t="shared" si="183"/>
        <v>23.037537430121933</v>
      </c>
      <c r="CD25" s="37">
        <f t="shared" ref="CD25:CE25" si="184">(CD24/CD5)*100</f>
        <v>23.121592476992937</v>
      </c>
      <c r="CE25" s="37">
        <f t="shared" si="184"/>
        <v>23.166427800546213</v>
      </c>
      <c r="CF25" s="37">
        <f t="shared" ref="CF25:CG25" si="185">(CF24/CF5)*100</f>
        <v>23.331856682732194</v>
      </c>
      <c r="CG25" s="37">
        <f t="shared" si="185"/>
        <v>23.558217512929151</v>
      </c>
      <c r="CH25" s="38">
        <f>(CI24/CI5)*100</f>
        <v>19.738092880483219</v>
      </c>
      <c r="CI25" s="37">
        <f t="shared" si="180"/>
        <v>19.738092880483219</v>
      </c>
      <c r="CJ25" s="37">
        <f t="shared" si="180"/>
        <v>19.753986775573704</v>
      </c>
      <c r="CK25" s="37">
        <f t="shared" ref="CK25:CL25" si="186">(CK24/CK5)*100</f>
        <v>19.891397135540171</v>
      </c>
      <c r="CL25" s="37">
        <f t="shared" si="186"/>
        <v>20.493740657698055</v>
      </c>
      <c r="CM25" s="37">
        <f t="shared" ref="CM25:CO25" si="187">(CM24/CM5)*100</f>
        <v>20.699310281825245</v>
      </c>
      <c r="CN25" s="37">
        <f t="shared" si="187"/>
        <v>21.01586582048958</v>
      </c>
      <c r="CO25" s="37">
        <f t="shared" si="187"/>
        <v>21.175593334009875</v>
      </c>
      <c r="CP25" s="37">
        <f t="shared" ref="CP25:CQ25" si="188">(CP24/CP5)*100</f>
        <v>21.431010855139448</v>
      </c>
      <c r="CQ25" s="37">
        <f t="shared" si="188"/>
        <v>21.728213140923852</v>
      </c>
      <c r="CR25" s="37">
        <f t="shared" ref="CR25:CS25" si="189">(CR24/CR5)*100</f>
        <v>21.857170717133954</v>
      </c>
      <c r="CS25" s="37">
        <f t="shared" si="189"/>
        <v>22.212964721728177</v>
      </c>
      <c r="CT25" s="37">
        <f t="shared" ref="CT25:CU25" si="190">(CT24/CT5)*100</f>
        <v>21.383150233276186</v>
      </c>
      <c r="CU25" s="37">
        <f t="shared" si="190"/>
        <v>22.510473999835703</v>
      </c>
      <c r="CV25" s="38">
        <f t="shared" si="180"/>
        <v>23.752928053541552</v>
      </c>
      <c r="CW25" s="37">
        <f t="shared" si="180"/>
        <v>23.371387602029564</v>
      </c>
      <c r="CX25" s="37">
        <f t="shared" si="180"/>
        <v>23.27519379844961</v>
      </c>
      <c r="CY25" s="37">
        <f t="shared" ref="CY25:CZ25" si="191">(CY24/CY5)*100</f>
        <v>23.316385365342278</v>
      </c>
      <c r="CZ25" s="37">
        <f t="shared" si="191"/>
        <v>23.443199184921042</v>
      </c>
      <c r="DA25" s="37">
        <f t="shared" ref="DA25:DC25" si="192">(DA24/DA5)*100</f>
        <v>23.674824135539481</v>
      </c>
      <c r="DB25" s="37">
        <f t="shared" si="192"/>
        <v>23.806582972276633</v>
      </c>
      <c r="DC25" s="37">
        <f t="shared" si="192"/>
        <v>23.95631478938159</v>
      </c>
      <c r="DD25" s="37">
        <f t="shared" ref="DD25:DE25" si="193">(DD24/DD5)*100</f>
        <v>24.085478450345306</v>
      </c>
      <c r="DE25" s="37">
        <f t="shared" si="193"/>
        <v>24.21794282437223</v>
      </c>
      <c r="DF25" s="37">
        <f t="shared" ref="DF25:DG25" si="194">(DF24/DF5)*100</f>
        <v>24.304736447910734</v>
      </c>
      <c r="DG25" s="37">
        <f t="shared" si="194"/>
        <v>23.517107093184979</v>
      </c>
      <c r="DH25" s="37">
        <f t="shared" ref="DH25:DI25" si="195">(DH24/DH5)*100</f>
        <v>23.723006061348812</v>
      </c>
      <c r="DI25" s="37">
        <f t="shared" si="195"/>
        <v>24.377263861799939</v>
      </c>
      <c r="DJ25" s="38">
        <f t="shared" ref="DJ25:DL25" si="196">(DJ24/DJ5)*100</f>
        <v>22.776707530647979</v>
      </c>
      <c r="DK25" s="37">
        <f t="shared" si="196"/>
        <v>22.877869686380325</v>
      </c>
      <c r="DL25" s="37">
        <f t="shared" si="196"/>
        <v>22.878869448183039</v>
      </c>
      <c r="DM25" s="37">
        <f t="shared" ref="DM25:DN25" si="197">(DM24/DM5)*100</f>
        <v>22.7880422566869</v>
      </c>
      <c r="DN25" s="37">
        <f t="shared" si="197"/>
        <v>22.884710762432931</v>
      </c>
      <c r="DO25" s="37">
        <f t="shared" ref="DO25:DQ25" si="198">(DO24/DO5)*100</f>
        <v>23.069942949553031</v>
      </c>
      <c r="DP25" s="37">
        <f>(DQ24/DQ5)*100</f>
        <v>23.536450785124519</v>
      </c>
      <c r="DQ25" s="37">
        <f t="shared" si="198"/>
        <v>23.536450785124519</v>
      </c>
      <c r="DR25" s="37">
        <f t="shared" ref="DR25:DS25" si="199">(DR24/DR5)*100</f>
        <v>23.729433917334383</v>
      </c>
      <c r="DS25" s="37">
        <f t="shared" si="199"/>
        <v>23.773608098971817</v>
      </c>
      <c r="DT25" s="37">
        <f t="shared" ref="DT25:DU25" si="200">(DT24/DT5)*100</f>
        <v>23.873858153677027</v>
      </c>
      <c r="DU25" s="37">
        <f t="shared" si="200"/>
        <v>23.621260664530762</v>
      </c>
      <c r="DV25" s="37">
        <f t="shared" ref="DV25:DW25" si="201">(DV24/DV5)*100</f>
        <v>23.624324874014135</v>
      </c>
      <c r="DW25" s="37">
        <f t="shared" si="201"/>
        <v>23.369572532989942</v>
      </c>
    </row>
    <row r="26" spans="1:127" ht="14.45">
      <c r="A26" s="20" t="s">
        <v>34</v>
      </c>
      <c r="B26" s="39">
        <v>319.89999999999998</v>
      </c>
      <c r="C26" s="39">
        <v>324.10000000000002</v>
      </c>
      <c r="D26" s="39">
        <v>329.5</v>
      </c>
      <c r="E26" s="39">
        <v>334.6</v>
      </c>
      <c r="F26" s="39">
        <v>336</v>
      </c>
      <c r="G26" s="39">
        <v>337.4</v>
      </c>
      <c r="H26" s="39">
        <v>338.9</v>
      </c>
      <c r="I26" s="39">
        <v>332.4</v>
      </c>
      <c r="J26" s="39">
        <v>328.9</v>
      </c>
      <c r="K26" s="39">
        <v>327.3</v>
      </c>
      <c r="L26" s="88">
        <v>329.4</v>
      </c>
      <c r="M26" s="88">
        <v>301.3</v>
      </c>
      <c r="N26" s="88">
        <v>310.3</v>
      </c>
      <c r="O26" s="88">
        <v>319.7</v>
      </c>
      <c r="P26" s="40">
        <v>31.5</v>
      </c>
      <c r="Q26" s="39">
        <v>31.5</v>
      </c>
      <c r="R26" s="39">
        <v>31.8</v>
      </c>
      <c r="S26" s="39">
        <v>33.4</v>
      </c>
      <c r="T26" s="39">
        <v>34</v>
      </c>
      <c r="U26" s="39">
        <v>35.1</v>
      </c>
      <c r="V26" s="39">
        <v>35</v>
      </c>
      <c r="W26" s="39">
        <v>30.8</v>
      </c>
      <c r="X26" s="39">
        <v>28.4</v>
      </c>
      <c r="Y26" s="39">
        <v>28.6</v>
      </c>
      <c r="Z26" s="39">
        <v>29.7</v>
      </c>
      <c r="AA26" s="39">
        <v>27.5</v>
      </c>
      <c r="AB26" s="39">
        <f>10.5+15.9</f>
        <v>26.4</v>
      </c>
      <c r="AC26" s="39">
        <f>10.9+16.2</f>
        <v>27.1</v>
      </c>
      <c r="AD26" s="40">
        <v>12.9</v>
      </c>
      <c r="AE26" s="39">
        <v>12.7</v>
      </c>
      <c r="AF26" s="39">
        <v>13.8</v>
      </c>
      <c r="AG26" s="39">
        <v>14</v>
      </c>
      <c r="AH26" s="39">
        <v>14.3</v>
      </c>
      <c r="AI26" s="39">
        <v>14.2</v>
      </c>
      <c r="AJ26" s="39">
        <v>14.2</v>
      </c>
      <c r="AK26" s="39">
        <v>13.4</v>
      </c>
      <c r="AL26" s="39">
        <v>13.2</v>
      </c>
      <c r="AM26" s="39">
        <v>12.5</v>
      </c>
      <c r="AN26" s="39">
        <v>12.8</v>
      </c>
      <c r="AO26" s="39">
        <v>11.6</v>
      </c>
      <c r="AP26" s="109">
        <v>12.2</v>
      </c>
      <c r="AQ26" s="109">
        <v>12.1</v>
      </c>
      <c r="AR26" s="40">
        <v>63.2</v>
      </c>
      <c r="AS26" s="39">
        <v>62.7</v>
      </c>
      <c r="AT26" s="39">
        <v>63.3</v>
      </c>
      <c r="AU26" s="39">
        <v>63.8</v>
      </c>
      <c r="AV26" s="39">
        <v>64.099999999999994</v>
      </c>
      <c r="AW26" s="39">
        <v>64.900000000000006</v>
      </c>
      <c r="AX26" s="39">
        <v>65.599999999999994</v>
      </c>
      <c r="AY26" s="39">
        <v>65.3</v>
      </c>
      <c r="AZ26" s="39">
        <v>64.400000000000006</v>
      </c>
      <c r="BA26" s="39">
        <v>64.3</v>
      </c>
      <c r="BB26" s="39">
        <v>64.7</v>
      </c>
      <c r="BC26" s="39">
        <v>58.3</v>
      </c>
      <c r="BD26" s="109">
        <v>61</v>
      </c>
      <c r="BE26" s="109">
        <v>64.3</v>
      </c>
      <c r="BF26" s="40">
        <v>6.6</v>
      </c>
      <c r="BG26" s="39">
        <v>6.5</v>
      </c>
      <c r="BH26" s="39">
        <v>6.3</v>
      </c>
      <c r="BI26" s="39">
        <v>6.2</v>
      </c>
      <c r="BJ26" s="39">
        <v>6.2</v>
      </c>
      <c r="BK26" s="39">
        <v>6.2</v>
      </c>
      <c r="BL26" s="39">
        <v>6.3</v>
      </c>
      <c r="BM26" s="39">
        <v>6.3</v>
      </c>
      <c r="BN26" s="39">
        <v>6</v>
      </c>
      <c r="BO26" s="39">
        <v>5.6</v>
      </c>
      <c r="BP26" s="88">
        <v>5.3</v>
      </c>
      <c r="BQ26" s="39">
        <v>4.9000000000000004</v>
      </c>
      <c r="BR26" s="109">
        <v>4.8</v>
      </c>
      <c r="BS26" s="109">
        <v>4.8</v>
      </c>
      <c r="BT26" s="40">
        <v>39.9</v>
      </c>
      <c r="BU26" s="39">
        <v>40.200000000000003</v>
      </c>
      <c r="BV26" s="39">
        <v>41</v>
      </c>
      <c r="BW26" s="39">
        <v>42.099999999999994</v>
      </c>
      <c r="BX26" s="39">
        <v>42.4</v>
      </c>
      <c r="BY26" s="39">
        <v>42</v>
      </c>
      <c r="BZ26" s="39">
        <v>42.1</v>
      </c>
      <c r="CA26" s="39">
        <v>40.299999999999997</v>
      </c>
      <c r="CB26" s="39">
        <v>39.799999999999997</v>
      </c>
      <c r="CC26" s="39">
        <v>38.900000000000006</v>
      </c>
      <c r="CD26" s="39">
        <v>39.200000000000003</v>
      </c>
      <c r="CE26">
        <v>36.900000000000006</v>
      </c>
      <c r="CF26">
        <f>10.8+26.4</f>
        <v>37.200000000000003</v>
      </c>
      <c r="CG26">
        <f>11.1+27.5</f>
        <v>38.6</v>
      </c>
      <c r="CH26" s="40">
        <v>39.799999999999997</v>
      </c>
      <c r="CI26" s="39">
        <v>42.2</v>
      </c>
      <c r="CJ26" s="39">
        <v>44.7</v>
      </c>
      <c r="CK26" s="39">
        <v>46.1</v>
      </c>
      <c r="CL26" s="39">
        <v>47.1</v>
      </c>
      <c r="CM26" s="39">
        <v>46.8</v>
      </c>
      <c r="CN26" s="39">
        <v>47.5</v>
      </c>
      <c r="CO26" s="39">
        <v>48.6</v>
      </c>
      <c r="CP26" s="39">
        <v>49.7</v>
      </c>
      <c r="CQ26" s="39">
        <v>50.4</v>
      </c>
      <c r="CR26" s="39">
        <v>50.8</v>
      </c>
      <c r="CS26" s="39">
        <v>49.2</v>
      </c>
      <c r="CT26" s="39">
        <v>50.5</v>
      </c>
      <c r="CU26" s="109">
        <v>50.1</v>
      </c>
      <c r="CV26" s="40">
        <v>42.5</v>
      </c>
      <c r="CW26" s="39">
        <v>42.8</v>
      </c>
      <c r="CX26" s="39">
        <v>43.9</v>
      </c>
      <c r="CY26" s="39">
        <v>44.9</v>
      </c>
      <c r="CZ26" s="39">
        <v>45.400000000000006</v>
      </c>
      <c r="DA26" s="39">
        <v>45.900000000000006</v>
      </c>
      <c r="DB26" s="39">
        <v>46.1</v>
      </c>
      <c r="DC26" s="39">
        <v>46.5</v>
      </c>
      <c r="DD26" s="39">
        <v>46.5</v>
      </c>
      <c r="DE26" s="39">
        <v>46.6</v>
      </c>
      <c r="DF26" s="39">
        <v>47.1</v>
      </c>
      <c r="DG26" s="39">
        <v>36.299999999999997</v>
      </c>
      <c r="DH26" s="39">
        <f>30.4+10.5</f>
        <v>40.9</v>
      </c>
      <c r="DI26" s="39">
        <f>34.5+11.1</f>
        <v>45.6</v>
      </c>
      <c r="DJ26" s="40">
        <v>83.7</v>
      </c>
      <c r="DK26" s="39">
        <v>85.4</v>
      </c>
      <c r="DL26" s="39">
        <v>84.8</v>
      </c>
      <c r="DM26" s="39">
        <v>84.1</v>
      </c>
      <c r="DN26" s="39">
        <v>82.7</v>
      </c>
      <c r="DO26" s="39">
        <v>82.2</v>
      </c>
      <c r="DP26" s="39">
        <v>82</v>
      </c>
      <c r="DQ26" s="39">
        <v>81.2</v>
      </c>
      <c r="DR26" s="39">
        <v>81</v>
      </c>
      <c r="DS26" s="39">
        <v>80.400000000000006</v>
      </c>
      <c r="DT26" s="88">
        <v>79.8</v>
      </c>
      <c r="DU26" s="88">
        <v>76.8</v>
      </c>
      <c r="DV26" s="88">
        <v>77.2</v>
      </c>
      <c r="DW26" s="88">
        <v>77.3</v>
      </c>
    </row>
    <row r="27" spans="1:127" ht="14.45">
      <c r="A27" s="20" t="s">
        <v>35</v>
      </c>
      <c r="B27" s="39">
        <v>2432.6</v>
      </c>
      <c r="C27" s="39">
        <v>2386.1999999999998</v>
      </c>
      <c r="D27" s="39">
        <v>2412.1</v>
      </c>
      <c r="E27" s="39">
        <v>2463.5</v>
      </c>
      <c r="F27" s="39">
        <v>2520.6</v>
      </c>
      <c r="G27" s="39">
        <v>2568.4</v>
      </c>
      <c r="H27" s="39">
        <v>2636</v>
      </c>
      <c r="I27" s="39">
        <v>2704.1</v>
      </c>
      <c r="J27" s="39">
        <v>2772.5</v>
      </c>
      <c r="K27" s="39">
        <v>2856</v>
      </c>
      <c r="L27" s="88">
        <v>2937.4</v>
      </c>
      <c r="M27" s="88">
        <v>2850.3</v>
      </c>
      <c r="N27" s="88">
        <v>2970.7</v>
      </c>
      <c r="O27" s="88">
        <v>3095.4</v>
      </c>
      <c r="P27" s="40">
        <v>139.79999999999998</v>
      </c>
      <c r="Q27" s="39">
        <v>122.4</v>
      </c>
      <c r="R27" s="39">
        <v>122.5</v>
      </c>
      <c r="S27" s="39">
        <v>128.69999999999999</v>
      </c>
      <c r="T27" s="39">
        <v>136.9</v>
      </c>
      <c r="U27" s="39">
        <v>138.4</v>
      </c>
      <c r="V27" s="39">
        <v>140.5</v>
      </c>
      <c r="W27" s="39">
        <v>146.1</v>
      </c>
      <c r="X27" s="39">
        <v>157.1</v>
      </c>
      <c r="Y27" s="39">
        <v>171.9</v>
      </c>
      <c r="Z27" s="39">
        <v>184.2</v>
      </c>
      <c r="AA27" s="39">
        <v>185.8</v>
      </c>
      <c r="AB27" s="39">
        <f>12+179.3</f>
        <v>191.3</v>
      </c>
      <c r="AC27" s="39">
        <f>12.8+193.5</f>
        <v>206.3</v>
      </c>
      <c r="AD27" s="40">
        <v>153.80000000000001</v>
      </c>
      <c r="AE27" s="39">
        <v>148.5</v>
      </c>
      <c r="AF27" s="39">
        <v>150.5</v>
      </c>
      <c r="AG27" s="39">
        <v>155.1</v>
      </c>
      <c r="AH27" s="39">
        <v>155.4</v>
      </c>
      <c r="AI27" s="39">
        <v>156.5</v>
      </c>
      <c r="AJ27" s="39">
        <v>158.30000000000001</v>
      </c>
      <c r="AK27" s="39">
        <v>160</v>
      </c>
      <c r="AL27" s="39">
        <v>164.3</v>
      </c>
      <c r="AM27" s="39">
        <v>170.1</v>
      </c>
      <c r="AN27" s="39">
        <v>177.3</v>
      </c>
      <c r="AO27" s="39">
        <v>176.4</v>
      </c>
      <c r="AP27" s="109">
        <v>182.6</v>
      </c>
      <c r="AQ27" s="109">
        <v>192.5</v>
      </c>
      <c r="AR27" s="40">
        <v>478.4</v>
      </c>
      <c r="AS27" s="39">
        <v>467.8</v>
      </c>
      <c r="AT27" s="39">
        <v>473</v>
      </c>
      <c r="AU27" s="39">
        <v>476.4</v>
      </c>
      <c r="AV27" s="39">
        <v>481.2</v>
      </c>
      <c r="AW27" s="39">
        <v>493</v>
      </c>
      <c r="AX27" s="39">
        <v>506.5</v>
      </c>
      <c r="AY27" s="39">
        <v>516.4</v>
      </c>
      <c r="AZ27" s="39">
        <v>524.20000000000005</v>
      </c>
      <c r="BA27" s="39">
        <v>534.5</v>
      </c>
      <c r="BB27" s="39">
        <v>542.79999999999995</v>
      </c>
      <c r="BC27" s="39">
        <v>546.9</v>
      </c>
      <c r="BD27" s="109">
        <v>582.79999999999995</v>
      </c>
      <c r="BE27" s="109">
        <v>602.6</v>
      </c>
      <c r="BF27" s="40">
        <v>38</v>
      </c>
      <c r="BG27" s="39">
        <v>36.4</v>
      </c>
      <c r="BH27" s="39">
        <v>37.1</v>
      </c>
      <c r="BI27" s="39">
        <v>39.6</v>
      </c>
      <c r="BJ27" s="39">
        <v>41.8</v>
      </c>
      <c r="BK27" s="39">
        <v>43.1</v>
      </c>
      <c r="BL27" s="39">
        <v>44.6</v>
      </c>
      <c r="BM27" s="39">
        <v>45.3</v>
      </c>
      <c r="BN27" s="39">
        <v>45.2</v>
      </c>
      <c r="BO27" s="39">
        <v>47.4</v>
      </c>
      <c r="BP27" s="88">
        <v>48.8</v>
      </c>
      <c r="BQ27" s="39">
        <v>45.3</v>
      </c>
      <c r="BR27" s="109">
        <v>47.7</v>
      </c>
      <c r="BS27" s="109">
        <v>51.3</v>
      </c>
      <c r="BT27" s="40">
        <v>516.5</v>
      </c>
      <c r="BU27" s="39">
        <v>508.1</v>
      </c>
      <c r="BV27" s="39">
        <v>518.40000000000009</v>
      </c>
      <c r="BW27" s="39">
        <v>534.4</v>
      </c>
      <c r="BX27" s="39">
        <v>559.9</v>
      </c>
      <c r="BY27" s="39">
        <v>571.4</v>
      </c>
      <c r="BZ27" s="39">
        <v>592.1</v>
      </c>
      <c r="CA27" s="39">
        <v>615.4</v>
      </c>
      <c r="CB27" s="39">
        <v>634.20000000000005</v>
      </c>
      <c r="CC27" s="39">
        <v>651.90000000000009</v>
      </c>
      <c r="CD27" s="39">
        <v>674.5</v>
      </c>
      <c r="CE27">
        <v>662.3</v>
      </c>
      <c r="CF27">
        <f>247+448.9</f>
        <v>695.9</v>
      </c>
      <c r="CG27">
        <f>249.4+469</f>
        <v>718.4</v>
      </c>
      <c r="CH27" s="40">
        <v>333.7</v>
      </c>
      <c r="CI27" s="39">
        <v>344.5</v>
      </c>
      <c r="CJ27" s="39">
        <v>355.4</v>
      </c>
      <c r="CK27" s="39">
        <v>366.3</v>
      </c>
      <c r="CL27" s="39">
        <v>372.9</v>
      </c>
      <c r="CM27" s="39">
        <v>381.3</v>
      </c>
      <c r="CN27" s="39">
        <v>397.4</v>
      </c>
      <c r="CO27" s="39">
        <v>411.1</v>
      </c>
      <c r="CP27" s="39">
        <v>426.6</v>
      </c>
      <c r="CQ27" s="39">
        <v>445.7</v>
      </c>
      <c r="CR27" s="39">
        <v>461.8</v>
      </c>
      <c r="CS27" s="39">
        <v>459.1</v>
      </c>
      <c r="CT27" s="39">
        <v>166.3</v>
      </c>
      <c r="CU27" s="109">
        <v>482.5</v>
      </c>
      <c r="CV27" s="40">
        <v>349.4</v>
      </c>
      <c r="CW27" s="39">
        <v>342.1</v>
      </c>
      <c r="CX27" s="39">
        <v>347.20000000000005</v>
      </c>
      <c r="CY27" s="39">
        <v>353</v>
      </c>
      <c r="CZ27" s="39">
        <v>363</v>
      </c>
      <c r="DA27" s="39">
        <v>374.4</v>
      </c>
      <c r="DB27" s="39">
        <v>387.1</v>
      </c>
      <c r="DC27" s="39">
        <v>399.1</v>
      </c>
      <c r="DD27" s="39">
        <v>407.7</v>
      </c>
      <c r="DE27" s="39">
        <v>419.3</v>
      </c>
      <c r="DF27" s="39">
        <v>425.6</v>
      </c>
      <c r="DG27" s="39">
        <v>362.09999999999997</v>
      </c>
      <c r="DH27" s="39">
        <f>306.1+91.6</f>
        <v>397.70000000000005</v>
      </c>
      <c r="DI27" s="39">
        <f>334.4+96.9</f>
        <v>431.29999999999995</v>
      </c>
      <c r="DJ27" s="40">
        <v>423</v>
      </c>
      <c r="DK27" s="39">
        <v>416.3</v>
      </c>
      <c r="DL27" s="39">
        <v>408.1</v>
      </c>
      <c r="DM27" s="39">
        <v>409.9</v>
      </c>
      <c r="DN27" s="39">
        <v>409.7</v>
      </c>
      <c r="DO27" s="39">
        <v>410.3</v>
      </c>
      <c r="DP27" s="39">
        <v>409.7</v>
      </c>
      <c r="DQ27" s="39">
        <v>410.8</v>
      </c>
      <c r="DR27" s="39">
        <v>413.3</v>
      </c>
      <c r="DS27" s="39">
        <v>415.2</v>
      </c>
      <c r="DT27" s="88">
        <v>422.5</v>
      </c>
      <c r="DU27" s="88">
        <v>412.5</v>
      </c>
      <c r="DV27" s="88">
        <v>406.6</v>
      </c>
      <c r="DW27" s="88">
        <v>410.5</v>
      </c>
    </row>
    <row r="28" spans="1:127" ht="14.45">
      <c r="A28" s="20" t="s">
        <v>36</v>
      </c>
      <c r="B28" s="39">
        <v>14375.8</v>
      </c>
      <c r="C28" s="39">
        <v>14215.5</v>
      </c>
      <c r="D28" s="39">
        <v>14364.1</v>
      </c>
      <c r="E28" s="39">
        <v>14712.1</v>
      </c>
      <c r="F28" s="39">
        <v>15183.3</v>
      </c>
      <c r="G28" s="39">
        <v>15645.1</v>
      </c>
      <c r="H28" s="39">
        <v>16055.9</v>
      </c>
      <c r="I28" s="39">
        <v>16477.400000000001</v>
      </c>
      <c r="J28" s="39">
        <v>16812.599999999999</v>
      </c>
      <c r="K28" s="39">
        <v>17175.2</v>
      </c>
      <c r="L28" s="88">
        <v>17425.099999999999</v>
      </c>
      <c r="M28" s="88">
        <v>16140.5</v>
      </c>
      <c r="N28" s="88">
        <v>16750.400000000001</v>
      </c>
      <c r="O28" s="88">
        <v>17688.900000000001</v>
      </c>
      <c r="P28" s="40">
        <v>649.20000000000005</v>
      </c>
      <c r="Q28" s="39">
        <v>586.59999999999991</v>
      </c>
      <c r="R28" s="39">
        <v>590.09999999999991</v>
      </c>
      <c r="S28" s="39">
        <v>620.4</v>
      </c>
      <c r="T28" s="39">
        <v>667.9</v>
      </c>
      <c r="U28" s="39">
        <v>706.69999999999993</v>
      </c>
      <c r="V28" s="39">
        <v>760.5</v>
      </c>
      <c r="W28" s="39">
        <v>798.6</v>
      </c>
      <c r="X28" s="39">
        <v>831.1</v>
      </c>
      <c r="Y28" s="39">
        <v>882.5</v>
      </c>
      <c r="Z28" s="39">
        <v>905.1</v>
      </c>
      <c r="AA28" s="39">
        <v>874.9</v>
      </c>
      <c r="AB28" s="39">
        <f>19.1+883.9</f>
        <v>903</v>
      </c>
      <c r="AC28" s="39">
        <f>19.7+913.4</f>
        <v>933.1</v>
      </c>
      <c r="AD28" s="40">
        <v>1283.5999999999999</v>
      </c>
      <c r="AE28" s="39">
        <v>1244</v>
      </c>
      <c r="AF28" s="39">
        <v>1250.0999999999999</v>
      </c>
      <c r="AG28" s="39">
        <v>1254.7</v>
      </c>
      <c r="AH28" s="39">
        <v>1256.3</v>
      </c>
      <c r="AI28" s="39">
        <v>1269.5999999999999</v>
      </c>
      <c r="AJ28" s="39">
        <v>1301.5</v>
      </c>
      <c r="AK28" s="39">
        <v>1305.5999999999999</v>
      </c>
      <c r="AL28" s="39">
        <v>1311.9</v>
      </c>
      <c r="AM28" s="39">
        <v>1325.4</v>
      </c>
      <c r="AN28" s="39">
        <v>1322.5</v>
      </c>
      <c r="AO28" s="39">
        <v>1261.7</v>
      </c>
      <c r="AP28" s="109">
        <v>1282.9000000000001</v>
      </c>
      <c r="AQ28" s="109">
        <v>1336.9</v>
      </c>
      <c r="AR28" s="40">
        <v>2642.3</v>
      </c>
      <c r="AS28" s="39">
        <v>2627.9</v>
      </c>
      <c r="AT28" s="39">
        <v>2678.7</v>
      </c>
      <c r="AU28" s="39">
        <v>2734.1</v>
      </c>
      <c r="AV28" s="39">
        <v>2793.6</v>
      </c>
      <c r="AW28" s="39">
        <v>2871.1</v>
      </c>
      <c r="AX28" s="39">
        <v>2931.8</v>
      </c>
      <c r="AY28" s="39">
        <v>2990.2</v>
      </c>
      <c r="AZ28" s="39">
        <v>3042.6</v>
      </c>
      <c r="BA28" s="39">
        <v>3051.6</v>
      </c>
      <c r="BB28" s="39">
        <v>3051.9</v>
      </c>
      <c r="BC28" s="39">
        <v>2894.9</v>
      </c>
      <c r="BD28" s="109">
        <v>3024.5</v>
      </c>
      <c r="BE28" s="109">
        <v>3133</v>
      </c>
      <c r="BF28" s="40">
        <v>441.3</v>
      </c>
      <c r="BG28" s="39">
        <v>429</v>
      </c>
      <c r="BH28" s="39">
        <v>430.6</v>
      </c>
      <c r="BI28" s="39">
        <v>435.1</v>
      </c>
      <c r="BJ28" s="39">
        <v>448.6</v>
      </c>
      <c r="BK28" s="39">
        <v>457.9</v>
      </c>
      <c r="BL28" s="39">
        <v>486.3</v>
      </c>
      <c r="BM28" s="39">
        <v>523.1</v>
      </c>
      <c r="BN28" s="39">
        <v>528.70000000000005</v>
      </c>
      <c r="BO28" s="39">
        <v>543.70000000000005</v>
      </c>
      <c r="BP28" s="88">
        <v>562.6</v>
      </c>
      <c r="BQ28" s="39">
        <v>529</v>
      </c>
      <c r="BR28" s="109">
        <v>562.6</v>
      </c>
      <c r="BS28" s="109">
        <v>608.20000000000005</v>
      </c>
      <c r="BT28" s="40">
        <v>2846.7</v>
      </c>
      <c r="BU28" s="39">
        <v>2837.1000000000004</v>
      </c>
      <c r="BV28" s="39">
        <v>2896.4</v>
      </c>
      <c r="BW28" s="39">
        <v>3015.8</v>
      </c>
      <c r="BX28" s="39">
        <v>3124.1</v>
      </c>
      <c r="BY28" s="39">
        <v>3217.7</v>
      </c>
      <c r="BZ28" s="39">
        <v>3282.7</v>
      </c>
      <c r="CA28" s="39">
        <v>3353.7000000000003</v>
      </c>
      <c r="CB28" s="39">
        <v>3393.6</v>
      </c>
      <c r="CC28" s="39">
        <v>3500</v>
      </c>
      <c r="CD28" s="39">
        <v>3562.3</v>
      </c>
      <c r="CE28">
        <v>3410.5</v>
      </c>
      <c r="CF28" s="100">
        <f>829+2713</f>
        <v>3542</v>
      </c>
      <c r="CG28">
        <f>844.7+2872.7</f>
        <v>3717.3999999999996</v>
      </c>
      <c r="CH28" s="40">
        <v>2043.9</v>
      </c>
      <c r="CI28" s="39">
        <v>2056</v>
      </c>
      <c r="CJ28" s="39">
        <v>2083.9</v>
      </c>
      <c r="CK28" s="39">
        <v>2172.4</v>
      </c>
      <c r="CL28" s="39">
        <v>2325.4</v>
      </c>
      <c r="CM28" s="39">
        <v>2414.4</v>
      </c>
      <c r="CN28" s="39">
        <v>2455.4</v>
      </c>
      <c r="CO28" s="39">
        <v>2537.4</v>
      </c>
      <c r="CP28" s="39">
        <v>2636.6</v>
      </c>
      <c r="CQ28" s="39">
        <v>2726.5</v>
      </c>
      <c r="CR28" s="39">
        <v>2803.4</v>
      </c>
      <c r="CS28" s="39">
        <v>2731.6</v>
      </c>
      <c r="CT28" s="39">
        <v>2818</v>
      </c>
      <c r="CU28" s="109">
        <v>2936.3</v>
      </c>
      <c r="CV28" s="40">
        <v>1989.1999999999998</v>
      </c>
      <c r="CW28" s="39">
        <v>1986.5</v>
      </c>
      <c r="CX28" s="39">
        <v>2029.5</v>
      </c>
      <c r="CY28" s="39">
        <v>2103.4</v>
      </c>
      <c r="CZ28" s="39">
        <v>2193</v>
      </c>
      <c r="DA28" s="39">
        <v>2296.8999999999996</v>
      </c>
      <c r="DB28" s="39">
        <v>2374.6</v>
      </c>
      <c r="DC28" s="39">
        <v>2454.1999999999998</v>
      </c>
      <c r="DD28" s="39">
        <v>2514.6</v>
      </c>
      <c r="DE28" s="39">
        <v>2558.1999999999998</v>
      </c>
      <c r="DF28" s="39">
        <v>2609.3000000000002</v>
      </c>
      <c r="DG28" s="39">
        <v>1950.8</v>
      </c>
      <c r="DH28" s="39">
        <f>1641.4+506.6</f>
        <v>2148</v>
      </c>
      <c r="DI28" s="39">
        <f>1931.6+563.3</f>
        <v>2494.8999999999996</v>
      </c>
      <c r="DJ28" s="40">
        <v>2479.6</v>
      </c>
      <c r="DK28" s="39">
        <v>2448.4</v>
      </c>
      <c r="DL28" s="39">
        <v>2404.9</v>
      </c>
      <c r="DM28" s="39">
        <v>2376.3000000000002</v>
      </c>
      <c r="DN28" s="39">
        <v>2374.3000000000002</v>
      </c>
      <c r="DO28" s="39">
        <v>2411</v>
      </c>
      <c r="DP28" s="39">
        <v>2463</v>
      </c>
      <c r="DQ28" s="39">
        <v>2514.6</v>
      </c>
      <c r="DR28" s="39">
        <v>2553.5</v>
      </c>
      <c r="DS28" s="39">
        <v>2587.4</v>
      </c>
      <c r="DT28" s="88">
        <v>2608</v>
      </c>
      <c r="DU28" s="88">
        <v>2487.1</v>
      </c>
      <c r="DV28" s="88">
        <v>2469.5</v>
      </c>
      <c r="DW28" s="88">
        <v>2529</v>
      </c>
    </row>
    <row r="29" spans="1:127" ht="14.45">
      <c r="A29" s="20" t="s">
        <v>37</v>
      </c>
      <c r="B29" s="39">
        <v>2245.6</v>
      </c>
      <c r="C29" s="39">
        <v>2222.3000000000002</v>
      </c>
      <c r="D29" s="39">
        <v>2258.6</v>
      </c>
      <c r="E29" s="39">
        <v>2313</v>
      </c>
      <c r="F29" s="39">
        <v>2381.9</v>
      </c>
      <c r="G29" s="39">
        <v>2460.8000000000002</v>
      </c>
      <c r="H29" s="39">
        <v>2541.9</v>
      </c>
      <c r="I29" s="39">
        <v>2598.3000000000002</v>
      </c>
      <c r="J29" s="39">
        <v>2658.6</v>
      </c>
      <c r="K29" s="39">
        <v>2725.3</v>
      </c>
      <c r="L29" s="88">
        <v>2785.6</v>
      </c>
      <c r="M29" s="88">
        <v>2644.6</v>
      </c>
      <c r="N29" s="88">
        <v>2750.9</v>
      </c>
      <c r="O29" s="88">
        <v>2862.3</v>
      </c>
      <c r="P29" s="40">
        <v>155.5</v>
      </c>
      <c r="Q29" s="39">
        <v>139.5</v>
      </c>
      <c r="R29" s="39">
        <v>140.4</v>
      </c>
      <c r="S29" s="39">
        <v>146.1</v>
      </c>
      <c r="T29" s="39">
        <v>158.1</v>
      </c>
      <c r="U29" s="39">
        <v>176.20000000000002</v>
      </c>
      <c r="V29" s="39">
        <v>179.5</v>
      </c>
      <c r="W29" s="39">
        <v>178.1</v>
      </c>
      <c r="X29" s="39">
        <v>189.29999999999998</v>
      </c>
      <c r="Y29" s="39">
        <v>200.60000000000002</v>
      </c>
      <c r="Z29" s="39">
        <v>207.70000000000002</v>
      </c>
      <c r="AA29" s="39">
        <v>196.4</v>
      </c>
      <c r="AB29" s="39">
        <f>19.8+177.5</f>
        <v>197.3</v>
      </c>
      <c r="AC29" s="39">
        <f>20.8+182.8</f>
        <v>203.60000000000002</v>
      </c>
      <c r="AD29" s="40">
        <v>128</v>
      </c>
      <c r="AE29" s="39">
        <v>124.2</v>
      </c>
      <c r="AF29" s="39">
        <v>128.1</v>
      </c>
      <c r="AG29" s="39">
        <v>130.9</v>
      </c>
      <c r="AH29" s="39">
        <v>132.80000000000001</v>
      </c>
      <c r="AI29" s="39">
        <v>136.6</v>
      </c>
      <c r="AJ29" s="39">
        <v>141</v>
      </c>
      <c r="AK29" s="39">
        <v>142.19999999999999</v>
      </c>
      <c r="AL29" s="39">
        <v>144</v>
      </c>
      <c r="AM29" s="39">
        <v>147.6</v>
      </c>
      <c r="AN29" s="39">
        <v>150.1</v>
      </c>
      <c r="AO29" s="39">
        <v>146.5</v>
      </c>
      <c r="AP29" s="109">
        <v>149.19999999999999</v>
      </c>
      <c r="AQ29" s="109">
        <v>153.30000000000001</v>
      </c>
      <c r="AR29" s="40">
        <v>403.8</v>
      </c>
      <c r="AS29" s="39">
        <v>397.6</v>
      </c>
      <c r="AT29" s="39">
        <v>401.7</v>
      </c>
      <c r="AU29" s="39">
        <v>409.7</v>
      </c>
      <c r="AV29" s="39">
        <v>420.2</v>
      </c>
      <c r="AW29" s="39">
        <v>431.8</v>
      </c>
      <c r="AX29" s="39">
        <v>446.2</v>
      </c>
      <c r="AY29" s="39">
        <v>454.4</v>
      </c>
      <c r="AZ29" s="39">
        <v>460.3</v>
      </c>
      <c r="BA29" s="39">
        <v>469.8</v>
      </c>
      <c r="BB29" s="39">
        <v>477.3</v>
      </c>
      <c r="BC29" s="39">
        <v>468.3</v>
      </c>
      <c r="BD29" s="109">
        <v>486.5</v>
      </c>
      <c r="BE29" s="109">
        <v>500.7</v>
      </c>
      <c r="BF29" s="40">
        <v>74.7</v>
      </c>
      <c r="BG29" s="39">
        <v>72</v>
      </c>
      <c r="BH29" s="39">
        <v>71.400000000000006</v>
      </c>
      <c r="BI29" s="39">
        <v>69.8</v>
      </c>
      <c r="BJ29" s="39">
        <v>69.8</v>
      </c>
      <c r="BK29" s="39">
        <v>69.900000000000006</v>
      </c>
      <c r="BL29" s="39">
        <v>70.7</v>
      </c>
      <c r="BM29" s="39">
        <v>71.7</v>
      </c>
      <c r="BN29" s="39">
        <v>71.7</v>
      </c>
      <c r="BO29" s="39">
        <v>74.900000000000006</v>
      </c>
      <c r="BP29" s="88">
        <v>76</v>
      </c>
      <c r="BQ29" s="39">
        <v>74.599999999999994</v>
      </c>
      <c r="BR29" s="109">
        <v>76.2</v>
      </c>
      <c r="BS29" s="109">
        <v>78.599999999999994</v>
      </c>
      <c r="BT29" s="40">
        <v>479.8</v>
      </c>
      <c r="BU29" s="39">
        <v>475.1</v>
      </c>
      <c r="BV29" s="39">
        <v>485.4</v>
      </c>
      <c r="BW29" s="39">
        <v>503.59999999999997</v>
      </c>
      <c r="BX29" s="39">
        <v>523.6</v>
      </c>
      <c r="BY29" s="39">
        <v>538.5</v>
      </c>
      <c r="BZ29" s="39">
        <v>557.4</v>
      </c>
      <c r="CA29" s="39">
        <v>569</v>
      </c>
      <c r="CB29" s="39">
        <v>580.70000000000005</v>
      </c>
      <c r="CC29" s="39">
        <v>596.1</v>
      </c>
      <c r="CD29" s="39">
        <v>613.9</v>
      </c>
      <c r="CE29">
        <v>602.9</v>
      </c>
      <c r="CF29" s="100">
        <f>178.2+453.8</f>
        <v>632</v>
      </c>
      <c r="CG29">
        <f>180.3+484</f>
        <v>664.3</v>
      </c>
      <c r="CH29" s="40">
        <v>257.2</v>
      </c>
      <c r="CI29" s="39">
        <v>264.7</v>
      </c>
      <c r="CJ29" s="39">
        <v>273.7</v>
      </c>
      <c r="CK29" s="39">
        <v>282.60000000000002</v>
      </c>
      <c r="CL29" s="39">
        <v>286.7</v>
      </c>
      <c r="CM29" s="39">
        <v>298.8</v>
      </c>
      <c r="CN29" s="39">
        <v>314.2</v>
      </c>
      <c r="CO29" s="39">
        <v>327.2</v>
      </c>
      <c r="CP29" s="39">
        <v>333.5</v>
      </c>
      <c r="CQ29" s="39">
        <v>340.6</v>
      </c>
      <c r="CR29" s="39">
        <v>347.6</v>
      </c>
      <c r="CS29" s="39">
        <v>337.3</v>
      </c>
      <c r="CT29" s="39">
        <v>347.8</v>
      </c>
      <c r="CU29" s="109">
        <v>352</v>
      </c>
      <c r="CV29" s="40">
        <v>356.09999999999997</v>
      </c>
      <c r="CW29" s="39">
        <v>355.4</v>
      </c>
      <c r="CX29" s="39">
        <v>365.09999999999997</v>
      </c>
      <c r="CY29" s="39">
        <v>375.7</v>
      </c>
      <c r="CZ29" s="39">
        <v>387.09999999999997</v>
      </c>
      <c r="DA29" s="39">
        <v>401.1</v>
      </c>
      <c r="DB29" s="39">
        <v>415.8</v>
      </c>
      <c r="DC29" s="39">
        <v>429.3</v>
      </c>
      <c r="DD29" s="39">
        <v>442.09999999999997</v>
      </c>
      <c r="DE29" s="39">
        <v>450.7</v>
      </c>
      <c r="DF29" s="39">
        <v>457.70000000000005</v>
      </c>
      <c r="DG29" s="39">
        <v>377.5</v>
      </c>
      <c r="DH29" s="39">
        <f>305.6+117.8</f>
        <v>423.40000000000003</v>
      </c>
      <c r="DI29" s="39">
        <f>338.6+123.2</f>
        <v>461.8</v>
      </c>
      <c r="DJ29" s="40">
        <v>390.5</v>
      </c>
      <c r="DK29" s="39">
        <v>393.8</v>
      </c>
      <c r="DL29" s="39">
        <v>392.9</v>
      </c>
      <c r="DM29" s="39">
        <v>394.8</v>
      </c>
      <c r="DN29" s="39">
        <v>403.7</v>
      </c>
      <c r="DO29" s="39">
        <v>408</v>
      </c>
      <c r="DP29" s="39">
        <v>417.1</v>
      </c>
      <c r="DQ29" s="39">
        <v>426.4</v>
      </c>
      <c r="DR29" s="39">
        <v>436.9</v>
      </c>
      <c r="DS29" s="39">
        <v>445</v>
      </c>
      <c r="DT29" s="88">
        <v>455.3</v>
      </c>
      <c r="DU29" s="88">
        <v>441</v>
      </c>
      <c r="DV29" s="88">
        <v>438.5</v>
      </c>
      <c r="DW29" s="88">
        <v>448</v>
      </c>
    </row>
    <row r="30" spans="1:127" ht="14.45">
      <c r="A30" s="20" t="s">
        <v>38</v>
      </c>
      <c r="B30" s="39">
        <v>591.5</v>
      </c>
      <c r="C30" s="39">
        <v>586.9</v>
      </c>
      <c r="D30" s="39">
        <v>593.4</v>
      </c>
      <c r="E30" s="39">
        <v>606.29999999999995</v>
      </c>
      <c r="F30" s="39">
        <v>618.6</v>
      </c>
      <c r="G30" s="39">
        <v>625.29999999999995</v>
      </c>
      <c r="H30" s="39">
        <v>638.6</v>
      </c>
      <c r="I30" s="39">
        <v>647.6</v>
      </c>
      <c r="J30" s="39">
        <v>652.70000000000005</v>
      </c>
      <c r="K30" s="39">
        <v>656.6</v>
      </c>
      <c r="L30" s="88">
        <v>655.7</v>
      </c>
      <c r="M30" s="88">
        <v>557.1</v>
      </c>
      <c r="N30" s="88">
        <v>586.9</v>
      </c>
      <c r="O30" s="88">
        <v>618.1</v>
      </c>
      <c r="P30" s="40">
        <v>31.4</v>
      </c>
      <c r="Q30" s="39">
        <v>28.9</v>
      </c>
      <c r="R30" s="39">
        <v>28.8</v>
      </c>
      <c r="S30" s="39">
        <v>29.4</v>
      </c>
      <c r="T30" s="39">
        <v>31</v>
      </c>
      <c r="U30" s="39">
        <v>31.6</v>
      </c>
      <c r="V30" s="39">
        <v>35</v>
      </c>
      <c r="W30" s="39">
        <v>37.799999999999997</v>
      </c>
      <c r="X30" s="39">
        <v>36.4</v>
      </c>
      <c r="Y30" s="39">
        <v>36.1</v>
      </c>
      <c r="Z30" s="39">
        <v>37.200000000000003</v>
      </c>
      <c r="AA30" s="39">
        <v>36</v>
      </c>
      <c r="AB30" s="39">
        <f>37.1</f>
        <v>37.1</v>
      </c>
      <c r="AC30" s="39">
        <f>37.3</f>
        <v>37.299999999999997</v>
      </c>
      <c r="AD30" s="40">
        <v>13.7</v>
      </c>
      <c r="AE30" s="39">
        <v>13</v>
      </c>
      <c r="AF30" s="39">
        <v>13.3</v>
      </c>
      <c r="AG30" s="39">
        <v>13.3</v>
      </c>
      <c r="AH30" s="39">
        <v>13.6</v>
      </c>
      <c r="AI30" s="39">
        <v>13.7</v>
      </c>
      <c r="AJ30" s="39">
        <v>14.1</v>
      </c>
      <c r="AK30" s="39">
        <v>14</v>
      </c>
      <c r="AL30" s="39">
        <v>14.2</v>
      </c>
      <c r="AM30" s="39">
        <v>14.2</v>
      </c>
      <c r="AN30" s="39">
        <v>14</v>
      </c>
      <c r="AO30" s="39">
        <v>11.9</v>
      </c>
      <c r="AP30" s="109">
        <v>12.1</v>
      </c>
      <c r="AQ30" s="109">
        <v>12.5</v>
      </c>
      <c r="AR30" s="40">
        <v>111</v>
      </c>
      <c r="AS30" s="39">
        <v>110.1</v>
      </c>
      <c r="AT30" s="39">
        <v>111.5</v>
      </c>
      <c r="AU30" s="39">
        <v>114.8</v>
      </c>
      <c r="AV30" s="39">
        <v>116.9</v>
      </c>
      <c r="AW30" s="39">
        <v>117.4</v>
      </c>
      <c r="AX30" s="39">
        <v>119.6</v>
      </c>
      <c r="AY30" s="39">
        <v>119.9</v>
      </c>
      <c r="AZ30" s="39">
        <v>121.3</v>
      </c>
      <c r="BA30" s="39">
        <v>122.6</v>
      </c>
      <c r="BB30" s="39">
        <v>123.5</v>
      </c>
      <c r="BC30" s="39">
        <v>104.5</v>
      </c>
      <c r="BD30" s="109">
        <v>109.5</v>
      </c>
      <c r="BE30" s="109">
        <v>115</v>
      </c>
      <c r="BF30" s="40">
        <v>9.1</v>
      </c>
      <c r="BG30" s="39">
        <v>9.8000000000000007</v>
      </c>
      <c r="BH30" s="39">
        <v>8.5</v>
      </c>
      <c r="BI30" s="39">
        <v>8.4</v>
      </c>
      <c r="BJ30" s="39">
        <v>8.8000000000000007</v>
      </c>
      <c r="BK30" s="39">
        <v>8.5</v>
      </c>
      <c r="BL30" s="39">
        <v>8.6999999999999993</v>
      </c>
      <c r="BM30" s="39">
        <v>8.8000000000000007</v>
      </c>
      <c r="BN30" s="39">
        <v>9.1999999999999993</v>
      </c>
      <c r="BO30" s="39">
        <v>9.1</v>
      </c>
      <c r="BP30" s="88">
        <v>8.6999999999999993</v>
      </c>
      <c r="BQ30" s="39">
        <v>7.2</v>
      </c>
      <c r="BR30" s="109">
        <v>7.9</v>
      </c>
      <c r="BS30" s="109">
        <v>8.5</v>
      </c>
      <c r="BT30" s="40">
        <v>99.100000000000009</v>
      </c>
      <c r="BU30" s="39">
        <v>98.5</v>
      </c>
      <c r="BV30" s="39">
        <v>101.9</v>
      </c>
      <c r="BW30" s="39">
        <v>103.8</v>
      </c>
      <c r="BX30" s="39">
        <v>107.10000000000001</v>
      </c>
      <c r="BY30" s="39">
        <v>109.69999999999999</v>
      </c>
      <c r="BZ30" s="39">
        <v>111.6</v>
      </c>
      <c r="CA30" s="39">
        <v>112</v>
      </c>
      <c r="CB30" s="39">
        <v>110.5</v>
      </c>
      <c r="CC30" s="39">
        <v>111.3</v>
      </c>
      <c r="CD30" s="39">
        <v>104</v>
      </c>
      <c r="CE30">
        <v>93.399999999999991</v>
      </c>
      <c r="CF30">
        <f>27.3+68.5</f>
        <v>95.8</v>
      </c>
      <c r="CG30">
        <f>27.8+71.3</f>
        <v>99.1</v>
      </c>
      <c r="CH30" s="40">
        <v>74.599999999999994</v>
      </c>
      <c r="CI30" s="39">
        <v>75.3</v>
      </c>
      <c r="CJ30" s="39">
        <v>75.900000000000006</v>
      </c>
      <c r="CK30" s="39">
        <v>77.099999999999994</v>
      </c>
      <c r="CL30" s="39">
        <v>78.900000000000006</v>
      </c>
      <c r="CM30" s="39">
        <v>79</v>
      </c>
      <c r="CN30" s="39">
        <v>81.7</v>
      </c>
      <c r="CO30" s="39">
        <v>83.4</v>
      </c>
      <c r="CP30" s="39">
        <v>84.3</v>
      </c>
      <c r="CQ30" s="39">
        <v>85.8</v>
      </c>
      <c r="CR30" s="39">
        <v>87.2</v>
      </c>
      <c r="CS30" s="39">
        <v>82.3</v>
      </c>
      <c r="CT30" s="39">
        <v>84.9</v>
      </c>
      <c r="CU30" s="109">
        <v>86.3</v>
      </c>
      <c r="CV30" s="40">
        <v>126.9</v>
      </c>
      <c r="CW30" s="39">
        <v>126.1</v>
      </c>
      <c r="CX30" s="39">
        <v>129</v>
      </c>
      <c r="CY30" s="39">
        <v>133.80000000000001</v>
      </c>
      <c r="CZ30" s="39">
        <v>137.80000000000001</v>
      </c>
      <c r="DA30" s="39">
        <v>139.80000000000001</v>
      </c>
      <c r="DB30" s="39">
        <v>141.5</v>
      </c>
      <c r="DC30" s="39">
        <v>145.4</v>
      </c>
      <c r="DD30" s="39">
        <v>151.1</v>
      </c>
      <c r="DE30" s="39">
        <v>151.9</v>
      </c>
      <c r="DF30" s="39">
        <v>154.80000000000001</v>
      </c>
      <c r="DG30" s="39">
        <v>101.2</v>
      </c>
      <c r="DH30" s="39">
        <f>95+24.4</f>
        <v>119.4</v>
      </c>
      <c r="DI30" s="39">
        <f>112.4+26.2</f>
        <v>138.6</v>
      </c>
      <c r="DJ30" s="40">
        <v>125.7</v>
      </c>
      <c r="DK30" s="39">
        <v>125.2</v>
      </c>
      <c r="DL30" s="39">
        <v>124.6</v>
      </c>
      <c r="DM30" s="39">
        <v>125.5</v>
      </c>
      <c r="DN30" s="39">
        <v>124.5</v>
      </c>
      <c r="DO30" s="39">
        <v>125.6</v>
      </c>
      <c r="DP30" s="39">
        <v>126.4</v>
      </c>
      <c r="DQ30" s="39">
        <v>126.3</v>
      </c>
      <c r="DR30" s="39">
        <v>125.6</v>
      </c>
      <c r="DS30" s="39">
        <v>125.6</v>
      </c>
      <c r="DT30" s="88">
        <v>126.3</v>
      </c>
      <c r="DU30" s="88">
        <v>120.8</v>
      </c>
      <c r="DV30" s="88">
        <v>120.2</v>
      </c>
      <c r="DW30" s="88" t="s">
        <v>92</v>
      </c>
    </row>
    <row r="31" spans="1:127" ht="14.45">
      <c r="A31" s="20" t="s">
        <v>39</v>
      </c>
      <c r="B31" s="39">
        <v>609.9</v>
      </c>
      <c r="C31" s="39">
        <v>603.6</v>
      </c>
      <c r="D31" s="39">
        <v>610.79999999999995</v>
      </c>
      <c r="E31" s="39">
        <v>622.29999999999995</v>
      </c>
      <c r="F31" s="39">
        <v>637.9</v>
      </c>
      <c r="G31" s="39">
        <v>655.1</v>
      </c>
      <c r="H31" s="39">
        <v>672.4</v>
      </c>
      <c r="I31" s="39">
        <v>696.2</v>
      </c>
      <c r="J31" s="39">
        <v>716.6</v>
      </c>
      <c r="K31" s="39">
        <v>737.3</v>
      </c>
      <c r="L31" s="88">
        <v>759.2</v>
      </c>
      <c r="M31" s="88">
        <v>755.1</v>
      </c>
      <c r="N31" s="88">
        <v>796.9</v>
      </c>
      <c r="O31" s="88">
        <v>827.1</v>
      </c>
      <c r="P31" s="40">
        <v>37.5</v>
      </c>
      <c r="Q31" s="39">
        <v>34.799999999999997</v>
      </c>
      <c r="R31" s="39">
        <v>34.299999999999997</v>
      </c>
      <c r="S31" s="39">
        <v>35.4</v>
      </c>
      <c r="T31" s="39">
        <v>37.6</v>
      </c>
      <c r="U31" s="39">
        <v>39.799999999999997</v>
      </c>
      <c r="V31" s="39">
        <v>42</v>
      </c>
      <c r="W31" s="39">
        <v>45.5</v>
      </c>
      <c r="X31" s="39">
        <v>48.7</v>
      </c>
      <c r="Y31" s="39">
        <v>52.6</v>
      </c>
      <c r="Z31" s="39">
        <v>56.5</v>
      </c>
      <c r="AA31" s="39">
        <v>59.5</v>
      </c>
      <c r="AB31" s="39">
        <f>4.1+60.7</f>
        <v>64.8</v>
      </c>
      <c r="AC31" s="39">
        <f>4.1+66</f>
        <v>70.099999999999994</v>
      </c>
      <c r="AD31" s="40">
        <v>54.8</v>
      </c>
      <c r="AE31" s="39">
        <v>53.2</v>
      </c>
      <c r="AF31" s="39">
        <v>54.8</v>
      </c>
      <c r="AG31" s="39">
        <v>57</v>
      </c>
      <c r="AH31" s="39">
        <v>59.6</v>
      </c>
      <c r="AI31" s="39">
        <v>60</v>
      </c>
      <c r="AJ31" s="39">
        <v>62.2</v>
      </c>
      <c r="AK31" s="39">
        <v>64.7</v>
      </c>
      <c r="AL31" s="39">
        <v>66.900000000000006</v>
      </c>
      <c r="AM31" s="39">
        <v>68.2</v>
      </c>
      <c r="AN31" s="39">
        <v>68.599999999999994</v>
      </c>
      <c r="AO31" s="39">
        <v>68.2</v>
      </c>
      <c r="AP31" s="109">
        <v>71.5</v>
      </c>
      <c r="AQ31" s="109">
        <v>73.099999999999994</v>
      </c>
      <c r="AR31" s="40">
        <v>122.9</v>
      </c>
      <c r="AS31" s="39">
        <v>121.5</v>
      </c>
      <c r="AT31" s="39">
        <v>123.1</v>
      </c>
      <c r="AU31" s="39">
        <v>126.5</v>
      </c>
      <c r="AV31" s="39">
        <v>128.9</v>
      </c>
      <c r="AW31" s="39">
        <v>132</v>
      </c>
      <c r="AX31" s="39">
        <v>135.1</v>
      </c>
      <c r="AY31" s="39">
        <v>137.69999999999999</v>
      </c>
      <c r="AZ31" s="39">
        <v>140</v>
      </c>
      <c r="BA31" s="39">
        <v>142.5</v>
      </c>
      <c r="BB31" s="39">
        <v>144.6</v>
      </c>
      <c r="BC31" s="39">
        <v>146.4</v>
      </c>
      <c r="BD31" s="109">
        <v>157.19999999999999</v>
      </c>
      <c r="BE31" s="109">
        <v>161.30000000000001</v>
      </c>
      <c r="BF31" s="40">
        <v>10</v>
      </c>
      <c r="BG31" s="39">
        <v>9.6</v>
      </c>
      <c r="BH31" s="39">
        <v>9.5</v>
      </c>
      <c r="BI31" s="39">
        <v>9.4</v>
      </c>
      <c r="BJ31" s="39">
        <v>9.3000000000000007</v>
      </c>
      <c r="BK31" s="39">
        <v>9.3000000000000007</v>
      </c>
      <c r="BL31" s="39">
        <v>9.3000000000000007</v>
      </c>
      <c r="BM31" s="39">
        <v>9</v>
      </c>
      <c r="BN31" s="39">
        <v>9</v>
      </c>
      <c r="BO31" s="39">
        <v>8.9</v>
      </c>
      <c r="BP31" s="88">
        <v>9</v>
      </c>
      <c r="BQ31" s="39">
        <v>7.4</v>
      </c>
      <c r="BR31" s="109">
        <v>8.1999999999999993</v>
      </c>
      <c r="BS31" s="109">
        <v>9.1</v>
      </c>
      <c r="BT31" s="40">
        <v>104.30000000000001</v>
      </c>
      <c r="BU31" s="39">
        <v>103.2</v>
      </c>
      <c r="BV31" s="39">
        <v>105.1</v>
      </c>
      <c r="BW31" s="39">
        <v>105.8</v>
      </c>
      <c r="BX31" s="39">
        <v>108.7</v>
      </c>
      <c r="BY31" s="39">
        <v>112.4</v>
      </c>
      <c r="BZ31" s="39">
        <v>115.2</v>
      </c>
      <c r="CA31" s="39">
        <v>120.4</v>
      </c>
      <c r="CB31" s="39">
        <v>125.5</v>
      </c>
      <c r="CC31" s="39">
        <v>130.6</v>
      </c>
      <c r="CD31" s="39">
        <v>133.39999999999998</v>
      </c>
      <c r="CE31">
        <v>136.5</v>
      </c>
      <c r="CF31" s="100">
        <f>39.4+103.6</f>
        <v>143</v>
      </c>
      <c r="CG31">
        <f>41.1+107.6</f>
        <v>148.69999999999999</v>
      </c>
      <c r="CH31" s="40">
        <v>81</v>
      </c>
      <c r="CI31" s="39">
        <v>83.8</v>
      </c>
      <c r="CJ31" s="39">
        <v>86.5</v>
      </c>
      <c r="CK31" s="39">
        <v>88.4</v>
      </c>
      <c r="CL31" s="39">
        <v>91</v>
      </c>
      <c r="CM31" s="39">
        <v>94</v>
      </c>
      <c r="CN31" s="39">
        <v>97.5</v>
      </c>
      <c r="CO31" s="39">
        <v>101</v>
      </c>
      <c r="CP31" s="39">
        <v>102.9</v>
      </c>
      <c r="CQ31" s="39">
        <v>105.6</v>
      </c>
      <c r="CR31" s="39">
        <v>110.7</v>
      </c>
      <c r="CS31" s="39">
        <v>111.5</v>
      </c>
      <c r="CT31" s="39">
        <v>117.3</v>
      </c>
      <c r="CU31" s="109">
        <v>121.4</v>
      </c>
      <c r="CV31" s="40">
        <v>79.900000000000006</v>
      </c>
      <c r="CW31" s="39">
        <v>79.099999999999994</v>
      </c>
      <c r="CX31" s="39">
        <v>80.5</v>
      </c>
      <c r="CY31" s="39">
        <v>82.7</v>
      </c>
      <c r="CZ31" s="39">
        <v>85.5</v>
      </c>
      <c r="DA31" s="39">
        <v>88.9</v>
      </c>
      <c r="DB31" s="39">
        <v>91.800000000000011</v>
      </c>
      <c r="DC31" s="39">
        <v>96.5</v>
      </c>
      <c r="DD31" s="39">
        <v>100.4</v>
      </c>
      <c r="DE31" s="39">
        <v>104</v>
      </c>
      <c r="DF31" s="39">
        <v>109.4</v>
      </c>
      <c r="DG31" s="39">
        <v>101.3</v>
      </c>
      <c r="DH31" s="39">
        <f>84.1+26.4</f>
        <v>110.5</v>
      </c>
      <c r="DI31" s="39">
        <f>89.1+27.5</f>
        <v>116.6</v>
      </c>
      <c r="DJ31" s="40">
        <v>119.5</v>
      </c>
      <c r="DK31" s="39">
        <v>118.6</v>
      </c>
      <c r="DL31" s="39">
        <v>117.2</v>
      </c>
      <c r="DM31" s="39">
        <v>117.3</v>
      </c>
      <c r="DN31" s="39">
        <v>117.4</v>
      </c>
      <c r="DO31" s="39">
        <v>118.7</v>
      </c>
      <c r="DP31" s="39">
        <v>119.2</v>
      </c>
      <c r="DQ31" s="39">
        <v>121.5</v>
      </c>
      <c r="DR31" s="39">
        <v>123.3</v>
      </c>
      <c r="DS31" s="39">
        <v>124.9</v>
      </c>
      <c r="DT31" s="88">
        <v>127.1</v>
      </c>
      <c r="DU31" s="88">
        <v>124.3</v>
      </c>
      <c r="DV31" s="88">
        <v>124.5</v>
      </c>
      <c r="DW31" s="88">
        <v>126.7</v>
      </c>
    </row>
    <row r="32" spans="1:127" ht="13.5" customHeight="1">
      <c r="A32" s="20" t="s">
        <v>40</v>
      </c>
      <c r="B32" s="39">
        <v>428.9</v>
      </c>
      <c r="C32" s="39">
        <v>428.1</v>
      </c>
      <c r="D32" s="39">
        <v>431.1</v>
      </c>
      <c r="E32" s="39">
        <v>440.3</v>
      </c>
      <c r="F32" s="39">
        <v>449.3</v>
      </c>
      <c r="G32" s="39">
        <v>453.8</v>
      </c>
      <c r="H32" s="39">
        <v>461.6</v>
      </c>
      <c r="I32" s="39">
        <v>467.7</v>
      </c>
      <c r="J32" s="39">
        <v>472.2</v>
      </c>
      <c r="K32" s="39">
        <v>477.6</v>
      </c>
      <c r="L32" s="88">
        <v>483.8</v>
      </c>
      <c r="M32" s="88">
        <v>469.5</v>
      </c>
      <c r="N32" s="88">
        <v>492.1</v>
      </c>
      <c r="O32" s="88">
        <v>509.6</v>
      </c>
      <c r="P32" s="40">
        <v>31.1</v>
      </c>
      <c r="Q32" s="39">
        <v>30</v>
      </c>
      <c r="R32" s="39">
        <v>30.9</v>
      </c>
      <c r="S32" s="39">
        <v>32.400000000000006</v>
      </c>
      <c r="T32" s="39">
        <v>33.5</v>
      </c>
      <c r="U32" s="39">
        <v>33.9</v>
      </c>
      <c r="V32" s="39">
        <v>34.700000000000003</v>
      </c>
      <c r="W32" s="39">
        <v>34.200000000000003</v>
      </c>
      <c r="X32" s="39">
        <v>34.6</v>
      </c>
      <c r="Y32" s="39">
        <v>35.800000000000004</v>
      </c>
      <c r="Z32" s="39">
        <v>37.4</v>
      </c>
      <c r="AA32" s="39">
        <v>37.300000000000004</v>
      </c>
      <c r="AB32" s="39">
        <f>6.7+33.1</f>
        <v>39.800000000000004</v>
      </c>
      <c r="AC32" s="39">
        <f>6.7+36.3</f>
        <v>43</v>
      </c>
      <c r="AD32" s="40">
        <v>17.399999999999999</v>
      </c>
      <c r="AE32" s="39">
        <v>16.5</v>
      </c>
      <c r="AF32" s="39">
        <v>16.8</v>
      </c>
      <c r="AG32" s="39">
        <v>17.600000000000001</v>
      </c>
      <c r="AH32" s="39">
        <v>18.399999999999999</v>
      </c>
      <c r="AI32" s="39">
        <v>18.899999999999999</v>
      </c>
      <c r="AJ32" s="39">
        <v>19.100000000000001</v>
      </c>
      <c r="AK32" s="39">
        <v>19.5</v>
      </c>
      <c r="AL32" s="39">
        <v>19.899999999999999</v>
      </c>
      <c r="AM32" s="39">
        <v>20.5</v>
      </c>
      <c r="AN32" s="39">
        <v>20.9</v>
      </c>
      <c r="AO32" s="39">
        <v>20.399999999999999</v>
      </c>
      <c r="AP32" s="109">
        <v>21.3</v>
      </c>
      <c r="AQ32" s="109">
        <v>22.2</v>
      </c>
      <c r="AR32" s="40">
        <v>87</v>
      </c>
      <c r="AS32" s="39">
        <v>85.8</v>
      </c>
      <c r="AT32" s="39">
        <v>86.4</v>
      </c>
      <c r="AU32" s="39">
        <v>88.8</v>
      </c>
      <c r="AV32" s="39">
        <v>91.3</v>
      </c>
      <c r="AW32" s="39">
        <v>92.9</v>
      </c>
      <c r="AX32" s="39">
        <v>94.6</v>
      </c>
      <c r="AY32" s="39">
        <v>95.2</v>
      </c>
      <c r="AZ32" s="39">
        <v>94.5</v>
      </c>
      <c r="BA32" s="39">
        <v>94.8</v>
      </c>
      <c r="BB32" s="39">
        <v>94.4</v>
      </c>
      <c r="BC32" s="39">
        <v>92.3</v>
      </c>
      <c r="BD32" s="109">
        <v>96.6</v>
      </c>
      <c r="BE32" s="109">
        <v>99.6</v>
      </c>
      <c r="BF32" s="40">
        <v>7.4</v>
      </c>
      <c r="BG32" s="39">
        <v>7.3</v>
      </c>
      <c r="BH32" s="39">
        <v>7.2</v>
      </c>
      <c r="BI32" s="39">
        <v>6.9</v>
      </c>
      <c r="BJ32" s="39">
        <v>6.8</v>
      </c>
      <c r="BK32" s="39">
        <v>6.5</v>
      </c>
      <c r="BL32" s="39">
        <v>6.4</v>
      </c>
      <c r="BM32" s="39">
        <v>6.4</v>
      </c>
      <c r="BN32" s="39">
        <v>6.4</v>
      </c>
      <c r="BO32" s="39">
        <v>6.3</v>
      </c>
      <c r="BP32" s="88">
        <v>6.2</v>
      </c>
      <c r="BQ32" s="39">
        <v>5.8</v>
      </c>
      <c r="BR32" s="109">
        <v>5.7</v>
      </c>
      <c r="BS32" s="109">
        <v>5.8</v>
      </c>
      <c r="BT32" s="40">
        <v>60.2</v>
      </c>
      <c r="BU32" s="39">
        <v>60.5</v>
      </c>
      <c r="BV32" s="39">
        <v>61.5</v>
      </c>
      <c r="BW32" s="39">
        <v>62</v>
      </c>
      <c r="BX32" s="39">
        <v>62.8</v>
      </c>
      <c r="BY32" s="39">
        <v>64.5</v>
      </c>
      <c r="BZ32" s="39">
        <v>64</v>
      </c>
      <c r="CA32" s="39">
        <v>64.5</v>
      </c>
      <c r="CB32" s="39">
        <v>65.5</v>
      </c>
      <c r="CC32" s="39">
        <v>67.599999999999994</v>
      </c>
      <c r="CD32" s="39">
        <v>69.3</v>
      </c>
      <c r="CE32">
        <v>69.8</v>
      </c>
      <c r="CF32">
        <f>27.2+46.9</f>
        <v>74.099999999999994</v>
      </c>
      <c r="CG32">
        <f>28.4+50</f>
        <v>78.400000000000006</v>
      </c>
      <c r="CH32" s="40">
        <v>62.5</v>
      </c>
      <c r="CI32" s="39">
        <v>63.8</v>
      </c>
      <c r="CJ32" s="39">
        <v>65</v>
      </c>
      <c r="CK32" s="39">
        <v>67.599999999999994</v>
      </c>
      <c r="CL32" s="39">
        <v>69.099999999999994</v>
      </c>
      <c r="CM32" s="39">
        <v>70</v>
      </c>
      <c r="CN32" s="39">
        <v>71.7</v>
      </c>
      <c r="CO32" s="39">
        <v>74.099999999999994</v>
      </c>
      <c r="CP32" s="39">
        <v>76.5</v>
      </c>
      <c r="CQ32" s="39">
        <v>77.2</v>
      </c>
      <c r="CR32" s="39">
        <v>78.900000000000006</v>
      </c>
      <c r="CS32" s="39">
        <v>77.8</v>
      </c>
      <c r="CT32" s="39">
        <v>79.900000000000006</v>
      </c>
      <c r="CU32" s="109">
        <v>81</v>
      </c>
      <c r="CV32" s="40">
        <v>73.8</v>
      </c>
      <c r="CW32" s="39">
        <v>72.400000000000006</v>
      </c>
      <c r="CX32" s="39">
        <v>73.3</v>
      </c>
      <c r="CY32" s="39">
        <v>75.400000000000006</v>
      </c>
      <c r="CZ32" s="39">
        <v>77.599999999999994</v>
      </c>
      <c r="DA32" s="39">
        <v>78</v>
      </c>
      <c r="DB32" s="39">
        <v>80.7</v>
      </c>
      <c r="DC32" s="39">
        <v>82.600000000000009</v>
      </c>
      <c r="DD32" s="39">
        <v>83.7</v>
      </c>
      <c r="DE32" s="39">
        <v>84.9</v>
      </c>
      <c r="DF32" s="39">
        <v>85.9</v>
      </c>
      <c r="DG32" s="39">
        <v>77</v>
      </c>
      <c r="DH32" s="39">
        <f>66.1+18.5</f>
        <v>84.6</v>
      </c>
      <c r="DI32" s="39">
        <f>70.2+19.3</f>
        <v>89.5</v>
      </c>
      <c r="DJ32" s="40">
        <v>89.7</v>
      </c>
      <c r="DK32" s="39">
        <v>92</v>
      </c>
      <c r="DL32" s="39">
        <v>90.2</v>
      </c>
      <c r="DM32" s="39">
        <v>89.6</v>
      </c>
      <c r="DN32" s="39">
        <v>89.7</v>
      </c>
      <c r="DO32" s="39">
        <v>89.2</v>
      </c>
      <c r="DP32" s="39">
        <v>90.4</v>
      </c>
      <c r="DQ32" s="39">
        <v>91.3</v>
      </c>
      <c r="DR32" s="39">
        <v>91.2</v>
      </c>
      <c r="DS32" s="39">
        <v>90.4</v>
      </c>
      <c r="DT32" s="88">
        <v>90.8</v>
      </c>
      <c r="DU32" s="88">
        <v>89.1</v>
      </c>
      <c r="DV32" s="88">
        <v>90.2</v>
      </c>
      <c r="DW32" s="88">
        <v>90</v>
      </c>
    </row>
    <row r="33" spans="1:127" ht="13.5" customHeight="1">
      <c r="A33" s="20" t="s">
        <v>41</v>
      </c>
      <c r="B33" s="39">
        <v>1148.3</v>
      </c>
      <c r="C33" s="39">
        <v>1117.8</v>
      </c>
      <c r="D33" s="39">
        <v>1125.7</v>
      </c>
      <c r="E33" s="39">
        <v>1144.8</v>
      </c>
      <c r="F33" s="39">
        <v>1174.3</v>
      </c>
      <c r="G33" s="39">
        <v>1215.3</v>
      </c>
      <c r="H33" s="39">
        <v>1258.9000000000001</v>
      </c>
      <c r="I33" s="39">
        <v>1299.9000000000001</v>
      </c>
      <c r="J33" s="39">
        <v>1341</v>
      </c>
      <c r="K33" s="39">
        <v>1386.5</v>
      </c>
      <c r="L33" s="88">
        <v>1417.8</v>
      </c>
      <c r="M33" s="88">
        <v>1274.4000000000001</v>
      </c>
      <c r="N33" s="88">
        <v>1374.2</v>
      </c>
      <c r="O33" s="88">
        <v>1490.6</v>
      </c>
      <c r="P33" s="40">
        <v>92.9</v>
      </c>
      <c r="Q33" s="39">
        <v>71.5</v>
      </c>
      <c r="R33" s="39">
        <v>66.2</v>
      </c>
      <c r="S33" s="39">
        <v>67.5</v>
      </c>
      <c r="T33" s="39">
        <v>72</v>
      </c>
      <c r="U33" s="39">
        <v>77.2</v>
      </c>
      <c r="V33" s="39">
        <v>84.4</v>
      </c>
      <c r="W33" s="39">
        <v>90</v>
      </c>
      <c r="X33" s="39">
        <v>97.600000000000009</v>
      </c>
      <c r="Y33" s="39">
        <v>104.2</v>
      </c>
      <c r="Z33" s="39">
        <v>110.9</v>
      </c>
      <c r="AA33" s="39">
        <v>108.60000000000001</v>
      </c>
      <c r="AB33" s="39">
        <f>15+98.3</f>
        <v>113.3</v>
      </c>
      <c r="AC33" s="39">
        <f>15.1+106.7</f>
        <v>121.8</v>
      </c>
      <c r="AD33" s="40">
        <v>40.200000000000003</v>
      </c>
      <c r="AE33" s="39">
        <v>37.9</v>
      </c>
      <c r="AF33" s="39">
        <v>38.299999999999997</v>
      </c>
      <c r="AG33" s="39">
        <v>39.200000000000003</v>
      </c>
      <c r="AH33" s="39">
        <v>40.5</v>
      </c>
      <c r="AI33" s="39">
        <v>41.6</v>
      </c>
      <c r="AJ33" s="39">
        <v>42.1</v>
      </c>
      <c r="AK33" s="39">
        <v>43.6</v>
      </c>
      <c r="AL33" s="39">
        <v>47.8</v>
      </c>
      <c r="AM33" s="39">
        <v>55.5</v>
      </c>
      <c r="AN33" s="39">
        <v>59.4</v>
      </c>
      <c r="AO33" s="39">
        <v>56.1</v>
      </c>
      <c r="AP33" s="109">
        <v>61</v>
      </c>
      <c r="AQ33" s="109">
        <v>65.900000000000006</v>
      </c>
      <c r="AR33" s="40">
        <v>213.6</v>
      </c>
      <c r="AS33" s="39">
        <v>210.1</v>
      </c>
      <c r="AT33" s="39">
        <v>212.7</v>
      </c>
      <c r="AU33" s="39">
        <v>218</v>
      </c>
      <c r="AV33" s="39">
        <v>222.1</v>
      </c>
      <c r="AW33" s="39">
        <v>230.2</v>
      </c>
      <c r="AX33" s="39">
        <v>238.4</v>
      </c>
      <c r="AY33" s="39">
        <v>241.8</v>
      </c>
      <c r="AZ33" s="39">
        <v>249.2</v>
      </c>
      <c r="BA33" s="39">
        <v>255.5</v>
      </c>
      <c r="BB33" s="39">
        <v>261.2</v>
      </c>
      <c r="BC33" s="39">
        <v>256</v>
      </c>
      <c r="BD33" s="109">
        <v>276.39999999999998</v>
      </c>
      <c r="BE33" s="109">
        <v>292.10000000000002</v>
      </c>
      <c r="BF33" s="40">
        <v>13.1</v>
      </c>
      <c r="BG33" s="39">
        <v>12.5</v>
      </c>
      <c r="BH33" s="39">
        <v>12.6</v>
      </c>
      <c r="BI33" s="39">
        <v>12.7</v>
      </c>
      <c r="BJ33" s="39">
        <v>12.9</v>
      </c>
      <c r="BK33" s="39">
        <v>13.6</v>
      </c>
      <c r="BL33" s="39">
        <v>13.9</v>
      </c>
      <c r="BM33" s="39">
        <v>14.4</v>
      </c>
      <c r="BN33" s="39">
        <v>14.7</v>
      </c>
      <c r="BO33" s="39">
        <v>15.6</v>
      </c>
      <c r="BP33" s="88">
        <v>15.8</v>
      </c>
      <c r="BQ33" s="39">
        <v>13.5</v>
      </c>
      <c r="BR33" s="109">
        <v>15.5</v>
      </c>
      <c r="BS33" s="109">
        <v>17.899999999999999</v>
      </c>
      <c r="BT33" s="40">
        <v>190.7</v>
      </c>
      <c r="BU33" s="39">
        <v>188.6</v>
      </c>
      <c r="BV33" s="39">
        <v>192.2</v>
      </c>
      <c r="BW33" s="39">
        <v>199.1</v>
      </c>
      <c r="BX33" s="39">
        <v>206.7</v>
      </c>
      <c r="BY33" s="39">
        <v>212.89999999999998</v>
      </c>
      <c r="BZ33" s="39">
        <v>226.9</v>
      </c>
      <c r="CA33" s="39">
        <v>239.3</v>
      </c>
      <c r="CB33" s="39">
        <v>246.4</v>
      </c>
      <c r="CC33" s="39">
        <v>258.8</v>
      </c>
      <c r="CD33" s="39">
        <v>264.5</v>
      </c>
      <c r="CE33">
        <v>246.7</v>
      </c>
      <c r="CF33">
        <f>71.1+191.5</f>
        <v>262.60000000000002</v>
      </c>
      <c r="CG33">
        <f>76.1+211.4</f>
        <v>287.5</v>
      </c>
      <c r="CH33" s="40">
        <v>98.5</v>
      </c>
      <c r="CI33" s="39">
        <v>101.5</v>
      </c>
      <c r="CJ33" s="39">
        <v>105.4</v>
      </c>
      <c r="CK33" s="39">
        <v>108.5</v>
      </c>
      <c r="CL33" s="39">
        <v>111.6</v>
      </c>
      <c r="CM33" s="39">
        <v>116.2</v>
      </c>
      <c r="CN33" s="39">
        <v>120.9</v>
      </c>
      <c r="CO33" s="39">
        <v>127.5</v>
      </c>
      <c r="CP33" s="39">
        <v>133.4</v>
      </c>
      <c r="CQ33" s="39">
        <v>140.6</v>
      </c>
      <c r="CR33" s="39">
        <v>144</v>
      </c>
      <c r="CS33" s="39">
        <v>141.19999999999999</v>
      </c>
      <c r="CT33" s="39">
        <v>150</v>
      </c>
      <c r="CU33" s="109">
        <v>158.19999999999999</v>
      </c>
      <c r="CV33" s="40">
        <v>341.8</v>
      </c>
      <c r="CW33" s="39">
        <v>341.9</v>
      </c>
      <c r="CX33" s="39">
        <v>348</v>
      </c>
      <c r="CY33" s="39">
        <v>350.5</v>
      </c>
      <c r="CZ33" s="39">
        <v>357.4</v>
      </c>
      <c r="DA33" s="39">
        <v>371.5</v>
      </c>
      <c r="DB33" s="39">
        <v>377.5</v>
      </c>
      <c r="DC33" s="39">
        <v>385.8</v>
      </c>
      <c r="DD33" s="39">
        <v>390.6</v>
      </c>
      <c r="DE33" s="39">
        <v>395.4</v>
      </c>
      <c r="DF33" s="39">
        <v>396.8</v>
      </c>
      <c r="DG33" s="39">
        <v>292.7</v>
      </c>
      <c r="DH33" s="39">
        <f>295.2+39.3</f>
        <v>334.5</v>
      </c>
      <c r="DI33" s="39">
        <f>338.9+42.4</f>
        <v>381.29999999999995</v>
      </c>
      <c r="DJ33" s="40">
        <v>157.4</v>
      </c>
      <c r="DK33" s="39">
        <v>153.80000000000001</v>
      </c>
      <c r="DL33" s="39">
        <v>150.30000000000001</v>
      </c>
      <c r="DM33" s="39">
        <v>149.4</v>
      </c>
      <c r="DN33" s="39">
        <v>151</v>
      </c>
      <c r="DO33" s="39">
        <v>152.30000000000001</v>
      </c>
      <c r="DP33" s="39">
        <v>154.69999999999999</v>
      </c>
      <c r="DQ33" s="39">
        <v>157.5</v>
      </c>
      <c r="DR33" s="39">
        <v>161.4</v>
      </c>
      <c r="DS33" s="39">
        <v>161</v>
      </c>
      <c r="DT33" s="88">
        <v>165.2</v>
      </c>
      <c r="DU33" s="88">
        <v>159.6</v>
      </c>
      <c r="DV33" s="88">
        <v>160.9</v>
      </c>
      <c r="DW33" s="88">
        <v>166.1</v>
      </c>
    </row>
    <row r="34" spans="1:127" ht="13.5" customHeight="1">
      <c r="A34" s="20" t="s">
        <v>42</v>
      </c>
      <c r="B34" s="39">
        <v>812.4</v>
      </c>
      <c r="C34" s="39">
        <v>803.4</v>
      </c>
      <c r="D34" s="39">
        <v>803.5</v>
      </c>
      <c r="E34" s="39">
        <v>806.7</v>
      </c>
      <c r="F34" s="39">
        <v>813.4</v>
      </c>
      <c r="G34" s="39">
        <v>820.2</v>
      </c>
      <c r="H34" s="39">
        <v>828</v>
      </c>
      <c r="I34" s="39">
        <v>830.6</v>
      </c>
      <c r="J34" s="39">
        <v>830.5</v>
      </c>
      <c r="K34" s="39">
        <v>842.2</v>
      </c>
      <c r="L34" s="88">
        <v>856.9</v>
      </c>
      <c r="M34" s="88">
        <v>797.3</v>
      </c>
      <c r="N34" s="88">
        <v>815.4</v>
      </c>
      <c r="O34" s="88">
        <v>846.9</v>
      </c>
      <c r="P34" s="40">
        <v>65.599999999999994</v>
      </c>
      <c r="Q34" s="39">
        <v>62.1</v>
      </c>
      <c r="R34" s="39">
        <v>63.7</v>
      </c>
      <c r="S34" s="39">
        <v>65.3</v>
      </c>
      <c r="T34" s="39">
        <v>68.300000000000011</v>
      </c>
      <c r="U34" s="39">
        <v>70.400000000000006</v>
      </c>
      <c r="V34" s="39">
        <v>69.099999999999994</v>
      </c>
      <c r="W34" s="39">
        <v>63.099999999999994</v>
      </c>
      <c r="X34" s="39">
        <v>66.5</v>
      </c>
      <c r="Y34" s="39">
        <v>71.7</v>
      </c>
      <c r="Z34" s="39">
        <v>76.099999999999994</v>
      </c>
      <c r="AA34" s="39">
        <v>68.2</v>
      </c>
      <c r="AB34" s="39">
        <f>18.6+47.8</f>
        <v>66.400000000000006</v>
      </c>
      <c r="AC34" s="39">
        <f>21.2+49.2</f>
        <v>70.400000000000006</v>
      </c>
      <c r="AD34" s="40">
        <v>30</v>
      </c>
      <c r="AE34" s="39">
        <v>29.1</v>
      </c>
      <c r="AF34" s="39">
        <v>29.6</v>
      </c>
      <c r="AG34" s="39">
        <v>29.7</v>
      </c>
      <c r="AH34" s="39">
        <v>29.1</v>
      </c>
      <c r="AI34" s="39">
        <v>28.1</v>
      </c>
      <c r="AJ34" s="39">
        <v>27.8</v>
      </c>
      <c r="AK34" s="39">
        <v>26.9</v>
      </c>
      <c r="AL34" s="39">
        <v>26.4</v>
      </c>
      <c r="AM34" s="39">
        <v>27</v>
      </c>
      <c r="AN34" s="39">
        <v>28.5</v>
      </c>
      <c r="AO34" s="39">
        <v>26.8</v>
      </c>
      <c r="AP34" s="109">
        <v>27.7</v>
      </c>
      <c r="AQ34" s="109">
        <v>28.9</v>
      </c>
      <c r="AR34" s="40">
        <v>135.69999999999999</v>
      </c>
      <c r="AS34" s="39">
        <v>133</v>
      </c>
      <c r="AT34" s="39">
        <v>133.6</v>
      </c>
      <c r="AU34" s="39">
        <v>135.6</v>
      </c>
      <c r="AV34" s="39">
        <v>136.80000000000001</v>
      </c>
      <c r="AW34" s="39">
        <v>138.1</v>
      </c>
      <c r="AX34" s="39">
        <v>139.6</v>
      </c>
      <c r="AY34" s="39">
        <v>138.9</v>
      </c>
      <c r="AZ34" s="39">
        <v>136.6</v>
      </c>
      <c r="BA34" s="39">
        <v>137.6</v>
      </c>
      <c r="BB34" s="39">
        <v>136.9</v>
      </c>
      <c r="BC34" s="39">
        <v>131.19999999999999</v>
      </c>
      <c r="BD34" s="109">
        <v>136.5</v>
      </c>
      <c r="BE34" s="109">
        <v>143</v>
      </c>
      <c r="BF34" s="40">
        <v>14.7</v>
      </c>
      <c r="BG34" s="39">
        <v>14.4</v>
      </c>
      <c r="BH34" s="39">
        <v>13.5</v>
      </c>
      <c r="BI34" s="39">
        <v>13.5</v>
      </c>
      <c r="BJ34" s="39">
        <v>13.1</v>
      </c>
      <c r="BK34" s="39">
        <v>12.4</v>
      </c>
      <c r="BL34" s="39">
        <v>12.7</v>
      </c>
      <c r="BM34" s="39">
        <v>12.8</v>
      </c>
      <c r="BN34" s="39">
        <v>12.3</v>
      </c>
      <c r="BO34" s="39">
        <v>11.9</v>
      </c>
      <c r="BP34" s="88">
        <v>11.2</v>
      </c>
      <c r="BQ34" s="39">
        <v>8.9</v>
      </c>
      <c r="BR34" s="109">
        <v>10.3</v>
      </c>
      <c r="BS34" s="109">
        <v>10.8</v>
      </c>
      <c r="BT34" s="40">
        <v>136.19999999999999</v>
      </c>
      <c r="BU34" s="39">
        <v>133.4</v>
      </c>
      <c r="BV34" s="39">
        <v>132.6</v>
      </c>
      <c r="BW34" s="39">
        <v>130.89999999999998</v>
      </c>
      <c r="BX34" s="39">
        <v>132.19999999999999</v>
      </c>
      <c r="BY34" s="39">
        <v>132.6</v>
      </c>
      <c r="BZ34" s="39">
        <v>133</v>
      </c>
      <c r="CA34" s="39">
        <v>134.69999999999999</v>
      </c>
      <c r="CB34" s="39">
        <v>138.30000000000001</v>
      </c>
      <c r="CC34" s="39">
        <v>140.60000000000002</v>
      </c>
      <c r="CD34" s="39">
        <v>146.5</v>
      </c>
      <c r="CE34">
        <v>141.30000000000001</v>
      </c>
      <c r="CF34">
        <f>34+111.4</f>
        <v>145.4</v>
      </c>
      <c r="CG34">
        <f>34.9+115.8</f>
        <v>150.69999999999999</v>
      </c>
      <c r="CH34" s="40">
        <v>118.3</v>
      </c>
      <c r="CI34" s="39">
        <v>119.7</v>
      </c>
      <c r="CJ34" s="39">
        <v>121.5</v>
      </c>
      <c r="CK34" s="39">
        <v>122.6</v>
      </c>
      <c r="CL34" s="39">
        <v>124.3</v>
      </c>
      <c r="CM34" s="39">
        <v>127.4</v>
      </c>
      <c r="CN34" s="39">
        <v>133.30000000000001</v>
      </c>
      <c r="CO34" s="39">
        <v>138.69999999999999</v>
      </c>
      <c r="CP34" s="39">
        <v>139</v>
      </c>
      <c r="CQ34" s="39">
        <v>139.69999999999999</v>
      </c>
      <c r="CR34" s="39">
        <v>141.30000000000001</v>
      </c>
      <c r="CS34" s="39">
        <v>135.1</v>
      </c>
      <c r="CT34" s="39">
        <v>138.80000000000001</v>
      </c>
      <c r="CU34" s="109">
        <v>141</v>
      </c>
      <c r="CV34" s="40">
        <v>112.89999999999999</v>
      </c>
      <c r="CW34" s="39">
        <v>112.1</v>
      </c>
      <c r="CX34" s="39">
        <v>113.1</v>
      </c>
      <c r="CY34" s="39">
        <v>114.6</v>
      </c>
      <c r="CZ34" s="39">
        <v>116.7</v>
      </c>
      <c r="DA34" s="39">
        <v>119.30000000000001</v>
      </c>
      <c r="DB34" s="39">
        <v>121.6</v>
      </c>
      <c r="DC34" s="39">
        <v>124.19999999999999</v>
      </c>
      <c r="DD34" s="39">
        <v>125</v>
      </c>
      <c r="DE34" s="39">
        <v>126.9</v>
      </c>
      <c r="DF34" s="39">
        <v>127.8</v>
      </c>
      <c r="DG34" s="39">
        <v>105.5</v>
      </c>
      <c r="DH34" s="39">
        <f>86+27.2</f>
        <v>113.2</v>
      </c>
      <c r="DI34" s="39">
        <f>94.3+28.5</f>
        <v>122.8</v>
      </c>
      <c r="DJ34" s="40">
        <v>199</v>
      </c>
      <c r="DK34" s="39">
        <v>199.6</v>
      </c>
      <c r="DL34" s="39">
        <v>195.9</v>
      </c>
      <c r="DM34" s="39">
        <v>194.5</v>
      </c>
      <c r="DN34" s="39">
        <v>193.1</v>
      </c>
      <c r="DO34" s="39">
        <v>191.9</v>
      </c>
      <c r="DP34" s="39">
        <v>190.9</v>
      </c>
      <c r="DQ34" s="39">
        <v>191.4</v>
      </c>
      <c r="DR34" s="39">
        <v>186.5</v>
      </c>
      <c r="DS34" s="39">
        <v>186.8</v>
      </c>
      <c r="DT34" s="88">
        <v>188.7</v>
      </c>
      <c r="DU34" s="88">
        <v>180.4</v>
      </c>
      <c r="DV34" s="88">
        <v>177.1</v>
      </c>
      <c r="DW34" s="88">
        <v>179.4</v>
      </c>
    </row>
    <row r="35" spans="1:127" ht="13.5" customHeight="1">
      <c r="A35" s="20" t="s">
        <v>43</v>
      </c>
      <c r="B35" s="39">
        <v>1612.2</v>
      </c>
      <c r="C35" s="39">
        <v>1601.7</v>
      </c>
      <c r="D35" s="39">
        <v>1619.7</v>
      </c>
      <c r="E35" s="39">
        <v>1639.9</v>
      </c>
      <c r="F35" s="39">
        <v>1671.2</v>
      </c>
      <c r="G35" s="39">
        <v>1717.2</v>
      </c>
      <c r="H35" s="39">
        <v>1781.1</v>
      </c>
      <c r="I35" s="39">
        <v>1832.7</v>
      </c>
      <c r="J35" s="39">
        <v>1872.7</v>
      </c>
      <c r="K35" s="39">
        <v>1909.5</v>
      </c>
      <c r="L35" s="88">
        <v>1940.5</v>
      </c>
      <c r="M35" s="88">
        <v>1825.6</v>
      </c>
      <c r="N35" s="88">
        <v>1875.6</v>
      </c>
      <c r="O35" s="88">
        <v>1949.3</v>
      </c>
      <c r="P35" s="40">
        <v>80.8</v>
      </c>
      <c r="Q35" s="39">
        <v>74.3</v>
      </c>
      <c r="R35" s="39">
        <v>75.599999999999994</v>
      </c>
      <c r="S35" s="39">
        <v>77</v>
      </c>
      <c r="T35" s="39">
        <v>81.199999999999989</v>
      </c>
      <c r="U35" s="39">
        <v>86.8</v>
      </c>
      <c r="V35" s="39">
        <v>91.1</v>
      </c>
      <c r="W35" s="39">
        <v>98.3</v>
      </c>
      <c r="X35" s="39">
        <v>104.1</v>
      </c>
      <c r="Y35" s="39">
        <v>112.1</v>
      </c>
      <c r="Z35" s="39">
        <v>115.80000000000001</v>
      </c>
      <c r="AA35" s="39">
        <v>114.4</v>
      </c>
      <c r="AB35" s="39">
        <f>6.6+111.2</f>
        <v>117.8</v>
      </c>
      <c r="AC35" s="39">
        <f>6.4+115.9</f>
        <v>122.30000000000001</v>
      </c>
      <c r="AD35" s="40">
        <v>167.2</v>
      </c>
      <c r="AE35" s="39">
        <v>163.80000000000001</v>
      </c>
      <c r="AF35" s="39">
        <v>168.1</v>
      </c>
      <c r="AG35" s="39">
        <v>171.9</v>
      </c>
      <c r="AH35" s="39">
        <v>174.7</v>
      </c>
      <c r="AI35" s="39">
        <v>178.9</v>
      </c>
      <c r="AJ35" s="39">
        <v>186.2</v>
      </c>
      <c r="AK35" s="39">
        <v>187.8</v>
      </c>
      <c r="AL35" s="39">
        <v>189.4</v>
      </c>
      <c r="AM35" s="39">
        <v>194.9</v>
      </c>
      <c r="AN35" s="39">
        <v>197.7</v>
      </c>
      <c r="AO35" s="39">
        <v>185.4</v>
      </c>
      <c r="AP35" s="109">
        <v>186.7</v>
      </c>
      <c r="AQ35" s="109">
        <v>193.8</v>
      </c>
      <c r="AR35" s="40">
        <v>306.2</v>
      </c>
      <c r="AS35" s="39">
        <v>302.39999999999998</v>
      </c>
      <c r="AT35" s="39">
        <v>305.89999999999998</v>
      </c>
      <c r="AU35" s="39">
        <v>310</v>
      </c>
      <c r="AV35" s="39">
        <v>317.3</v>
      </c>
      <c r="AW35" s="39">
        <v>324.89999999999998</v>
      </c>
      <c r="AX35" s="39">
        <v>335.4</v>
      </c>
      <c r="AY35" s="39">
        <v>341.5</v>
      </c>
      <c r="AZ35" s="39">
        <v>350.3</v>
      </c>
      <c r="BA35" s="39">
        <v>352.2</v>
      </c>
      <c r="BB35" s="39">
        <v>356.3</v>
      </c>
      <c r="BC35" s="39">
        <v>349.2</v>
      </c>
      <c r="BD35" s="109">
        <v>361.4</v>
      </c>
      <c r="BE35" s="109">
        <v>367.6</v>
      </c>
      <c r="BF35" s="40">
        <v>32.700000000000003</v>
      </c>
      <c r="BG35" s="39">
        <v>31.7</v>
      </c>
      <c r="BH35" s="39">
        <v>31.7</v>
      </c>
      <c r="BI35" s="39">
        <v>32.200000000000003</v>
      </c>
      <c r="BJ35" s="39">
        <v>32.200000000000003</v>
      </c>
      <c r="BK35" s="39">
        <v>32.200000000000003</v>
      </c>
      <c r="BL35" s="39">
        <v>32.9</v>
      </c>
      <c r="BM35" s="39">
        <v>33.5</v>
      </c>
      <c r="BN35" s="39">
        <v>34.200000000000003</v>
      </c>
      <c r="BO35" s="39">
        <v>34.200000000000003</v>
      </c>
      <c r="BP35" s="88">
        <v>35.1</v>
      </c>
      <c r="BQ35" s="39">
        <v>32.9</v>
      </c>
      <c r="BR35" s="109">
        <v>35.1</v>
      </c>
      <c r="BS35" s="109">
        <v>36.9</v>
      </c>
      <c r="BT35" s="40">
        <v>281.7</v>
      </c>
      <c r="BU35" s="39">
        <v>281.8</v>
      </c>
      <c r="BV35" s="39">
        <v>286.89999999999998</v>
      </c>
      <c r="BW35" s="39">
        <v>292.60000000000002</v>
      </c>
      <c r="BX35" s="39">
        <v>300.20000000000005</v>
      </c>
      <c r="BY35" s="39">
        <v>311</v>
      </c>
      <c r="BZ35" s="39">
        <v>324.10000000000002</v>
      </c>
      <c r="CA35" s="39">
        <v>335.1</v>
      </c>
      <c r="CB35" s="39">
        <v>342.8</v>
      </c>
      <c r="CC35" s="39">
        <v>351</v>
      </c>
      <c r="CD35" s="39">
        <v>356.9</v>
      </c>
      <c r="CE35">
        <v>344.5</v>
      </c>
      <c r="CF35">
        <f>104.2+251.6</f>
        <v>355.8</v>
      </c>
      <c r="CG35">
        <f>105.8+364.7</f>
        <v>470.5</v>
      </c>
      <c r="CH35" s="40">
        <v>223.6</v>
      </c>
      <c r="CI35" s="39">
        <v>228.9</v>
      </c>
      <c r="CJ35" s="39">
        <v>234.2</v>
      </c>
      <c r="CK35" s="39">
        <v>237.8</v>
      </c>
      <c r="CL35" s="39">
        <v>242.5</v>
      </c>
      <c r="CM35" s="39">
        <v>248.5</v>
      </c>
      <c r="CN35" s="39">
        <v>257.8</v>
      </c>
      <c r="CO35" s="39">
        <v>266.7</v>
      </c>
      <c r="CP35" s="39">
        <v>272.8</v>
      </c>
      <c r="CQ35" s="39">
        <v>295.10000000000002</v>
      </c>
      <c r="CR35" s="39">
        <v>301</v>
      </c>
      <c r="CS35" s="39">
        <v>295.8</v>
      </c>
      <c r="CT35" s="39">
        <v>299.3</v>
      </c>
      <c r="CU35" s="109">
        <v>303.5</v>
      </c>
      <c r="CV35" s="40">
        <v>220.60000000000002</v>
      </c>
      <c r="CW35" s="39">
        <v>218.9</v>
      </c>
      <c r="CX35" s="39">
        <v>222.39999999999998</v>
      </c>
      <c r="CY35" s="39">
        <v>227.39999999999998</v>
      </c>
      <c r="CZ35" s="39">
        <v>234.3</v>
      </c>
      <c r="DA35" s="39">
        <v>241.2</v>
      </c>
      <c r="DB35" s="39">
        <v>252.4</v>
      </c>
      <c r="DC35" s="39">
        <v>262.7</v>
      </c>
      <c r="DD35" s="39">
        <v>270.2</v>
      </c>
      <c r="DE35" s="39">
        <v>275.2</v>
      </c>
      <c r="DF35" s="39">
        <v>279</v>
      </c>
      <c r="DG35" s="39">
        <v>218.79999999999998</v>
      </c>
      <c r="DH35" s="39">
        <f>174.9+59.2</f>
        <v>234.10000000000002</v>
      </c>
      <c r="DI35" s="39">
        <f>198.5+61.8</f>
        <v>260.3</v>
      </c>
      <c r="DJ35" s="40">
        <v>299.5</v>
      </c>
      <c r="DK35" s="39">
        <v>299.8</v>
      </c>
      <c r="DL35" s="39">
        <v>295</v>
      </c>
      <c r="DM35" s="39">
        <v>291</v>
      </c>
      <c r="DN35" s="39">
        <v>288.89999999999998</v>
      </c>
      <c r="DO35" s="39">
        <v>293.60000000000002</v>
      </c>
      <c r="DP35" s="39">
        <v>301.2</v>
      </c>
      <c r="DQ35" s="39">
        <v>307</v>
      </c>
      <c r="DR35" s="39">
        <v>309</v>
      </c>
      <c r="DS35" s="39">
        <v>295</v>
      </c>
      <c r="DT35" s="88">
        <v>298.89999999999998</v>
      </c>
      <c r="DU35" s="88">
        <v>284.7</v>
      </c>
      <c r="DV35" s="88">
        <v>285.39999999999998</v>
      </c>
      <c r="DW35" s="88">
        <v>294.5</v>
      </c>
    </row>
    <row r="36" spans="1:127" ht="13.5" customHeight="1">
      <c r="A36" s="20" t="s">
        <v>44</v>
      </c>
      <c r="B36" s="39">
        <v>1188.8</v>
      </c>
      <c r="C36" s="39">
        <v>1182.5</v>
      </c>
      <c r="D36" s="39">
        <v>1207.7</v>
      </c>
      <c r="E36" s="39">
        <v>1250.4000000000001</v>
      </c>
      <c r="F36" s="39">
        <v>1290.5</v>
      </c>
      <c r="G36" s="39">
        <v>1327.9</v>
      </c>
      <c r="H36" s="39">
        <v>1378.3</v>
      </c>
      <c r="I36" s="39">
        <v>1427.4</v>
      </c>
      <c r="J36" s="39">
        <v>1468.1</v>
      </c>
      <c r="K36" s="39">
        <v>1516.5</v>
      </c>
      <c r="L36" s="88">
        <v>1561</v>
      </c>
      <c r="M36" s="88">
        <v>1532.1</v>
      </c>
      <c r="N36" s="88">
        <v>1613.1</v>
      </c>
      <c r="O36" s="88">
        <v>1676.4</v>
      </c>
      <c r="P36" s="40">
        <v>81.2</v>
      </c>
      <c r="Q36" s="39">
        <v>75.5</v>
      </c>
      <c r="R36" s="39">
        <v>77</v>
      </c>
      <c r="S36" s="39">
        <v>81.8</v>
      </c>
      <c r="T36" s="39">
        <v>85.7</v>
      </c>
      <c r="U36" s="39">
        <v>90.6</v>
      </c>
      <c r="V36" s="39">
        <v>95.3</v>
      </c>
      <c r="W36" s="39">
        <v>100.3</v>
      </c>
      <c r="X36" s="39">
        <v>106</v>
      </c>
      <c r="Y36" s="39">
        <v>113.5</v>
      </c>
      <c r="Z36" s="39">
        <v>119.4</v>
      </c>
      <c r="AA36" s="39">
        <v>124.10000000000001</v>
      </c>
      <c r="AB36" s="39">
        <f>8.9+122.6</f>
        <v>131.5</v>
      </c>
      <c r="AC36" s="39">
        <f>9.9+131.3</f>
        <v>141.20000000000002</v>
      </c>
      <c r="AD36" s="40">
        <v>113</v>
      </c>
      <c r="AE36" s="39">
        <v>111.1</v>
      </c>
      <c r="AF36" s="39">
        <v>113.6</v>
      </c>
      <c r="AG36" s="39">
        <v>116.8</v>
      </c>
      <c r="AH36" s="39">
        <v>118.8</v>
      </c>
      <c r="AI36" s="39">
        <v>120.6</v>
      </c>
      <c r="AJ36" s="39">
        <v>123.8</v>
      </c>
      <c r="AK36" s="39">
        <v>125.9</v>
      </c>
      <c r="AL36" s="39">
        <v>129.30000000000001</v>
      </c>
      <c r="AM36" s="39">
        <v>133.1</v>
      </c>
      <c r="AN36" s="39">
        <v>136.6</v>
      </c>
      <c r="AO36" s="39">
        <v>135.9</v>
      </c>
      <c r="AP36" s="109">
        <v>146.6</v>
      </c>
      <c r="AQ36" s="109">
        <v>151.19999999999999</v>
      </c>
      <c r="AR36" s="40">
        <v>234.2</v>
      </c>
      <c r="AS36" s="39">
        <v>229.1</v>
      </c>
      <c r="AT36" s="39">
        <v>233.3</v>
      </c>
      <c r="AU36" s="39">
        <v>241.1</v>
      </c>
      <c r="AV36" s="39">
        <v>246.7</v>
      </c>
      <c r="AW36" s="39">
        <v>253.3</v>
      </c>
      <c r="AX36" s="39">
        <v>263</v>
      </c>
      <c r="AY36" s="39">
        <v>272.10000000000002</v>
      </c>
      <c r="AZ36" s="39">
        <v>278.10000000000002</v>
      </c>
      <c r="BA36" s="39">
        <v>285.8</v>
      </c>
      <c r="BB36" s="39">
        <v>290.89999999999998</v>
      </c>
      <c r="BC36" s="39">
        <v>289</v>
      </c>
      <c r="BD36" s="109">
        <v>303.89999999999998</v>
      </c>
      <c r="BE36" s="109">
        <v>313.10000000000002</v>
      </c>
      <c r="BF36" s="40">
        <v>29.6</v>
      </c>
      <c r="BG36" s="39">
        <v>29.3</v>
      </c>
      <c r="BH36" s="39">
        <v>29.7</v>
      </c>
      <c r="BI36" s="39">
        <v>31.6</v>
      </c>
      <c r="BJ36" s="39">
        <v>32.700000000000003</v>
      </c>
      <c r="BK36" s="39">
        <v>33.299999999999997</v>
      </c>
      <c r="BL36" s="39">
        <v>34.6</v>
      </c>
      <c r="BM36" s="39">
        <v>36.799999999999997</v>
      </c>
      <c r="BN36" s="39">
        <v>38.6</v>
      </c>
      <c r="BO36" s="39">
        <v>38.6</v>
      </c>
      <c r="BP36" s="88">
        <v>39.9</v>
      </c>
      <c r="BQ36" s="39">
        <v>38.200000000000003</v>
      </c>
      <c r="BR36" s="109">
        <v>41.4</v>
      </c>
      <c r="BS36" s="109">
        <v>44.8</v>
      </c>
      <c r="BT36" s="40">
        <v>220.3</v>
      </c>
      <c r="BU36" s="39">
        <v>220.4</v>
      </c>
      <c r="BV36" s="39">
        <v>227.6</v>
      </c>
      <c r="BW36" s="39">
        <v>237.6</v>
      </c>
      <c r="BX36" s="39">
        <v>250.2</v>
      </c>
      <c r="BY36" s="39">
        <v>259.89999999999998</v>
      </c>
      <c r="BZ36" s="39">
        <v>273.2</v>
      </c>
      <c r="CA36" s="39">
        <v>284.7</v>
      </c>
      <c r="CB36" s="39">
        <v>290</v>
      </c>
      <c r="CC36" s="39">
        <v>302.8</v>
      </c>
      <c r="CD36" s="39">
        <v>313.70000000000005</v>
      </c>
      <c r="CE36">
        <v>318.7</v>
      </c>
      <c r="CF36">
        <f>97.3+235.8</f>
        <v>333.1</v>
      </c>
      <c r="CG36">
        <f>97.8+246.6</f>
        <v>344.4</v>
      </c>
      <c r="CH36" s="40">
        <v>150.9</v>
      </c>
      <c r="CI36" s="39">
        <v>155.1</v>
      </c>
      <c r="CJ36" s="39">
        <v>158.69999999999999</v>
      </c>
      <c r="CK36" s="39">
        <v>164.5</v>
      </c>
      <c r="CL36" s="39">
        <v>170.8</v>
      </c>
      <c r="CM36" s="39">
        <v>174.6</v>
      </c>
      <c r="CN36" s="39">
        <v>183.1</v>
      </c>
      <c r="CO36" s="39">
        <v>191.9</v>
      </c>
      <c r="CP36" s="39">
        <v>198.7</v>
      </c>
      <c r="CQ36" s="39">
        <v>204.2</v>
      </c>
      <c r="CR36" s="39">
        <v>210.1</v>
      </c>
      <c r="CS36" s="39">
        <v>207</v>
      </c>
      <c r="CT36" s="39">
        <v>216.6</v>
      </c>
      <c r="CU36" s="109">
        <v>224.4</v>
      </c>
      <c r="CV36" s="40">
        <v>145.1</v>
      </c>
      <c r="CW36" s="39">
        <v>144.30000000000001</v>
      </c>
      <c r="CX36" s="39">
        <v>147.6</v>
      </c>
      <c r="CY36" s="39">
        <v>153.6</v>
      </c>
      <c r="CZ36" s="39">
        <v>160.1</v>
      </c>
      <c r="DA36" s="39">
        <v>165.9</v>
      </c>
      <c r="DB36" s="39">
        <v>172.2</v>
      </c>
      <c r="DC36" s="39">
        <v>177.9</v>
      </c>
      <c r="DD36" s="39">
        <v>184.10000000000002</v>
      </c>
      <c r="DE36" s="39">
        <v>190.60000000000002</v>
      </c>
      <c r="DF36" s="39">
        <v>196.8</v>
      </c>
      <c r="DG36" s="39">
        <v>174</v>
      </c>
      <c r="DH36" s="39">
        <f>148.5+42.1</f>
        <v>190.6</v>
      </c>
      <c r="DI36" s="39">
        <f>161.9+44.1</f>
        <v>206</v>
      </c>
      <c r="DJ36" s="40">
        <v>214.7</v>
      </c>
      <c r="DK36" s="39">
        <v>217.7</v>
      </c>
      <c r="DL36" s="39">
        <v>220.2</v>
      </c>
      <c r="DM36" s="39">
        <v>223.3</v>
      </c>
      <c r="DN36" s="39">
        <v>225.4</v>
      </c>
      <c r="DO36" s="39">
        <v>229.7</v>
      </c>
      <c r="DP36" s="39">
        <v>233.1</v>
      </c>
      <c r="DQ36" s="39">
        <v>238.1</v>
      </c>
      <c r="DR36" s="39">
        <v>243.4</v>
      </c>
      <c r="DS36" s="39">
        <v>247.9</v>
      </c>
      <c r="DT36" s="88">
        <v>253.7</v>
      </c>
      <c r="DU36" s="88">
        <v>245.1</v>
      </c>
      <c r="DV36" s="88">
        <v>249.5</v>
      </c>
      <c r="DW36" s="88">
        <v>253.8</v>
      </c>
    </row>
    <row r="37" spans="1:127" ht="13.5" customHeight="1">
      <c r="A37" s="20" t="s">
        <v>45</v>
      </c>
      <c r="B37" s="39">
        <v>2865.4</v>
      </c>
      <c r="C37" s="39">
        <v>2839.1</v>
      </c>
      <c r="D37" s="39">
        <v>2875.6</v>
      </c>
      <c r="E37" s="39">
        <v>2924</v>
      </c>
      <c r="F37" s="39">
        <v>2992.7</v>
      </c>
      <c r="G37" s="39">
        <v>3075.8</v>
      </c>
      <c r="H37" s="39">
        <v>3145.7</v>
      </c>
      <c r="I37" s="39">
        <v>3244.1</v>
      </c>
      <c r="J37" s="39">
        <v>3325.1</v>
      </c>
      <c r="K37" s="39">
        <v>3406</v>
      </c>
      <c r="L37" s="88">
        <v>3469.2</v>
      </c>
      <c r="M37" s="88">
        <v>3284.6</v>
      </c>
      <c r="N37" s="88">
        <v>3370</v>
      </c>
      <c r="O37" s="88">
        <v>3517.3</v>
      </c>
      <c r="P37" s="40">
        <v>165.5</v>
      </c>
      <c r="Q37" s="39">
        <v>146.6</v>
      </c>
      <c r="R37" s="39">
        <v>142.4</v>
      </c>
      <c r="S37" s="39">
        <v>145</v>
      </c>
      <c r="T37" s="39">
        <v>155.1</v>
      </c>
      <c r="U37" s="39">
        <v>165.6</v>
      </c>
      <c r="V37" s="39">
        <v>179.5</v>
      </c>
      <c r="W37" s="39">
        <v>192.4</v>
      </c>
      <c r="X37" s="39">
        <v>205.9</v>
      </c>
      <c r="Y37" s="39">
        <v>219.9</v>
      </c>
      <c r="Z37" s="39">
        <v>226.1</v>
      </c>
      <c r="AA37" s="39">
        <v>219.4</v>
      </c>
      <c r="AB37" s="39">
        <f>5.7+223.9</f>
        <v>229.6</v>
      </c>
      <c r="AC37" s="39">
        <f>5.6+233</f>
        <v>238.6</v>
      </c>
      <c r="AD37" s="40">
        <v>265.5</v>
      </c>
      <c r="AE37" s="39">
        <v>258.2</v>
      </c>
      <c r="AF37" s="39">
        <v>268.60000000000002</v>
      </c>
      <c r="AG37" s="39">
        <v>280.3</v>
      </c>
      <c r="AH37" s="39">
        <v>286.7</v>
      </c>
      <c r="AI37" s="39">
        <v>289.10000000000002</v>
      </c>
      <c r="AJ37" s="39">
        <v>291.8</v>
      </c>
      <c r="AK37" s="39">
        <v>290</v>
      </c>
      <c r="AL37" s="39">
        <v>283.89999999999998</v>
      </c>
      <c r="AM37" s="39">
        <v>287.89999999999998</v>
      </c>
      <c r="AN37" s="39">
        <v>293.5</v>
      </c>
      <c r="AO37" s="39">
        <v>272</v>
      </c>
      <c r="AP37" s="109">
        <v>260</v>
      </c>
      <c r="AQ37" s="109">
        <v>268.7</v>
      </c>
      <c r="AR37" s="40">
        <v>522.4</v>
      </c>
      <c r="AS37" s="39">
        <v>517</v>
      </c>
      <c r="AT37" s="39">
        <v>525.20000000000005</v>
      </c>
      <c r="AU37" s="39">
        <v>536.1</v>
      </c>
      <c r="AV37" s="39">
        <v>551.1</v>
      </c>
      <c r="AW37" s="39">
        <v>569.70000000000005</v>
      </c>
      <c r="AX37" s="39">
        <v>587.9</v>
      </c>
      <c r="AY37" s="39">
        <v>607.6</v>
      </c>
      <c r="AZ37" s="39">
        <v>626.79999999999995</v>
      </c>
      <c r="BA37" s="39">
        <v>637.70000000000005</v>
      </c>
      <c r="BB37" s="39">
        <v>643.6</v>
      </c>
      <c r="BC37" s="39">
        <v>628.79999999999995</v>
      </c>
      <c r="BD37" s="109">
        <v>606.70000000000005</v>
      </c>
      <c r="BE37" s="109">
        <v>612.4</v>
      </c>
      <c r="BF37" s="40">
        <v>103.9</v>
      </c>
      <c r="BG37" s="39">
        <v>103</v>
      </c>
      <c r="BH37" s="39">
        <v>104.2</v>
      </c>
      <c r="BI37" s="39">
        <v>104.7</v>
      </c>
      <c r="BJ37" s="39">
        <v>106.3</v>
      </c>
      <c r="BK37" s="39">
        <v>109.5</v>
      </c>
      <c r="BL37" s="39">
        <v>114</v>
      </c>
      <c r="BM37" s="39">
        <v>120.7</v>
      </c>
      <c r="BN37" s="39">
        <v>126.6</v>
      </c>
      <c r="BO37" s="39">
        <v>133.9</v>
      </c>
      <c r="BP37" s="88">
        <v>144.4</v>
      </c>
      <c r="BQ37" s="39">
        <v>149</v>
      </c>
      <c r="BR37" s="109">
        <v>157.19999999999999</v>
      </c>
      <c r="BS37" s="109">
        <v>170.4</v>
      </c>
      <c r="BT37" s="40">
        <v>470.59999999999997</v>
      </c>
      <c r="BU37" s="39">
        <v>467.59999999999997</v>
      </c>
      <c r="BV37" s="39">
        <v>481</v>
      </c>
      <c r="BW37" s="39">
        <v>494.9</v>
      </c>
      <c r="BX37" s="39">
        <v>511.70000000000005</v>
      </c>
      <c r="BY37" s="39">
        <v>525.79999999999995</v>
      </c>
      <c r="BZ37" s="39">
        <v>536.79999999999995</v>
      </c>
      <c r="CA37" s="39">
        <v>553.59999999999991</v>
      </c>
      <c r="CB37" s="39">
        <v>568.9</v>
      </c>
      <c r="CC37" s="39">
        <v>583.29999999999995</v>
      </c>
      <c r="CD37" s="39">
        <v>595.59999999999991</v>
      </c>
      <c r="CE37">
        <v>583.1</v>
      </c>
      <c r="CF37">
        <f>161+496.2</f>
        <v>657.2</v>
      </c>
      <c r="CG37">
        <f>165.6+545.9</f>
        <v>711.5</v>
      </c>
      <c r="CH37" s="40">
        <v>412.1</v>
      </c>
      <c r="CI37" s="39">
        <v>424.8</v>
      </c>
      <c r="CJ37" s="39">
        <v>431.4</v>
      </c>
      <c r="CK37" s="39">
        <v>433.8</v>
      </c>
      <c r="CL37" s="39">
        <v>440.1</v>
      </c>
      <c r="CM37" s="39">
        <v>453.6</v>
      </c>
      <c r="CN37" s="39">
        <v>448.5</v>
      </c>
      <c r="CO37" s="39">
        <v>464.1</v>
      </c>
      <c r="CP37" s="39">
        <v>475.8</v>
      </c>
      <c r="CQ37" s="39">
        <v>491.8</v>
      </c>
      <c r="CR37" s="39">
        <v>502.2</v>
      </c>
      <c r="CS37" s="39">
        <v>489.3</v>
      </c>
      <c r="CT37" s="39">
        <v>502.3</v>
      </c>
      <c r="CU37" s="109">
        <v>514.9</v>
      </c>
      <c r="CV37" s="40">
        <v>375.90000000000003</v>
      </c>
      <c r="CW37" s="39">
        <v>372</v>
      </c>
      <c r="CX37" s="39">
        <v>379.3</v>
      </c>
      <c r="CY37" s="39">
        <v>388.1</v>
      </c>
      <c r="CZ37" s="39">
        <v>398.6</v>
      </c>
      <c r="DA37" s="39">
        <v>411</v>
      </c>
      <c r="DB37" s="39">
        <v>425.1</v>
      </c>
      <c r="DC37" s="39">
        <v>442.6</v>
      </c>
      <c r="DD37" s="39">
        <v>451.2</v>
      </c>
      <c r="DE37" s="39">
        <v>464.70000000000005</v>
      </c>
      <c r="DF37" s="39">
        <v>476.29999999999995</v>
      </c>
      <c r="DG37" s="39">
        <v>381.70000000000005</v>
      </c>
      <c r="DH37" s="39">
        <f>283.4+113.7</f>
        <v>397.09999999999997</v>
      </c>
      <c r="DI37" s="39">
        <f>327.1+120.1</f>
        <v>447.20000000000005</v>
      </c>
      <c r="DJ37" s="40">
        <v>549.5</v>
      </c>
      <c r="DK37" s="39">
        <v>550</v>
      </c>
      <c r="DL37" s="39">
        <v>543.5</v>
      </c>
      <c r="DM37" s="39">
        <v>541.20000000000005</v>
      </c>
      <c r="DN37" s="39">
        <v>543.29999999999995</v>
      </c>
      <c r="DO37" s="39">
        <v>551.6</v>
      </c>
      <c r="DP37" s="39">
        <v>562</v>
      </c>
      <c r="DQ37" s="39">
        <v>573.1</v>
      </c>
      <c r="DR37" s="39">
        <v>585.9</v>
      </c>
      <c r="DS37" s="39">
        <v>586.70000000000005</v>
      </c>
      <c r="DT37" s="88">
        <v>587.5</v>
      </c>
      <c r="DU37" s="88">
        <v>561.4</v>
      </c>
      <c r="DV37" s="88">
        <v>559.9</v>
      </c>
      <c r="DW37" s="88">
        <v>565.79999999999995</v>
      </c>
    </row>
    <row r="38" spans="1:127" ht="13.5" customHeight="1">
      <c r="A38" s="34" t="s">
        <v>46</v>
      </c>
      <c r="B38" s="35">
        <v>285.2</v>
      </c>
      <c r="C38" s="35">
        <v>281.8</v>
      </c>
      <c r="D38" s="35">
        <v>286.10000000000002</v>
      </c>
      <c r="E38" s="35">
        <v>288.89999999999998</v>
      </c>
      <c r="F38" s="35">
        <v>289.3</v>
      </c>
      <c r="G38" s="35">
        <v>292.5</v>
      </c>
      <c r="H38" s="35">
        <v>292.3</v>
      </c>
      <c r="I38" s="35">
        <v>280.8</v>
      </c>
      <c r="J38" s="35">
        <v>281.3</v>
      </c>
      <c r="K38" s="35">
        <v>285.5</v>
      </c>
      <c r="L38" s="88">
        <v>289.60000000000002</v>
      </c>
      <c r="M38" s="88">
        <v>272.89999999999998</v>
      </c>
      <c r="N38" s="88">
        <v>278.39999999999998</v>
      </c>
      <c r="O38" s="88">
        <v>282.7</v>
      </c>
      <c r="P38" s="36">
        <v>49.4</v>
      </c>
      <c r="Q38" s="35">
        <v>47.5</v>
      </c>
      <c r="R38" s="35">
        <v>48.5</v>
      </c>
      <c r="S38" s="35">
        <v>49.3</v>
      </c>
      <c r="T38" s="35">
        <v>48.599999999999994</v>
      </c>
      <c r="U38" s="35">
        <v>50.8</v>
      </c>
      <c r="V38" s="35">
        <v>47.2</v>
      </c>
      <c r="W38" s="35">
        <v>40</v>
      </c>
      <c r="X38" s="35">
        <v>39.1</v>
      </c>
      <c r="Y38" s="35">
        <v>41</v>
      </c>
      <c r="Z38" s="35">
        <v>43.5</v>
      </c>
      <c r="AA38" s="35">
        <v>37.5</v>
      </c>
      <c r="AB38" s="35">
        <f>14.8+21.1</f>
        <v>35.900000000000006</v>
      </c>
      <c r="AC38" s="35">
        <f>16.3+21.2</f>
        <v>37.5</v>
      </c>
      <c r="AD38" s="36">
        <v>9.1</v>
      </c>
      <c r="AE38" s="35">
        <v>8.6999999999999993</v>
      </c>
      <c r="AF38" s="35">
        <v>9.1</v>
      </c>
      <c r="AG38" s="35">
        <v>9.3000000000000007</v>
      </c>
      <c r="AH38" s="35">
        <v>9.5</v>
      </c>
      <c r="AI38" s="35">
        <v>9.8000000000000007</v>
      </c>
      <c r="AJ38" s="35">
        <v>9.6999999999999993</v>
      </c>
      <c r="AK38" s="35">
        <v>9.1999999999999993</v>
      </c>
      <c r="AL38" s="35">
        <v>9.4</v>
      </c>
      <c r="AM38" s="35">
        <v>9.8000000000000007</v>
      </c>
      <c r="AN38" s="35">
        <v>10.1</v>
      </c>
      <c r="AO38" s="35">
        <v>9.5</v>
      </c>
      <c r="AP38" s="109">
        <v>9.8000000000000007</v>
      </c>
      <c r="AQ38" s="109">
        <v>10.199999999999999</v>
      </c>
      <c r="AR38" s="36">
        <v>53.5</v>
      </c>
      <c r="AS38" s="35">
        <v>51.9</v>
      </c>
      <c r="AT38" s="35">
        <v>52.6</v>
      </c>
      <c r="AU38" s="35">
        <v>53.4</v>
      </c>
      <c r="AV38" s="35">
        <v>54.1</v>
      </c>
      <c r="AW38" s="35">
        <v>54.9</v>
      </c>
      <c r="AX38" s="35">
        <v>55.9</v>
      </c>
      <c r="AY38" s="35">
        <v>53.8</v>
      </c>
      <c r="AZ38" s="35">
        <v>52.2</v>
      </c>
      <c r="BA38" s="35">
        <v>52</v>
      </c>
      <c r="BB38" s="35">
        <v>52</v>
      </c>
      <c r="BC38" s="35">
        <v>50.4</v>
      </c>
      <c r="BD38" s="109">
        <v>51.2</v>
      </c>
      <c r="BE38" s="109">
        <v>52.1</v>
      </c>
      <c r="BF38" s="36">
        <v>4</v>
      </c>
      <c r="BG38" s="35">
        <v>3.9</v>
      </c>
      <c r="BH38" s="35">
        <v>3.8</v>
      </c>
      <c r="BI38" s="35">
        <v>3.9</v>
      </c>
      <c r="BJ38" s="35">
        <v>3.8</v>
      </c>
      <c r="BK38" s="35">
        <v>3.8</v>
      </c>
      <c r="BL38" s="35">
        <v>3.8</v>
      </c>
      <c r="BM38" s="35">
        <v>3.7</v>
      </c>
      <c r="BN38" s="35">
        <v>3.7</v>
      </c>
      <c r="BO38" s="35">
        <v>3.6</v>
      </c>
      <c r="BP38" s="88">
        <v>3.4</v>
      </c>
      <c r="BQ38" s="35">
        <v>3</v>
      </c>
      <c r="BR38" s="109">
        <v>3</v>
      </c>
      <c r="BS38" s="109">
        <v>3.1</v>
      </c>
      <c r="BT38" s="36">
        <v>28.5</v>
      </c>
      <c r="BU38" s="35">
        <v>28</v>
      </c>
      <c r="BV38" s="35">
        <v>28.5</v>
      </c>
      <c r="BW38" s="35">
        <v>28.8</v>
      </c>
      <c r="BX38" s="35">
        <v>29.3</v>
      </c>
      <c r="BY38" s="35">
        <v>29.599999999999998</v>
      </c>
      <c r="BZ38" s="35">
        <v>29.6</v>
      </c>
      <c r="CA38" s="35">
        <v>28.5</v>
      </c>
      <c r="CB38" s="35">
        <v>29.200000000000003</v>
      </c>
      <c r="CC38" s="35">
        <v>29.7</v>
      </c>
      <c r="CD38" s="35">
        <v>30.4</v>
      </c>
      <c r="CE38">
        <v>29.200000000000003</v>
      </c>
      <c r="CF38">
        <f>11.2+19.6</f>
        <v>30.8</v>
      </c>
      <c r="CG38">
        <f>11.5+20.5</f>
        <v>32</v>
      </c>
      <c r="CH38" s="36">
        <v>25.7</v>
      </c>
      <c r="CI38" s="35">
        <v>26.4</v>
      </c>
      <c r="CJ38" s="35">
        <v>26.7</v>
      </c>
      <c r="CK38" s="35">
        <v>26.6</v>
      </c>
      <c r="CL38" s="35">
        <v>26.9</v>
      </c>
      <c r="CM38" s="35">
        <v>27.1</v>
      </c>
      <c r="CN38" s="35">
        <v>27.1</v>
      </c>
      <c r="CO38" s="35">
        <v>27.6</v>
      </c>
      <c r="CP38" s="35">
        <v>27.6</v>
      </c>
      <c r="CQ38" s="35">
        <v>28.2</v>
      </c>
      <c r="CR38" s="35">
        <v>28.6</v>
      </c>
      <c r="CS38" s="35">
        <v>28.3</v>
      </c>
      <c r="CT38" s="35">
        <v>28.6</v>
      </c>
      <c r="CU38" s="109">
        <v>28.8</v>
      </c>
      <c r="CV38" s="36">
        <v>44.8</v>
      </c>
      <c r="CW38" s="35">
        <v>44.1</v>
      </c>
      <c r="CX38" s="35">
        <v>44.7</v>
      </c>
      <c r="CY38" s="35">
        <v>45.2</v>
      </c>
      <c r="CZ38" s="35">
        <v>45.400000000000006</v>
      </c>
      <c r="DA38" s="35">
        <v>45.1</v>
      </c>
      <c r="DB38" s="35">
        <v>47.800000000000004</v>
      </c>
      <c r="DC38" s="35">
        <v>46.599999999999994</v>
      </c>
      <c r="DD38" s="35">
        <v>50.1</v>
      </c>
      <c r="DE38" s="35">
        <v>52.5</v>
      </c>
      <c r="DF38" s="35">
        <v>52.8</v>
      </c>
      <c r="DG38" s="35">
        <v>48.3</v>
      </c>
      <c r="DH38" s="35">
        <f>35.9+15.8</f>
        <v>51.7</v>
      </c>
      <c r="DI38" s="35">
        <f>37.6+15.9</f>
        <v>53.5</v>
      </c>
      <c r="DJ38" s="36">
        <v>70.400000000000006</v>
      </c>
      <c r="DK38" s="35">
        <v>71.400000000000006</v>
      </c>
      <c r="DL38" s="35">
        <v>72.099999999999994</v>
      </c>
      <c r="DM38" s="35">
        <v>72.3</v>
      </c>
      <c r="DN38" s="35">
        <v>71.900000000000006</v>
      </c>
      <c r="DO38" s="35">
        <v>71.5</v>
      </c>
      <c r="DP38" s="35">
        <v>71.2</v>
      </c>
      <c r="DQ38" s="35">
        <v>71.400000000000006</v>
      </c>
      <c r="DR38" s="35">
        <v>70.099999999999994</v>
      </c>
      <c r="DS38" s="39">
        <v>68.900000000000006</v>
      </c>
      <c r="DT38" s="88">
        <v>68.900000000000006</v>
      </c>
      <c r="DU38" s="88">
        <v>66.599999999999994</v>
      </c>
      <c r="DV38" s="88">
        <v>67.5</v>
      </c>
      <c r="DW38" s="88">
        <v>67.3</v>
      </c>
    </row>
    <row r="39" spans="1:127">
      <c r="A39" s="20" t="s">
        <v>47</v>
      </c>
      <c r="B39" s="37">
        <f t="shared" ref="B39:BT39" si="202">SUM(B41:B52)</f>
        <v>30019.199999999997</v>
      </c>
      <c r="C39" s="37">
        <f t="shared" si="202"/>
        <v>29856.6</v>
      </c>
      <c r="D39" s="37">
        <f t="shared" si="202"/>
        <v>30265.599999999999</v>
      </c>
      <c r="E39" s="37">
        <f t="shared" ref="E39:F39" si="203">SUM(E41:E52)</f>
        <v>30756.399999999998</v>
      </c>
      <c r="F39" s="37">
        <f t="shared" si="203"/>
        <v>31153.600000000002</v>
      </c>
      <c r="G39" s="37">
        <f t="shared" ref="G39:I39" si="204">SUM(G41:G52)</f>
        <v>31573.9</v>
      </c>
      <c r="H39" s="37">
        <f t="shared" si="204"/>
        <v>32069.4</v>
      </c>
      <c r="I39" s="37">
        <f t="shared" si="204"/>
        <v>32427</v>
      </c>
      <c r="J39" s="37">
        <f t="shared" ref="J39" si="205">SUM(J41:J52)</f>
        <v>32666.899999999998</v>
      </c>
      <c r="K39" s="37">
        <f t="shared" ref="K39:L39" si="206">SUM(K41:K52)</f>
        <v>32948.600000000006</v>
      </c>
      <c r="L39" s="37">
        <f t="shared" si="206"/>
        <v>33079.799999999996</v>
      </c>
      <c r="M39" s="37">
        <f t="shared" ref="M39:O39" si="207">SUM(M41:M52)</f>
        <v>31022.899999999994</v>
      </c>
      <c r="N39" s="37">
        <f t="shared" si="207"/>
        <v>31857.100000000002</v>
      </c>
      <c r="O39" s="37">
        <f t="shared" si="207"/>
        <v>32828.400000000001</v>
      </c>
      <c r="P39" s="38">
        <f t="shared" si="202"/>
        <v>1236.5999999999999</v>
      </c>
      <c r="Q39" s="37">
        <f t="shared" si="202"/>
        <v>1162.0999999999999</v>
      </c>
      <c r="R39" s="37">
        <f t="shared" si="202"/>
        <v>1184.8999999999999</v>
      </c>
      <c r="S39" s="37">
        <f t="shared" ref="S39:T39" si="208">SUM(S41:S52)</f>
        <v>1217.6999999999996</v>
      </c>
      <c r="T39" s="37">
        <f t="shared" si="208"/>
        <v>1255.8</v>
      </c>
      <c r="U39" s="37">
        <f t="shared" ref="U39:W39" si="209">SUM(U41:U52)</f>
        <v>1315.7</v>
      </c>
      <c r="V39" s="37">
        <f t="shared" si="209"/>
        <v>1362.8999999999999</v>
      </c>
      <c r="W39" s="37">
        <f t="shared" si="209"/>
        <v>1378.2999999999997</v>
      </c>
      <c r="X39" s="37">
        <f t="shared" ref="X39:Y39" si="210">SUM(X41:X52)</f>
        <v>1409.1000000000001</v>
      </c>
      <c r="Y39" s="37">
        <f t="shared" si="210"/>
        <v>1443.8999999999999</v>
      </c>
      <c r="Z39" s="37">
        <f t="shared" ref="Z39" si="211">SUM(Z41:Z52)</f>
        <v>1477.9</v>
      </c>
      <c r="AA39" s="37">
        <f t="shared" ref="AA39:AC39" si="212">SUM(AA41:AA52)</f>
        <v>1430.6000000000001</v>
      </c>
      <c r="AB39" s="37">
        <f t="shared" si="212"/>
        <v>1473.1</v>
      </c>
      <c r="AC39" s="37">
        <f t="shared" si="212"/>
        <v>1533.2</v>
      </c>
      <c r="AD39" s="38">
        <f t="shared" si="202"/>
        <v>3626.4</v>
      </c>
      <c r="AE39" s="37">
        <f t="shared" si="202"/>
        <v>3581.5999999999995</v>
      </c>
      <c r="AF39" s="37">
        <f t="shared" si="202"/>
        <v>3701.9</v>
      </c>
      <c r="AG39" s="37">
        <f t="shared" ref="AG39:AH39" si="213">SUM(AG41:AG52)</f>
        <v>3804.2999999999997</v>
      </c>
      <c r="AH39" s="37">
        <f t="shared" si="213"/>
        <v>3846</v>
      </c>
      <c r="AI39" s="37">
        <f t="shared" ref="AI39:AK39" si="214">SUM(AI41:AI52)</f>
        <v>3913.0000000000005</v>
      </c>
      <c r="AJ39" s="37">
        <f t="shared" si="214"/>
        <v>3962.4</v>
      </c>
      <c r="AK39" s="37">
        <f t="shared" si="214"/>
        <v>3965.6000000000008</v>
      </c>
      <c r="AL39" s="37">
        <f t="shared" ref="AL39:AM39" si="215">SUM(AL41:AL52)</f>
        <v>4005.599999999999</v>
      </c>
      <c r="AM39" s="37">
        <f t="shared" si="215"/>
        <v>4086.8</v>
      </c>
      <c r="AN39" s="37">
        <f t="shared" ref="AN39:AQ39" si="216">SUM(AN41:AN52)</f>
        <v>4105.1000000000004</v>
      </c>
      <c r="AO39" s="37">
        <f t="shared" si="216"/>
        <v>3844.7999999999993</v>
      </c>
      <c r="AP39" s="37">
        <f t="shared" si="216"/>
        <v>3929.8</v>
      </c>
      <c r="AQ39" s="37">
        <f t="shared" si="216"/>
        <v>4053.5000000000005</v>
      </c>
      <c r="AR39" s="38">
        <f t="shared" si="202"/>
        <v>5819.4</v>
      </c>
      <c r="AS39" s="37">
        <f t="shared" si="202"/>
        <v>5746.3000000000011</v>
      </c>
      <c r="AT39" s="37">
        <f t="shared" si="202"/>
        <v>5820.9</v>
      </c>
      <c r="AU39" s="37">
        <f t="shared" ref="AU39" si="217">SUM(AU41:AU52)</f>
        <v>5892.9</v>
      </c>
      <c r="AV39" s="37">
        <f>SUM(AW41:AW52)</f>
        <v>6036.8000000000011</v>
      </c>
      <c r="AW39" s="37">
        <f t="shared" ref="AW39:AY39" si="218">SUM(AW41:AW52)</f>
        <v>6036.8000000000011</v>
      </c>
      <c r="AX39" s="37">
        <f t="shared" si="218"/>
        <v>6141.9000000000005</v>
      </c>
      <c r="AY39" s="37">
        <f t="shared" si="218"/>
        <v>6196.4000000000005</v>
      </c>
      <c r="AZ39" s="37">
        <f t="shared" ref="AZ39:BA39" si="219">SUM(AZ41:AZ52)</f>
        <v>6213.9999999999991</v>
      </c>
      <c r="BA39" s="37">
        <f t="shared" si="219"/>
        <v>6216.8</v>
      </c>
      <c r="BB39" s="37">
        <f t="shared" ref="BB39:BE39" si="220">SUM(BB41:BB52)</f>
        <v>6187.9</v>
      </c>
      <c r="BC39" s="37">
        <f t="shared" si="220"/>
        <v>5969.2000000000007</v>
      </c>
      <c r="BD39" s="37">
        <f t="shared" si="220"/>
        <v>6140.2000000000007</v>
      </c>
      <c r="BE39" s="37">
        <f t="shared" si="220"/>
        <v>6302.6</v>
      </c>
      <c r="BF39" s="38">
        <f t="shared" si="202"/>
        <v>545</v>
      </c>
      <c r="BG39" s="37">
        <f t="shared" si="202"/>
        <v>520.80000000000007</v>
      </c>
      <c r="BH39" s="37">
        <f t="shared" si="202"/>
        <v>511.3</v>
      </c>
      <c r="BI39" s="37">
        <f t="shared" ref="BI39:BJ39" si="221">SUM(BI41:BI52)</f>
        <v>507.59999999999997</v>
      </c>
      <c r="BJ39" s="37">
        <f t="shared" si="221"/>
        <v>506.8</v>
      </c>
      <c r="BK39" s="37">
        <f t="shared" ref="BK39:BM39" si="222">SUM(BK41:BK52)</f>
        <v>505.50000000000006</v>
      </c>
      <c r="BL39" s="37">
        <f t="shared" si="222"/>
        <v>493.6</v>
      </c>
      <c r="BM39" s="37">
        <f t="shared" si="222"/>
        <v>487.8</v>
      </c>
      <c r="BN39" s="37">
        <f t="shared" ref="BN39:BO39" si="223">SUM(BN41:BN52)</f>
        <v>478.1</v>
      </c>
      <c r="BO39" s="37">
        <f t="shared" si="223"/>
        <v>467.70000000000005</v>
      </c>
      <c r="BP39" s="37">
        <f t="shared" ref="BP39:BQ39" si="224">SUM(BP41:BP52)</f>
        <v>458.70000000000005</v>
      </c>
      <c r="BQ39" s="37">
        <f t="shared" si="224"/>
        <v>422.8</v>
      </c>
      <c r="BR39" s="37">
        <f t="shared" ref="BR39:BS39" si="225">SUM(BR41:BR52)</f>
        <v>433.90000000000003</v>
      </c>
      <c r="BS39" s="37">
        <f t="shared" si="225"/>
        <v>454.5</v>
      </c>
      <c r="BT39" s="38">
        <f t="shared" si="202"/>
        <v>5226.1000000000004</v>
      </c>
      <c r="BU39" s="37">
        <f t="shared" ref="BU39:DL39" si="226">SUM(BU41:BU52)</f>
        <v>5287.5</v>
      </c>
      <c r="BV39" s="37">
        <f t="shared" si="226"/>
        <v>5453.8</v>
      </c>
      <c r="BW39" s="37">
        <f t="shared" ref="BW39:BX39" si="227">SUM(BW41:BW52)</f>
        <v>5602.6</v>
      </c>
      <c r="BX39" s="37">
        <f t="shared" si="227"/>
        <v>5740.9</v>
      </c>
      <c r="BY39" s="37">
        <f t="shared" ref="BY39:CA39" si="228">SUM(BY41:BY52)</f>
        <v>5854.7000000000007</v>
      </c>
      <c r="BZ39" s="37">
        <f t="shared" si="228"/>
        <v>5973.7000000000007</v>
      </c>
      <c r="CA39" s="37">
        <f t="shared" si="228"/>
        <v>6062.3</v>
      </c>
      <c r="CB39" s="37">
        <f t="shared" ref="CB39:CC39" si="229">SUM(CB41:CB52)</f>
        <v>6102.0000000000009</v>
      </c>
      <c r="CC39" s="37">
        <f t="shared" si="229"/>
        <v>6176</v>
      </c>
      <c r="CD39" s="37">
        <f t="shared" ref="CD39:CE39" si="230">SUM(CD41:CD52)</f>
        <v>6198</v>
      </c>
      <c r="CE39" s="37">
        <f t="shared" si="230"/>
        <v>5929.7000000000016</v>
      </c>
      <c r="CF39" s="37">
        <f t="shared" ref="CF39:CG39" si="231">SUM(CF41:CF52)</f>
        <v>6120.5000000000009</v>
      </c>
      <c r="CG39" s="37">
        <f t="shared" si="231"/>
        <v>6308.7</v>
      </c>
      <c r="CH39" s="38">
        <f>SUM(CI41:CI52)</f>
        <v>4641.2</v>
      </c>
      <c r="CI39" s="37">
        <f t="shared" si="226"/>
        <v>4641.2</v>
      </c>
      <c r="CJ39" s="37">
        <f t="shared" si="226"/>
        <v>4716.7000000000007</v>
      </c>
      <c r="CK39" s="37">
        <f t="shared" ref="CK39:CL39" si="232">SUM(CK41:CK52)</f>
        <v>4792.2000000000007</v>
      </c>
      <c r="CL39" s="37">
        <f t="shared" si="232"/>
        <v>4863.1000000000004</v>
      </c>
      <c r="CM39" s="37">
        <f t="shared" ref="CM39:CO39" si="233">SUM(CM41:CM52)</f>
        <v>4912</v>
      </c>
      <c r="CN39" s="37">
        <f t="shared" si="233"/>
        <v>5000.0000000000009</v>
      </c>
      <c r="CO39" s="37">
        <f t="shared" si="233"/>
        <v>5101</v>
      </c>
      <c r="CP39" s="37">
        <f t="shared" ref="CP39:CQ39" si="234">SUM(CP41:CP52)</f>
        <v>5160.9000000000005</v>
      </c>
      <c r="CQ39" s="37">
        <f t="shared" si="234"/>
        <v>5228.9000000000005</v>
      </c>
      <c r="CR39" s="37">
        <f t="shared" ref="CR39:CU39" si="235">SUM(CR41:CR52)</f>
        <v>5278.5</v>
      </c>
      <c r="CS39" s="37">
        <f t="shared" si="235"/>
        <v>5063.5</v>
      </c>
      <c r="CT39" s="37">
        <f t="shared" si="235"/>
        <v>5124.8999999999996</v>
      </c>
      <c r="CU39" s="37">
        <f t="shared" si="235"/>
        <v>5193.6000000000004</v>
      </c>
      <c r="CV39" s="38">
        <f t="shared" si="226"/>
        <v>4119.8</v>
      </c>
      <c r="CW39" s="37">
        <f t="shared" si="226"/>
        <v>4078.1999999999989</v>
      </c>
      <c r="CX39" s="37">
        <f t="shared" si="226"/>
        <v>4116.0000000000009</v>
      </c>
      <c r="CY39" s="37">
        <f t="shared" ref="CY39:CZ39" si="236">SUM(CY41:CY52)</f>
        <v>4201.8</v>
      </c>
      <c r="CZ39" s="37">
        <f t="shared" si="236"/>
        <v>4269.2</v>
      </c>
      <c r="DA39" s="37">
        <f t="shared" ref="DA39:DC39" si="237">SUM(DA41:DA52)</f>
        <v>4322.5999999999995</v>
      </c>
      <c r="DB39" s="37">
        <f t="shared" si="237"/>
        <v>4409.8999999999996</v>
      </c>
      <c r="DC39" s="37">
        <f t="shared" si="237"/>
        <v>4482.2999999999993</v>
      </c>
      <c r="DD39" s="37">
        <f t="shared" ref="DD39:DE39" si="238">SUM(DD41:DD52)</f>
        <v>4537</v>
      </c>
      <c r="DE39" s="37">
        <f t="shared" si="238"/>
        <v>4566.2</v>
      </c>
      <c r="DF39" s="37">
        <f t="shared" ref="DF39:DG39" si="239">SUM(DF41:DF52)</f>
        <v>4594.4000000000005</v>
      </c>
      <c r="DG39" s="37">
        <f t="shared" si="239"/>
        <v>3779.2000000000003</v>
      </c>
      <c r="DH39" s="37">
        <f t="shared" ref="DH39" si="240">SUM(DH41:DH52)</f>
        <v>4062.8</v>
      </c>
      <c r="DI39" s="37">
        <f>SUM(DI41:DI52)</f>
        <v>4363.0999999999995</v>
      </c>
      <c r="DJ39" s="38">
        <f t="shared" si="226"/>
        <v>4864.8000000000011</v>
      </c>
      <c r="DK39" s="37">
        <f t="shared" si="226"/>
        <v>4839.3999999999996</v>
      </c>
      <c r="DL39" s="37">
        <f t="shared" si="226"/>
        <v>4760.0999999999995</v>
      </c>
      <c r="DM39" s="37">
        <f t="shared" ref="DM39:DN39" si="241">SUM(DM41:DM52)</f>
        <v>4737.5999999999995</v>
      </c>
      <c r="DN39" s="37">
        <f t="shared" si="241"/>
        <v>4712.6000000000013</v>
      </c>
      <c r="DO39" s="37">
        <f t="shared" ref="DO39:DQ39" si="242">SUM(DO41:DO52)</f>
        <v>4713.7</v>
      </c>
      <c r="DP39" s="37">
        <f>SUM(DQ41:DQ52)</f>
        <v>4754</v>
      </c>
      <c r="DQ39" s="37">
        <f t="shared" si="242"/>
        <v>4754</v>
      </c>
      <c r="DR39" s="37">
        <f t="shared" ref="DR39:DS39" si="243">SUM(DR41:DR52)</f>
        <v>4761.3</v>
      </c>
      <c r="DS39" s="86">
        <f t="shared" si="243"/>
        <v>4763.3</v>
      </c>
      <c r="DT39" s="86">
        <f t="shared" ref="DT39:DU39" si="244">SUM(DT41:DT52)</f>
        <v>4780</v>
      </c>
      <c r="DU39" s="37">
        <f t="shared" si="244"/>
        <v>4583.5999999999995</v>
      </c>
      <c r="DV39" s="37">
        <f t="shared" ref="DV39:DW39" si="245">SUM(DV41:DV52)</f>
        <v>4568.3999999999996</v>
      </c>
      <c r="DW39" s="37">
        <f t="shared" si="245"/>
        <v>4628.7</v>
      </c>
    </row>
    <row r="40" spans="1:127">
      <c r="A40" s="19" t="s">
        <v>91</v>
      </c>
      <c r="B40" s="37">
        <f t="shared" ref="B40:AE40" si="246">(B39/B5)*100</f>
        <v>22.8747342512935</v>
      </c>
      <c r="C40" s="37">
        <f t="shared" si="246"/>
        <v>22.918134715025907</v>
      </c>
      <c r="D40" s="37">
        <f t="shared" si="246"/>
        <v>22.955962439890172</v>
      </c>
      <c r="E40" s="37">
        <f t="shared" ref="E40:F40" si="247">(E39/E5)*100</f>
        <v>22.934737218874901</v>
      </c>
      <c r="F40" s="37">
        <f t="shared" si="247"/>
        <v>22.841054892846408</v>
      </c>
      <c r="G40" s="37">
        <f t="shared" ref="G40:I40" si="248">(G39/G5)*100</f>
        <v>22.708174508421916</v>
      </c>
      <c r="H40" s="37">
        <f t="shared" si="248"/>
        <v>22.555731000116054</v>
      </c>
      <c r="I40" s="37">
        <f t="shared" si="248"/>
        <v>22.426365831864839</v>
      </c>
      <c r="J40" s="37">
        <f t="shared" ref="J40" si="249">(J39/J5)*100</f>
        <v>22.287910441447572</v>
      </c>
      <c r="K40" s="37">
        <f t="shared" ref="K40:L40" si="250">(K39/K5)*100</f>
        <v>22.137446123766686</v>
      </c>
      <c r="L40" s="37">
        <f t="shared" si="250"/>
        <v>21.942958576113597</v>
      </c>
      <c r="M40" s="37">
        <f t="shared" ref="M40:O40" si="251">(M39/M5)*100</f>
        <v>21.935720629246017</v>
      </c>
      <c r="N40" s="37">
        <f t="shared" si="251"/>
        <v>21.762439910455733</v>
      </c>
      <c r="O40" s="37">
        <f t="shared" si="251"/>
        <v>21.515420026635066</v>
      </c>
      <c r="P40" s="38">
        <f t="shared" si="246"/>
        <v>19.858679942187248</v>
      </c>
      <c r="Q40" s="37">
        <f t="shared" si="246"/>
        <v>19.050819672131148</v>
      </c>
      <c r="R40" s="37">
        <f t="shared" si="246"/>
        <v>18.689274447949526</v>
      </c>
      <c r="S40" s="37">
        <f t="shared" ref="S40:T40" si="252">(S39/S5)*100</f>
        <v>18.785868559086698</v>
      </c>
      <c r="T40" s="37">
        <f t="shared" si="252"/>
        <v>18.718139812192579</v>
      </c>
      <c r="U40" s="37">
        <f t="shared" ref="U40:W40" si="253">(U39/U5)*100</f>
        <v>18.564978128968534</v>
      </c>
      <c r="V40" s="37">
        <f t="shared" si="253"/>
        <v>18.766006664280006</v>
      </c>
      <c r="W40" s="37">
        <f t="shared" si="253"/>
        <v>18.696165271767878</v>
      </c>
      <c r="X40" s="37">
        <f t="shared" ref="X40:Y40" si="254">(X39/X5)*100</f>
        <v>18.509129121239983</v>
      </c>
      <c r="Y40" s="37">
        <f t="shared" si="254"/>
        <v>18.141270479445172</v>
      </c>
      <c r="Z40" s="37">
        <f t="shared" ref="Z40" si="255">(Z39/Z5)*100</f>
        <v>18.045177045177049</v>
      </c>
      <c r="AA40" s="37">
        <f t="shared" ref="AA40:AC40" si="256">(AA39/AA5)*100</f>
        <v>18.324345787808536</v>
      </c>
      <c r="AB40" s="37">
        <f t="shared" si="256"/>
        <v>18.390531953408821</v>
      </c>
      <c r="AC40" s="37">
        <f t="shared" si="256"/>
        <v>18.375540827210955</v>
      </c>
      <c r="AD40" s="38">
        <f t="shared" si="246"/>
        <v>31.550374108230383</v>
      </c>
      <c r="AE40" s="37">
        <f t="shared" si="246"/>
        <v>30.865218890037916</v>
      </c>
      <c r="AF40" s="37">
        <f t="shared" ref="AF40:BT40" si="257">(AF39/AF5)*100</f>
        <v>31.372033898305084</v>
      </c>
      <c r="AG40" s="37">
        <f t="shared" ref="AG40:AH40" si="258">(AG39/AG5)*100</f>
        <v>31.813848469643752</v>
      </c>
      <c r="AH40" s="37">
        <f t="shared" si="258"/>
        <v>31.82720953326713</v>
      </c>
      <c r="AI40" s="37">
        <f t="shared" ref="AI40:AK40" si="259">(AI39/AI5)*100</f>
        <v>31.807836124207451</v>
      </c>
      <c r="AJ40" s="37">
        <f t="shared" si="259"/>
        <v>32.128435903673072</v>
      </c>
      <c r="AK40" s="37">
        <f t="shared" si="259"/>
        <v>32.163771148636606</v>
      </c>
      <c r="AL40" s="37">
        <f t="shared" ref="AL40:AM40" si="260">(AL39/AL5)*100</f>
        <v>32.218263128684832</v>
      </c>
      <c r="AM40" s="37">
        <f t="shared" si="260"/>
        <v>32.267692040457007</v>
      </c>
      <c r="AN40" s="37">
        <f t="shared" ref="AN40:AQ40" si="261">(AN39/AN5)*100</f>
        <v>32.089143893440067</v>
      </c>
      <c r="AO40" s="37">
        <f t="shared" si="261"/>
        <v>31.782561253843848</v>
      </c>
      <c r="AP40" s="37">
        <f t="shared" si="261"/>
        <v>31.863587714461776</v>
      </c>
      <c r="AQ40" s="37">
        <f t="shared" si="261"/>
        <v>31.701155897580279</v>
      </c>
      <c r="AR40" s="38">
        <f t="shared" si="257"/>
        <v>23.143368462915088</v>
      </c>
      <c r="AS40" s="37">
        <f t="shared" si="257"/>
        <v>22.62679162072768</v>
      </c>
      <c r="AT40" s="37">
        <f t="shared" si="257"/>
        <v>22.462375549895807</v>
      </c>
      <c r="AU40" s="37">
        <f t="shared" ref="AU40" si="262">(AU39/AU5)*100</f>
        <v>22.382634457611665</v>
      </c>
      <c r="AV40" s="37">
        <f>(AW39/AW5)*100</f>
        <v>22.030508721991097</v>
      </c>
      <c r="AW40" s="37">
        <f t="shared" ref="AW40:AY40" si="263">(AW39/AW5)*100</f>
        <v>22.030508721991097</v>
      </c>
      <c r="AX40" s="37">
        <f t="shared" si="263"/>
        <v>22.803689044991799</v>
      </c>
      <c r="AY40" s="37">
        <f t="shared" si="263"/>
        <v>22.710413276451018</v>
      </c>
      <c r="AZ40" s="37">
        <f t="shared" ref="AZ40:BA40" si="264">(AZ39/AZ5)*100</f>
        <v>22.587821333023143</v>
      </c>
      <c r="BA40" s="37">
        <f t="shared" si="264"/>
        <v>22.480816379665729</v>
      </c>
      <c r="BB40" s="37">
        <f t="shared" ref="BB40:BE40" si="265">(BB39/BB5)*100</f>
        <v>22.31924831827445</v>
      </c>
      <c r="BC40" s="37">
        <f t="shared" si="265"/>
        <v>22.412038792666486</v>
      </c>
      <c r="BD40" s="37">
        <f t="shared" si="265"/>
        <v>22.183524753333746</v>
      </c>
      <c r="BE40" s="37">
        <f t="shared" si="265"/>
        <v>21.99131178143373</v>
      </c>
      <c r="BF40" s="38">
        <f t="shared" si="257"/>
        <v>19.782214156079856</v>
      </c>
      <c r="BG40" s="37">
        <f t="shared" si="257"/>
        <v>19.303187546330619</v>
      </c>
      <c r="BH40" s="37">
        <f t="shared" si="257"/>
        <v>18.965133531157271</v>
      </c>
      <c r="BI40" s="37">
        <f t="shared" ref="BI40:BJ40" si="266">(BI39/BI5)*100</f>
        <v>18.933233867959714</v>
      </c>
      <c r="BJ40" s="37">
        <f t="shared" si="266"/>
        <v>18.550512445095169</v>
      </c>
      <c r="BK40" s="37">
        <f t="shared" ref="BK40:BM40" si="267">(BK39/BK5)*100</f>
        <v>18.216216216216218</v>
      </c>
      <c r="BL40" s="37">
        <f t="shared" si="267"/>
        <v>17.818851305007044</v>
      </c>
      <c r="BM40" s="37">
        <f t="shared" si="267"/>
        <v>17.349551856594111</v>
      </c>
      <c r="BN40" s="37">
        <f t="shared" ref="BN40:BO40" si="268">(BN39/BN5)*100</f>
        <v>16.973763624099121</v>
      </c>
      <c r="BO40" s="37">
        <f t="shared" si="268"/>
        <v>16.46309268189658</v>
      </c>
      <c r="BP40" s="37">
        <f t="shared" ref="BP40:BQ40" si="269">(BP39/BP5)*100</f>
        <v>15.998186383928573</v>
      </c>
      <c r="BQ40" s="37">
        <f t="shared" si="269"/>
        <v>15.591120289106863</v>
      </c>
      <c r="BR40" s="37">
        <f t="shared" ref="BR40:BS40" si="270">(BR39/BR5)*100</f>
        <v>15.197898423817859</v>
      </c>
      <c r="BS40" s="37">
        <f t="shared" si="270"/>
        <v>14.886996396986572</v>
      </c>
      <c r="BT40" s="38">
        <f t="shared" si="257"/>
        <v>21.484480986639262</v>
      </c>
      <c r="BU40" s="37">
        <f t="shared" ref="BU40:CX40" si="271">(BU39/BU5)*100</f>
        <v>21.302526086781352</v>
      </c>
      <c r="BV40" s="37">
        <f t="shared" si="271"/>
        <v>21.437050430407613</v>
      </c>
      <c r="BW40" s="37">
        <f t="shared" ref="BW40:BX40" si="272">(BW39/BW5)*100</f>
        <v>21.482361963190186</v>
      </c>
      <c r="BX40" s="37">
        <f t="shared" si="272"/>
        <v>21.482992179021814</v>
      </c>
      <c r="BY40" s="37">
        <f t="shared" ref="BY40:CA40" si="273">(BY39/BY5)*100</f>
        <v>21.229603306983829</v>
      </c>
      <c r="BZ40" s="37">
        <f t="shared" si="273"/>
        <v>21.532278412572548</v>
      </c>
      <c r="CA40" s="37">
        <f t="shared" si="273"/>
        <v>21.414441846171233</v>
      </c>
      <c r="CB40" s="37">
        <f t="shared" ref="CB40:CC40" si="274">(CB39/CB5)*100</f>
        <v>21.241266956984877</v>
      </c>
      <c r="CC40" s="37">
        <f t="shared" si="274"/>
        <v>21.039220295216783</v>
      </c>
      <c r="CD40" s="37">
        <f t="shared" ref="CD40:CE40" si="275">(CD39/CD5)*100</f>
        <v>20.75658731966082</v>
      </c>
      <c r="CE40" s="37">
        <f t="shared" si="275"/>
        <v>20.577304132673078</v>
      </c>
      <c r="CF40" s="37">
        <f t="shared" ref="CF40:CG40" si="276">(CF39/CF5)*100</f>
        <v>20.386105272974973</v>
      </c>
      <c r="CG40" s="37">
        <f t="shared" si="276"/>
        <v>19.918478432462123</v>
      </c>
      <c r="CH40" s="38">
        <f>(CI39/CI5)*100</f>
        <v>22.978512724032083</v>
      </c>
      <c r="CI40" s="37">
        <f t="shared" si="271"/>
        <v>22.978512724032083</v>
      </c>
      <c r="CJ40" s="37">
        <f t="shared" si="271"/>
        <v>22.93222481524699</v>
      </c>
      <c r="CK40" s="37">
        <f t="shared" ref="CK40:CL40" si="277">(CK39/CK5)*100</f>
        <v>22.726927819406246</v>
      </c>
      <c r="CL40" s="37">
        <f t="shared" si="277"/>
        <v>22.716274289985051</v>
      </c>
      <c r="CM40" s="37">
        <f t="shared" ref="CM40:CO40" si="278">(CM39/CM5)*100</f>
        <v>22.436395194811126</v>
      </c>
      <c r="CN40" s="37">
        <f t="shared" si="278"/>
        <v>22.665457842248422</v>
      </c>
      <c r="CO40" s="37">
        <f t="shared" si="278"/>
        <v>22.50676173541649</v>
      </c>
      <c r="CP40" s="37">
        <f t="shared" ref="CP40:CQ40" si="279">(CP39/CP5)*100</f>
        <v>22.310748360489203</v>
      </c>
      <c r="CQ40" s="37">
        <f t="shared" si="279"/>
        <v>22.141063587437493</v>
      </c>
      <c r="CR40" s="37">
        <f t="shared" ref="CR40:CU40" si="280">(CR39/CR5)*100</f>
        <v>21.90239874523342</v>
      </c>
      <c r="CS40" s="37">
        <f t="shared" si="280"/>
        <v>21.858973252059201</v>
      </c>
      <c r="CT40" s="37">
        <f t="shared" si="280"/>
        <v>21.915986366921402</v>
      </c>
      <c r="CU40" s="37">
        <f t="shared" si="280"/>
        <v>21.332457077137935</v>
      </c>
      <c r="CV40" s="38">
        <f t="shared" si="271"/>
        <v>22.977133296151703</v>
      </c>
      <c r="CW40" s="37">
        <f t="shared" si="271"/>
        <v>22.491727332892118</v>
      </c>
      <c r="CX40" s="37">
        <f t="shared" si="271"/>
        <v>22.157622739018095</v>
      </c>
      <c r="CY40" s="37">
        <f t="shared" ref="CY40:CZ40" si="281">(CY39/CY5)*100</f>
        <v>22.024321207673761</v>
      </c>
      <c r="CZ40" s="37">
        <f t="shared" si="281"/>
        <v>21.748344370860924</v>
      </c>
      <c r="DA40" s="37">
        <f t="shared" ref="DA40:DC40" si="282">(DA39/DA5)*100</f>
        <v>21.4138511839889</v>
      </c>
      <c r="DB40" s="37">
        <f t="shared" si="282"/>
        <v>21.276934508014005</v>
      </c>
      <c r="DC40" s="37">
        <f t="shared" si="282"/>
        <v>21.082064982221123</v>
      </c>
      <c r="DD40" s="37">
        <f t="shared" ref="DD40:DE40" si="283">(DD39/DD5)*100</f>
        <v>20.944897883812825</v>
      </c>
      <c r="DE40" s="37">
        <f t="shared" si="283"/>
        <v>20.782944713234318</v>
      </c>
      <c r="DF40" s="37">
        <f t="shared" ref="DF40:DG40" si="284">(DF39/DF5)*100</f>
        <v>20.605185381189649</v>
      </c>
      <c r="DG40" s="37">
        <f t="shared" si="284"/>
        <v>21.024756606397776</v>
      </c>
      <c r="DH40" s="37">
        <f t="shared" ref="DH40:DI40" si="285">(DH39/DH5)*100</f>
        <v>20.746459957820772</v>
      </c>
      <c r="DI40" s="37">
        <f t="shared" si="285"/>
        <v>20.261447014024327</v>
      </c>
      <c r="DJ40" s="38">
        <f t="shared" ref="DJ40:DL40" si="286">(DJ39/DJ5)*100</f>
        <v>21.299474605954472</v>
      </c>
      <c r="DK40" s="37">
        <f t="shared" si="286"/>
        <v>21.406643959835449</v>
      </c>
      <c r="DL40" s="37">
        <f t="shared" si="286"/>
        <v>21.355316285329742</v>
      </c>
      <c r="DM40" s="37">
        <f t="shared" ref="DM40:DN40" si="287">(DM39/DM5)*100</f>
        <v>21.297370195549558</v>
      </c>
      <c r="DN40" s="37">
        <f t="shared" si="287"/>
        <v>21.248027413318912</v>
      </c>
      <c r="DO40" s="37">
        <f t="shared" ref="DO40:DQ40" si="288">(DO39/DO5)*100</f>
        <v>21.174700148241318</v>
      </c>
      <c r="DP40" s="37">
        <f>(DQ39/DQ5)*100</f>
        <v>21.069613044191232</v>
      </c>
      <c r="DQ40" s="37">
        <f t="shared" si="288"/>
        <v>21.069613044191232</v>
      </c>
      <c r="DR40" s="37">
        <f t="shared" ref="DR40:DS40" si="289">(DR39/DR5)*100</f>
        <v>20.996256102024528</v>
      </c>
      <c r="DS40" s="37">
        <f t="shared" si="289"/>
        <v>20.91166114969576</v>
      </c>
      <c r="DT40" s="37">
        <f t="shared" ref="DT40:DU40" si="290">(DT39/DT5)*100</f>
        <v>20.852055105263613</v>
      </c>
      <c r="DU40" s="37">
        <f t="shared" si="290"/>
        <v>20.625292487130565</v>
      </c>
      <c r="DV40" s="37">
        <f t="shared" ref="DV40:DW40" si="291">(DV39/DV5)*100</f>
        <v>20.647668979232101</v>
      </c>
      <c r="DW40" s="37">
        <f t="shared" si="291"/>
        <v>20.768516316613646</v>
      </c>
    </row>
    <row r="41" spans="1:127" ht="14.45">
      <c r="A41" s="20" t="s">
        <v>48</v>
      </c>
      <c r="B41" s="39">
        <v>5657.4</v>
      </c>
      <c r="C41" s="39">
        <v>5612.7</v>
      </c>
      <c r="D41" s="39">
        <v>5676.6</v>
      </c>
      <c r="E41" s="39">
        <v>5750.7</v>
      </c>
      <c r="F41" s="39">
        <v>5805.4</v>
      </c>
      <c r="G41" s="39">
        <v>5872.5</v>
      </c>
      <c r="H41" s="39">
        <v>5969.4</v>
      </c>
      <c r="I41" s="39">
        <v>6012.8</v>
      </c>
      <c r="J41" s="39">
        <v>6062.4</v>
      </c>
      <c r="K41" s="39">
        <v>6117.4</v>
      </c>
      <c r="L41" s="88">
        <v>6118</v>
      </c>
      <c r="M41" s="88">
        <v>5690.4</v>
      </c>
      <c r="N41" s="88">
        <v>5811</v>
      </c>
      <c r="O41" s="88">
        <v>6032.8</v>
      </c>
      <c r="P41" s="40">
        <v>226.5</v>
      </c>
      <c r="Q41" s="39">
        <v>207.4</v>
      </c>
      <c r="R41" s="39">
        <v>205.29999999999998</v>
      </c>
      <c r="S41" s="39">
        <v>199.29999999999998</v>
      </c>
      <c r="T41" s="39">
        <v>201.1</v>
      </c>
      <c r="U41" s="39">
        <v>211.3</v>
      </c>
      <c r="V41" s="39">
        <v>222.9</v>
      </c>
      <c r="W41" s="39">
        <v>225</v>
      </c>
      <c r="X41" s="39">
        <v>228</v>
      </c>
      <c r="Y41" s="39">
        <v>233.60000000000002</v>
      </c>
      <c r="Z41" s="39">
        <v>235</v>
      </c>
      <c r="AA41" s="39">
        <v>223.3</v>
      </c>
      <c r="AB41" s="39">
        <f>6.6+222.6</f>
        <v>229.2</v>
      </c>
      <c r="AC41" s="39">
        <f>6.9+230.6</f>
        <v>237.5</v>
      </c>
      <c r="AD41" s="40">
        <v>576.70000000000005</v>
      </c>
      <c r="AE41" s="39">
        <v>561</v>
      </c>
      <c r="AF41" s="39">
        <v>573.9</v>
      </c>
      <c r="AG41" s="39">
        <v>583</v>
      </c>
      <c r="AH41" s="39">
        <v>579.20000000000005</v>
      </c>
      <c r="AI41" s="39">
        <v>579.29999999999995</v>
      </c>
      <c r="AJ41" s="39">
        <v>581.29999999999995</v>
      </c>
      <c r="AK41" s="39">
        <v>574.1</v>
      </c>
      <c r="AL41" s="39">
        <v>576.70000000000005</v>
      </c>
      <c r="AM41" s="39">
        <v>588.29999999999995</v>
      </c>
      <c r="AN41" s="39">
        <v>585.5</v>
      </c>
      <c r="AO41" s="39">
        <v>554.20000000000005</v>
      </c>
      <c r="AP41" s="109">
        <v>555.20000000000005</v>
      </c>
      <c r="AQ41" s="109">
        <v>569.70000000000005</v>
      </c>
      <c r="AR41" s="40">
        <v>1139.5</v>
      </c>
      <c r="AS41" s="39">
        <v>1125.5999999999999</v>
      </c>
      <c r="AT41" s="39">
        <v>1143.8</v>
      </c>
      <c r="AU41" s="39">
        <v>1156.3</v>
      </c>
      <c r="AV41" s="39">
        <v>1163.4000000000001</v>
      </c>
      <c r="AW41" s="39">
        <v>1175</v>
      </c>
      <c r="AX41" s="39">
        <v>1201.4000000000001</v>
      </c>
      <c r="AY41" s="39">
        <v>1208.8</v>
      </c>
      <c r="AZ41" s="39">
        <v>1213.0999999999999</v>
      </c>
      <c r="BA41" s="39">
        <v>1216.0999999999999</v>
      </c>
      <c r="BB41" s="39">
        <v>1204.9000000000001</v>
      </c>
      <c r="BC41" s="39">
        <v>1157.4000000000001</v>
      </c>
      <c r="BD41" s="109">
        <v>1176.5</v>
      </c>
      <c r="BE41" s="109">
        <v>1217.3</v>
      </c>
      <c r="BF41" s="40">
        <v>106.4</v>
      </c>
      <c r="BG41" s="39">
        <v>101.8</v>
      </c>
      <c r="BH41" s="39">
        <v>100.6</v>
      </c>
      <c r="BI41" s="39">
        <v>100.1</v>
      </c>
      <c r="BJ41" s="39">
        <v>99</v>
      </c>
      <c r="BK41" s="39">
        <v>99</v>
      </c>
      <c r="BL41" s="39">
        <v>101</v>
      </c>
      <c r="BM41" s="39">
        <v>98.7</v>
      </c>
      <c r="BN41" s="39">
        <v>97.1</v>
      </c>
      <c r="BO41" s="39">
        <v>94.4</v>
      </c>
      <c r="BP41" s="88">
        <v>95.4</v>
      </c>
      <c r="BQ41" s="39">
        <v>87.4</v>
      </c>
      <c r="BR41" s="109">
        <v>90.4</v>
      </c>
      <c r="BS41" s="109">
        <v>95.3</v>
      </c>
      <c r="BT41" s="40">
        <v>1159.8</v>
      </c>
      <c r="BU41" s="39">
        <v>1165.5999999999999</v>
      </c>
      <c r="BV41" s="39">
        <v>1194.7</v>
      </c>
      <c r="BW41" s="39">
        <v>1231.0999999999999</v>
      </c>
      <c r="BX41" s="39">
        <v>1260.5999999999999</v>
      </c>
      <c r="BY41" s="39">
        <v>1284.4000000000001</v>
      </c>
      <c r="BZ41" s="39">
        <v>1304.0999999999999</v>
      </c>
      <c r="CA41" s="39">
        <v>1317.8</v>
      </c>
      <c r="CB41" s="39">
        <v>1331.3000000000002</v>
      </c>
      <c r="CC41" s="39">
        <v>1353.2</v>
      </c>
      <c r="CD41" s="39">
        <v>1355.9</v>
      </c>
      <c r="CE41">
        <v>1295.9000000000001</v>
      </c>
      <c r="CF41">
        <f>404.8+927.7</f>
        <v>1332.5</v>
      </c>
      <c r="CG41" s="100">
        <f>403+974</f>
        <v>1377</v>
      </c>
      <c r="CH41" s="40">
        <v>816.4</v>
      </c>
      <c r="CI41" s="39">
        <v>833.1</v>
      </c>
      <c r="CJ41" s="39">
        <v>848.5</v>
      </c>
      <c r="CK41" s="39">
        <v>862.7</v>
      </c>
      <c r="CL41" s="39">
        <v>875.6</v>
      </c>
      <c r="CM41" s="39">
        <v>886.6</v>
      </c>
      <c r="CN41" s="39">
        <v>899.4</v>
      </c>
      <c r="CO41" s="39">
        <v>914.3</v>
      </c>
      <c r="CP41" s="39">
        <v>923.8</v>
      </c>
      <c r="CQ41" s="39">
        <v>934</v>
      </c>
      <c r="CR41" s="39">
        <v>939.4</v>
      </c>
      <c r="CS41" s="39">
        <v>892</v>
      </c>
      <c r="CT41" s="39">
        <v>908.7</v>
      </c>
      <c r="CU41" s="109">
        <v>931.7</v>
      </c>
      <c r="CV41" s="40">
        <v>774.5</v>
      </c>
      <c r="CW41" s="39">
        <v>764.5</v>
      </c>
      <c r="CX41" s="39">
        <v>771.90000000000009</v>
      </c>
      <c r="CY41" s="39">
        <v>785.8</v>
      </c>
      <c r="CZ41" s="39">
        <v>795.8</v>
      </c>
      <c r="DA41" s="39">
        <v>808.6</v>
      </c>
      <c r="DB41" s="39">
        <v>830.3</v>
      </c>
      <c r="DC41" s="39">
        <v>844.7</v>
      </c>
      <c r="DD41" s="39">
        <v>861.5</v>
      </c>
      <c r="DE41" s="39">
        <v>871.69999999999993</v>
      </c>
      <c r="DF41" s="39">
        <v>876.5</v>
      </c>
      <c r="DG41" s="39">
        <v>694.4</v>
      </c>
      <c r="DH41" s="39">
        <f>503.4+238.2</f>
        <v>741.59999999999991</v>
      </c>
      <c r="DI41" s="39">
        <f>566+247.1</f>
        <v>813.1</v>
      </c>
      <c r="DJ41" s="40">
        <v>857.6</v>
      </c>
      <c r="DK41" s="39">
        <v>853.8</v>
      </c>
      <c r="DL41" s="39">
        <v>837.9</v>
      </c>
      <c r="DM41" s="39">
        <v>832.4</v>
      </c>
      <c r="DN41" s="39">
        <v>830.8</v>
      </c>
      <c r="DO41" s="39">
        <v>828.5</v>
      </c>
      <c r="DP41" s="39">
        <v>829.1</v>
      </c>
      <c r="DQ41" s="39">
        <v>829.3</v>
      </c>
      <c r="DR41" s="39">
        <v>831.1</v>
      </c>
      <c r="DS41" s="39">
        <v>826.3</v>
      </c>
      <c r="DT41" s="88">
        <v>825.4</v>
      </c>
      <c r="DU41" s="88">
        <v>785.8</v>
      </c>
      <c r="DV41" s="88">
        <v>777</v>
      </c>
      <c r="DW41" s="88">
        <v>791.3</v>
      </c>
    </row>
    <row r="42" spans="1:127" ht="14.45">
      <c r="A42" s="20" t="s">
        <v>49</v>
      </c>
      <c r="B42" s="39">
        <v>2791.4</v>
      </c>
      <c r="C42" s="39">
        <v>2798.6</v>
      </c>
      <c r="D42" s="39">
        <v>2844.5</v>
      </c>
      <c r="E42" s="39">
        <v>2901.6</v>
      </c>
      <c r="F42" s="39">
        <v>2937.5</v>
      </c>
      <c r="G42" s="39">
        <v>2980.3</v>
      </c>
      <c r="H42" s="39">
        <v>3036.4</v>
      </c>
      <c r="I42" s="39">
        <v>3082.8</v>
      </c>
      <c r="J42" s="39">
        <v>3105</v>
      </c>
      <c r="K42" s="39">
        <v>3144</v>
      </c>
      <c r="L42" s="88">
        <v>3166.2</v>
      </c>
      <c r="M42" s="88">
        <v>2986.7</v>
      </c>
      <c r="N42" s="88">
        <v>3084.7</v>
      </c>
      <c r="O42" s="88">
        <v>3193.6</v>
      </c>
      <c r="P42" s="40">
        <v>127</v>
      </c>
      <c r="Q42" s="39">
        <v>122.3</v>
      </c>
      <c r="R42" s="39">
        <v>127</v>
      </c>
      <c r="S42" s="39">
        <v>132</v>
      </c>
      <c r="T42" s="39">
        <v>130.4</v>
      </c>
      <c r="U42" s="39">
        <v>129.69999999999999</v>
      </c>
      <c r="V42" s="39">
        <v>133.9</v>
      </c>
      <c r="W42" s="39">
        <v>136.9</v>
      </c>
      <c r="X42" s="39">
        <v>143.6</v>
      </c>
      <c r="Y42" s="39">
        <v>147.5</v>
      </c>
      <c r="Z42" s="39">
        <v>152.19999999999999</v>
      </c>
      <c r="AA42" s="39">
        <v>149.4</v>
      </c>
      <c r="AB42" s="39">
        <f>5+149.6</f>
        <v>154.6</v>
      </c>
      <c r="AC42" s="39">
        <f>5.7+156.4</f>
        <v>162.1</v>
      </c>
      <c r="AD42" s="40">
        <v>441.6</v>
      </c>
      <c r="AE42" s="39">
        <v>447.3</v>
      </c>
      <c r="AF42" s="39">
        <v>463.7</v>
      </c>
      <c r="AG42" s="39">
        <v>481.8</v>
      </c>
      <c r="AH42" s="39">
        <v>492</v>
      </c>
      <c r="AI42" s="39">
        <v>507.1</v>
      </c>
      <c r="AJ42" s="39">
        <v>517.70000000000005</v>
      </c>
      <c r="AK42" s="39">
        <v>522.70000000000005</v>
      </c>
      <c r="AL42" s="39">
        <v>530.9</v>
      </c>
      <c r="AM42" s="39">
        <v>542</v>
      </c>
      <c r="AN42" s="39">
        <v>541.79999999999995</v>
      </c>
      <c r="AO42" s="39">
        <v>505.1</v>
      </c>
      <c r="AP42" s="109">
        <v>524.6</v>
      </c>
      <c r="AQ42" s="109">
        <v>541.6</v>
      </c>
      <c r="AR42" s="40">
        <v>548.6</v>
      </c>
      <c r="AS42" s="39">
        <v>542.70000000000005</v>
      </c>
      <c r="AT42" s="39">
        <v>551.5</v>
      </c>
      <c r="AU42" s="39">
        <v>561</v>
      </c>
      <c r="AV42" s="39">
        <v>568.20000000000005</v>
      </c>
      <c r="AW42" s="39">
        <v>575.5</v>
      </c>
      <c r="AX42" s="39">
        <v>583.6</v>
      </c>
      <c r="AY42" s="39">
        <v>595.1</v>
      </c>
      <c r="AZ42" s="39">
        <v>596.9</v>
      </c>
      <c r="BA42" s="39">
        <v>597.5</v>
      </c>
      <c r="BB42" s="39">
        <v>599.1</v>
      </c>
      <c r="BC42" s="39">
        <v>588.9</v>
      </c>
      <c r="BD42" s="109">
        <v>610.5</v>
      </c>
      <c r="BE42" s="109">
        <v>630.70000000000005</v>
      </c>
      <c r="BF42" s="40">
        <v>37.6</v>
      </c>
      <c r="BG42" s="39">
        <v>35.6</v>
      </c>
      <c r="BH42" s="39">
        <v>34.799999999999997</v>
      </c>
      <c r="BI42" s="39">
        <v>35.700000000000003</v>
      </c>
      <c r="BJ42" s="39">
        <v>35.799999999999997</v>
      </c>
      <c r="BK42" s="39">
        <v>35.6</v>
      </c>
      <c r="BL42" s="39">
        <v>33.6</v>
      </c>
      <c r="BM42" s="39">
        <v>32.5</v>
      </c>
      <c r="BN42" s="39">
        <v>31.4</v>
      </c>
      <c r="BO42" s="39">
        <v>29.4</v>
      </c>
      <c r="BP42" s="88">
        <v>28.8</v>
      </c>
      <c r="BQ42" s="39">
        <v>25.7</v>
      </c>
      <c r="BR42" s="109">
        <v>26.1</v>
      </c>
      <c r="BS42" s="109">
        <v>26.9</v>
      </c>
      <c r="BT42" s="40">
        <v>392.90000000000003</v>
      </c>
      <c r="BU42" s="39">
        <v>406</v>
      </c>
      <c r="BV42" s="39">
        <v>419.5</v>
      </c>
      <c r="BW42" s="39">
        <v>428.5</v>
      </c>
      <c r="BX42" s="39">
        <v>436.2</v>
      </c>
      <c r="BY42" s="39">
        <v>448.7</v>
      </c>
      <c r="BZ42" s="39">
        <v>462.3</v>
      </c>
      <c r="CA42" s="39">
        <v>468.6</v>
      </c>
      <c r="CB42" s="39">
        <v>472.7</v>
      </c>
      <c r="CC42" s="39">
        <v>481.4</v>
      </c>
      <c r="CD42" s="39">
        <v>485.5</v>
      </c>
      <c r="CE42">
        <v>466.2</v>
      </c>
      <c r="CF42">
        <f>144+348.2</f>
        <v>492.2</v>
      </c>
      <c r="CG42" s="100">
        <f>148+369</f>
        <v>517</v>
      </c>
      <c r="CH42" s="40">
        <v>414.1</v>
      </c>
      <c r="CI42" s="39">
        <v>419.6</v>
      </c>
      <c r="CJ42" s="39">
        <v>424</v>
      </c>
      <c r="CK42" s="39">
        <v>431.2</v>
      </c>
      <c r="CL42" s="39">
        <v>437.8</v>
      </c>
      <c r="CM42" s="39">
        <v>438.2</v>
      </c>
      <c r="CN42" s="39">
        <v>451.4</v>
      </c>
      <c r="CO42" s="39">
        <v>464.1</v>
      </c>
      <c r="CP42" s="39">
        <v>469.3</v>
      </c>
      <c r="CQ42" s="39">
        <v>475.2</v>
      </c>
      <c r="CR42" s="39">
        <v>482</v>
      </c>
      <c r="CS42" s="39">
        <v>462.9</v>
      </c>
      <c r="CT42" s="39">
        <v>466.6</v>
      </c>
      <c r="CU42" s="109">
        <v>475</v>
      </c>
      <c r="CV42" s="40">
        <v>391.6</v>
      </c>
      <c r="CW42" s="39">
        <v>388.1</v>
      </c>
      <c r="CX42" s="39">
        <v>394.1</v>
      </c>
      <c r="CY42" s="39">
        <v>403.4</v>
      </c>
      <c r="CZ42" s="39">
        <v>412.6</v>
      </c>
      <c r="DA42" s="39">
        <v>419</v>
      </c>
      <c r="DB42" s="39">
        <v>426.9</v>
      </c>
      <c r="DC42" s="39">
        <v>434</v>
      </c>
      <c r="DD42" s="39">
        <v>433.7</v>
      </c>
      <c r="DE42" s="39">
        <v>441.3</v>
      </c>
      <c r="DF42" s="39">
        <v>447.6</v>
      </c>
      <c r="DG42" s="39">
        <v>376</v>
      </c>
      <c r="DH42" s="39">
        <f>283.2+119.6</f>
        <v>402.79999999999995</v>
      </c>
      <c r="DI42" s="39">
        <f>303.1+126.3</f>
        <v>429.40000000000003</v>
      </c>
      <c r="DJ42" s="40">
        <v>438.1</v>
      </c>
      <c r="DK42" s="39">
        <v>437.2</v>
      </c>
      <c r="DL42" s="39">
        <v>429.9</v>
      </c>
      <c r="DM42" s="39">
        <v>428.1</v>
      </c>
      <c r="DN42" s="39">
        <v>424.5</v>
      </c>
      <c r="DO42" s="39">
        <v>426.6</v>
      </c>
      <c r="DP42" s="39">
        <v>427</v>
      </c>
      <c r="DQ42" s="39">
        <v>428.9</v>
      </c>
      <c r="DR42" s="39">
        <v>426.5</v>
      </c>
      <c r="DS42" s="39">
        <v>429.7</v>
      </c>
      <c r="DT42" s="88">
        <v>429.3</v>
      </c>
      <c r="DU42" s="88">
        <v>412.4</v>
      </c>
      <c r="DV42" s="88">
        <v>407.3</v>
      </c>
      <c r="DW42" s="88">
        <v>411</v>
      </c>
    </row>
    <row r="43" spans="1:127" ht="14.45">
      <c r="A43" s="20" t="s">
        <v>50</v>
      </c>
      <c r="B43" s="39">
        <v>1479</v>
      </c>
      <c r="C43" s="39">
        <v>1469.3</v>
      </c>
      <c r="D43" s="39">
        <v>1486.2</v>
      </c>
      <c r="E43" s="39">
        <v>1508.8</v>
      </c>
      <c r="F43" s="39">
        <v>1528.4</v>
      </c>
      <c r="G43" s="39">
        <v>1548.2</v>
      </c>
      <c r="H43" s="39">
        <v>1561.2</v>
      </c>
      <c r="I43" s="39">
        <v>1570.4</v>
      </c>
      <c r="J43" s="39">
        <v>1572.3</v>
      </c>
      <c r="K43" s="39">
        <v>1584.2</v>
      </c>
      <c r="L43" s="88">
        <v>1585.7</v>
      </c>
      <c r="M43" s="88">
        <v>1506.3</v>
      </c>
      <c r="N43" s="88">
        <v>1539</v>
      </c>
      <c r="O43" s="88">
        <v>1570.3</v>
      </c>
      <c r="P43" s="40">
        <v>67.2</v>
      </c>
      <c r="Q43" s="39">
        <v>63.7</v>
      </c>
      <c r="R43" s="39">
        <v>64.599999999999994</v>
      </c>
      <c r="S43" s="39">
        <v>66.8</v>
      </c>
      <c r="T43" s="39">
        <v>70.099999999999994</v>
      </c>
      <c r="U43" s="39">
        <v>76.7</v>
      </c>
      <c r="V43" s="39">
        <v>80.5</v>
      </c>
      <c r="W43" s="39">
        <v>83</v>
      </c>
      <c r="X43" s="39">
        <v>78.2</v>
      </c>
      <c r="Y43" s="39">
        <v>80</v>
      </c>
      <c r="Z43" s="39">
        <v>80.599999999999994</v>
      </c>
      <c r="AA43" s="39">
        <v>79.099999999999994</v>
      </c>
      <c r="AB43" s="39">
        <f>2.3+78.3</f>
        <v>80.599999999999994</v>
      </c>
      <c r="AC43" s="39">
        <f>2.2+81.1</f>
        <v>83.3</v>
      </c>
      <c r="AD43" s="40">
        <v>202.8</v>
      </c>
      <c r="AE43" s="39">
        <v>200.5</v>
      </c>
      <c r="AF43" s="39">
        <v>205.7</v>
      </c>
      <c r="AG43" s="39">
        <v>210.6</v>
      </c>
      <c r="AH43" s="39">
        <v>214.4</v>
      </c>
      <c r="AI43" s="39">
        <v>216.7</v>
      </c>
      <c r="AJ43" s="39">
        <v>216.1</v>
      </c>
      <c r="AK43" s="39">
        <v>213.3</v>
      </c>
      <c r="AL43" s="39">
        <v>216.3</v>
      </c>
      <c r="AM43" s="39">
        <v>223</v>
      </c>
      <c r="AN43" s="39">
        <v>226.1</v>
      </c>
      <c r="AO43" s="39">
        <v>216.6</v>
      </c>
      <c r="AP43" s="109">
        <v>218</v>
      </c>
      <c r="AQ43" s="109">
        <v>223.7</v>
      </c>
      <c r="AR43" s="40">
        <v>302.5</v>
      </c>
      <c r="AS43" s="39">
        <v>299.5</v>
      </c>
      <c r="AT43" s="39">
        <v>303</v>
      </c>
      <c r="AU43" s="39">
        <v>307.2</v>
      </c>
      <c r="AV43" s="39">
        <v>310.8</v>
      </c>
      <c r="AW43" s="39">
        <v>312.7</v>
      </c>
      <c r="AX43" s="39">
        <v>314.8</v>
      </c>
      <c r="AY43" s="39">
        <v>316</v>
      </c>
      <c r="AZ43" s="39">
        <v>314.7</v>
      </c>
      <c r="BA43" s="39">
        <v>312.60000000000002</v>
      </c>
      <c r="BB43" s="39">
        <v>310.3</v>
      </c>
      <c r="BC43" s="39">
        <v>300.8</v>
      </c>
      <c r="BD43" s="109">
        <v>308.5</v>
      </c>
      <c r="BE43" s="109">
        <v>312.60000000000002</v>
      </c>
      <c r="BF43" s="40">
        <v>30.3</v>
      </c>
      <c r="BG43" s="39">
        <v>28.7</v>
      </c>
      <c r="BH43" s="39">
        <v>28</v>
      </c>
      <c r="BI43" s="39">
        <v>26.9</v>
      </c>
      <c r="BJ43" s="39">
        <v>26.1</v>
      </c>
      <c r="BK43" s="39">
        <v>25.6</v>
      </c>
      <c r="BL43" s="39">
        <v>24.4</v>
      </c>
      <c r="BM43" s="39">
        <v>22.5</v>
      </c>
      <c r="BN43" s="39">
        <v>22</v>
      </c>
      <c r="BO43" s="39">
        <v>22</v>
      </c>
      <c r="BP43" s="88">
        <v>21.3</v>
      </c>
      <c r="BQ43" s="39">
        <v>19.100000000000001</v>
      </c>
      <c r="BR43" s="109">
        <v>18.8</v>
      </c>
      <c r="BS43" s="109">
        <v>19.100000000000001</v>
      </c>
      <c r="BT43" s="40">
        <v>219.5</v>
      </c>
      <c r="BU43" s="39">
        <v>223</v>
      </c>
      <c r="BV43" s="39">
        <v>226.3</v>
      </c>
      <c r="BW43" s="39">
        <v>231.60000000000002</v>
      </c>
      <c r="BX43" s="39">
        <v>235.9</v>
      </c>
      <c r="BY43" s="39">
        <v>240.2</v>
      </c>
      <c r="BZ43" s="39">
        <v>244.3</v>
      </c>
      <c r="CA43" s="39">
        <v>247.2</v>
      </c>
      <c r="CB43" s="39">
        <v>248.60000000000002</v>
      </c>
      <c r="CC43" s="39">
        <v>250.1</v>
      </c>
      <c r="CD43" s="39">
        <v>249</v>
      </c>
      <c r="CE43">
        <v>243.9</v>
      </c>
      <c r="CF43">
        <f>109.2+140.9</f>
        <v>250.10000000000002</v>
      </c>
      <c r="CG43">
        <f>108.4+145.9</f>
        <v>254.3</v>
      </c>
      <c r="CH43" s="40">
        <v>211.9</v>
      </c>
      <c r="CI43" s="39">
        <v>214.1</v>
      </c>
      <c r="CJ43" s="39">
        <v>217.2</v>
      </c>
      <c r="CK43" s="39">
        <v>220.1</v>
      </c>
      <c r="CL43" s="39">
        <v>221.9</v>
      </c>
      <c r="CM43" s="39">
        <v>223.5</v>
      </c>
      <c r="CN43" s="39">
        <v>225.6</v>
      </c>
      <c r="CO43" s="39">
        <v>228.6</v>
      </c>
      <c r="CP43" s="39">
        <v>231.5</v>
      </c>
      <c r="CQ43" s="39">
        <v>234.7</v>
      </c>
      <c r="CR43" s="39">
        <v>235.2</v>
      </c>
      <c r="CS43" s="39">
        <v>222.2</v>
      </c>
      <c r="CT43" s="39">
        <v>226.1</v>
      </c>
      <c r="CU43" s="109">
        <v>227.3</v>
      </c>
      <c r="CV43" s="40">
        <v>190.2</v>
      </c>
      <c r="CW43" s="39">
        <v>186.8</v>
      </c>
      <c r="CX43" s="39">
        <v>188.39999999999998</v>
      </c>
      <c r="CY43" s="39">
        <v>192.10000000000002</v>
      </c>
      <c r="CZ43" s="39">
        <v>194.60000000000002</v>
      </c>
      <c r="DA43" s="39">
        <v>196.7</v>
      </c>
      <c r="DB43" s="39">
        <v>200.10000000000002</v>
      </c>
      <c r="DC43" s="39">
        <v>201.8</v>
      </c>
      <c r="DD43" s="39">
        <v>200.8</v>
      </c>
      <c r="DE43" s="39">
        <v>201.1</v>
      </c>
      <c r="DF43" s="39">
        <v>202.7</v>
      </c>
      <c r="DG43" s="39">
        <v>172.5</v>
      </c>
      <c r="DH43" s="39">
        <f>128.4+54.6</f>
        <v>183</v>
      </c>
      <c r="DI43" s="39">
        <f>136.9+55.8</f>
        <v>192.7</v>
      </c>
      <c r="DJ43" s="40">
        <v>254.8</v>
      </c>
      <c r="DK43" s="39">
        <v>253.1</v>
      </c>
      <c r="DL43" s="39">
        <v>252.9</v>
      </c>
      <c r="DM43" s="39">
        <v>253.6</v>
      </c>
      <c r="DN43" s="39">
        <v>254.7</v>
      </c>
      <c r="DO43" s="39">
        <v>256</v>
      </c>
      <c r="DP43" s="39">
        <v>255.5</v>
      </c>
      <c r="DQ43" s="39">
        <v>258</v>
      </c>
      <c r="DR43" s="39">
        <v>260.3</v>
      </c>
      <c r="DS43" s="39">
        <v>260.7</v>
      </c>
      <c r="DT43" s="88">
        <v>260.5</v>
      </c>
      <c r="DU43" s="88">
        <v>252.1</v>
      </c>
      <c r="DV43" s="88">
        <v>253.9</v>
      </c>
      <c r="DW43" s="88">
        <v>257.3</v>
      </c>
    </row>
    <row r="44" spans="1:127" ht="14.45">
      <c r="A44" s="20" t="s">
        <v>51</v>
      </c>
      <c r="B44" s="39">
        <v>1343.3</v>
      </c>
      <c r="C44" s="39">
        <v>1328.4</v>
      </c>
      <c r="D44" s="39">
        <v>1338.3</v>
      </c>
      <c r="E44" s="39">
        <v>1356.4</v>
      </c>
      <c r="F44" s="39">
        <v>1372.2</v>
      </c>
      <c r="G44" s="39">
        <v>1392.6</v>
      </c>
      <c r="H44" s="39">
        <v>1402.3</v>
      </c>
      <c r="I44" s="39">
        <v>1409.9</v>
      </c>
      <c r="J44" s="39">
        <v>1403.6</v>
      </c>
      <c r="K44" s="39">
        <v>1415.8</v>
      </c>
      <c r="L44" s="88">
        <v>1423</v>
      </c>
      <c r="M44" s="88">
        <v>1358.6</v>
      </c>
      <c r="N44" s="88">
        <v>1379.8</v>
      </c>
      <c r="O44" s="88">
        <v>1418.6</v>
      </c>
      <c r="P44" s="40">
        <v>65.599999999999994</v>
      </c>
      <c r="Q44" s="39">
        <v>62.5</v>
      </c>
      <c r="R44" s="39">
        <v>62.2</v>
      </c>
      <c r="S44" s="39">
        <v>65</v>
      </c>
      <c r="T44" s="39">
        <v>67.3</v>
      </c>
      <c r="U44" s="39">
        <v>70.400000000000006</v>
      </c>
      <c r="V44" s="39">
        <v>69.5</v>
      </c>
      <c r="W44" s="39">
        <v>68.100000000000009</v>
      </c>
      <c r="X44" s="39">
        <v>67.099999999999994</v>
      </c>
      <c r="Y44" s="39">
        <v>67.900000000000006</v>
      </c>
      <c r="Z44" s="39">
        <v>70.3</v>
      </c>
      <c r="AA44" s="39">
        <v>69.3</v>
      </c>
      <c r="AB44" s="39">
        <f>5.9+63.9</f>
        <v>69.8</v>
      </c>
      <c r="AC44" s="39">
        <f>6.2+64.8</f>
        <v>71</v>
      </c>
      <c r="AD44" s="40">
        <v>165.2</v>
      </c>
      <c r="AE44" s="39">
        <v>157.9</v>
      </c>
      <c r="AF44" s="39">
        <v>158.80000000000001</v>
      </c>
      <c r="AG44" s="39">
        <v>160.5</v>
      </c>
      <c r="AH44" s="39">
        <v>160.69999999999999</v>
      </c>
      <c r="AI44" s="39">
        <v>162.19999999999999</v>
      </c>
      <c r="AJ44" s="39">
        <v>161.30000000000001</v>
      </c>
      <c r="AK44" s="39">
        <v>160.4</v>
      </c>
      <c r="AL44" s="39">
        <v>161.6</v>
      </c>
      <c r="AM44" s="39">
        <v>165.1</v>
      </c>
      <c r="AN44" s="39">
        <v>167.1</v>
      </c>
      <c r="AO44" s="39">
        <v>159</v>
      </c>
      <c r="AP44" s="109">
        <v>161.19999999999999</v>
      </c>
      <c r="AQ44" s="109">
        <v>169.4</v>
      </c>
      <c r="AR44" s="40">
        <v>254.5</v>
      </c>
      <c r="AS44" s="39">
        <v>252.1</v>
      </c>
      <c r="AT44" s="39">
        <v>254.9</v>
      </c>
      <c r="AU44" s="39">
        <v>257.3</v>
      </c>
      <c r="AV44" s="39">
        <v>259.8</v>
      </c>
      <c r="AW44" s="39">
        <v>263.7</v>
      </c>
      <c r="AX44" s="39">
        <v>265.3</v>
      </c>
      <c r="AY44" s="39">
        <v>266.89999999999998</v>
      </c>
      <c r="AZ44" s="39">
        <v>267.7</v>
      </c>
      <c r="BA44" s="39">
        <v>268.7</v>
      </c>
      <c r="BB44" s="39">
        <v>267</v>
      </c>
      <c r="BC44" s="39">
        <v>259.7</v>
      </c>
      <c r="BD44" s="109">
        <v>267.3</v>
      </c>
      <c r="BE44" s="109">
        <v>272.7</v>
      </c>
      <c r="BF44" s="40">
        <v>35.299999999999997</v>
      </c>
      <c r="BG44" s="39">
        <v>30.6</v>
      </c>
      <c r="BH44" s="39">
        <v>28.2</v>
      </c>
      <c r="BI44" s="39">
        <v>27.7</v>
      </c>
      <c r="BJ44" s="39">
        <v>27.6</v>
      </c>
      <c r="BK44" s="39">
        <v>27.9</v>
      </c>
      <c r="BL44" s="39">
        <v>21.1</v>
      </c>
      <c r="BM44" s="39">
        <v>20.7</v>
      </c>
      <c r="BN44" s="39">
        <v>19.399999999999999</v>
      </c>
      <c r="BO44" s="39">
        <v>18.7</v>
      </c>
      <c r="BP44" s="88">
        <v>18.100000000000001</v>
      </c>
      <c r="BQ44" s="39">
        <v>16.899999999999999</v>
      </c>
      <c r="BR44" s="109">
        <v>16.899999999999999</v>
      </c>
      <c r="BS44" s="109">
        <v>18.2</v>
      </c>
      <c r="BT44" s="40">
        <v>214.9</v>
      </c>
      <c r="BU44" s="39">
        <v>218.1</v>
      </c>
      <c r="BV44" s="39">
        <v>223.7</v>
      </c>
      <c r="BW44" s="39">
        <v>231.8</v>
      </c>
      <c r="BX44" s="39">
        <v>242</v>
      </c>
      <c r="BY44" s="39">
        <v>249.5</v>
      </c>
      <c r="BZ44" s="39">
        <v>259.79999999999995</v>
      </c>
      <c r="CA44" s="39">
        <v>263.89999999999998</v>
      </c>
      <c r="CB44" s="39">
        <v>255.5</v>
      </c>
      <c r="CC44" s="39">
        <v>257.10000000000002</v>
      </c>
      <c r="CD44" s="39">
        <v>256.3</v>
      </c>
      <c r="CE44">
        <v>246.1</v>
      </c>
      <c r="CF44">
        <f>76.3+171.2</f>
        <v>247.5</v>
      </c>
      <c r="CG44">
        <f>75.8+181.6</f>
        <v>257.39999999999998</v>
      </c>
      <c r="CH44" s="40">
        <v>180.1</v>
      </c>
      <c r="CI44" s="39">
        <v>180.3</v>
      </c>
      <c r="CJ44" s="39">
        <v>185.1</v>
      </c>
      <c r="CK44" s="39">
        <v>186.4</v>
      </c>
      <c r="CL44" s="39">
        <v>187.7</v>
      </c>
      <c r="CM44" s="39">
        <v>189.8</v>
      </c>
      <c r="CN44" s="39">
        <v>194.3</v>
      </c>
      <c r="CO44" s="39">
        <v>196.3</v>
      </c>
      <c r="CP44" s="39">
        <v>197</v>
      </c>
      <c r="CQ44" s="39">
        <v>199.5</v>
      </c>
      <c r="CR44" s="39">
        <v>202</v>
      </c>
      <c r="CS44" s="39">
        <v>197.9</v>
      </c>
      <c r="CT44" s="39">
        <v>197.7</v>
      </c>
      <c r="CU44" s="109">
        <v>200</v>
      </c>
      <c r="CV44" s="40">
        <v>166.5</v>
      </c>
      <c r="CW44" s="39">
        <v>164.8</v>
      </c>
      <c r="CX44" s="39">
        <v>165.6</v>
      </c>
      <c r="CY44" s="39">
        <v>169.3</v>
      </c>
      <c r="CZ44" s="39">
        <v>170</v>
      </c>
      <c r="DA44" s="39">
        <v>172.4</v>
      </c>
      <c r="DB44" s="39">
        <v>174.5</v>
      </c>
      <c r="DC44" s="39">
        <v>177.8</v>
      </c>
      <c r="DD44" s="39">
        <v>179.2</v>
      </c>
      <c r="DE44" s="39">
        <v>180.6</v>
      </c>
      <c r="DF44" s="39">
        <v>182.2</v>
      </c>
      <c r="DG44" s="39">
        <v>158.80000000000001</v>
      </c>
      <c r="DH44" s="39">
        <f>120.3+48.3</f>
        <v>168.6</v>
      </c>
      <c r="DI44" s="39">
        <f>128.5+50</f>
        <v>178.5</v>
      </c>
      <c r="DJ44" s="40">
        <v>261.3</v>
      </c>
      <c r="DK44" s="39">
        <v>262.2</v>
      </c>
      <c r="DL44" s="39">
        <v>259.89999999999998</v>
      </c>
      <c r="DM44" s="39">
        <v>258.5</v>
      </c>
      <c r="DN44" s="39">
        <v>257.2</v>
      </c>
      <c r="DO44" s="39">
        <v>256.8</v>
      </c>
      <c r="DP44" s="39">
        <v>256.5</v>
      </c>
      <c r="DQ44" s="39">
        <v>255.9</v>
      </c>
      <c r="DR44" s="39">
        <v>256.3</v>
      </c>
      <c r="DS44" s="39">
        <v>258.3</v>
      </c>
      <c r="DT44" s="88">
        <v>260</v>
      </c>
      <c r="DU44" s="88">
        <v>250.9</v>
      </c>
      <c r="DV44" s="88">
        <v>250.8</v>
      </c>
      <c r="DW44" s="88">
        <v>251.3</v>
      </c>
    </row>
    <row r="45" spans="1:127" ht="14.45">
      <c r="A45" s="20" t="s">
        <v>52</v>
      </c>
      <c r="B45" s="39">
        <v>3870.5</v>
      </c>
      <c r="C45" s="39">
        <v>3863.3</v>
      </c>
      <c r="D45" s="39">
        <v>3951.8</v>
      </c>
      <c r="E45" s="39">
        <v>4033.3</v>
      </c>
      <c r="F45" s="39">
        <v>4109.3</v>
      </c>
      <c r="G45" s="39">
        <v>4179.7</v>
      </c>
      <c r="H45" s="39">
        <v>4243.5</v>
      </c>
      <c r="I45" s="39">
        <v>4325.6000000000004</v>
      </c>
      <c r="J45" s="39">
        <v>4371.3</v>
      </c>
      <c r="K45" s="39">
        <v>4418.6000000000004</v>
      </c>
      <c r="L45" s="88">
        <v>4432.6000000000004</v>
      </c>
      <c r="M45" s="88">
        <v>4032.5</v>
      </c>
      <c r="N45" s="88">
        <v>4199</v>
      </c>
      <c r="O45" s="88">
        <v>4362.2</v>
      </c>
      <c r="P45" s="40">
        <v>134.5</v>
      </c>
      <c r="Q45" s="39">
        <v>128.69999999999999</v>
      </c>
      <c r="R45" s="39">
        <v>132.69999999999999</v>
      </c>
      <c r="S45" s="39">
        <v>136</v>
      </c>
      <c r="T45" s="39">
        <v>141.5</v>
      </c>
      <c r="U45" s="39">
        <v>149.60000000000002</v>
      </c>
      <c r="V45" s="39">
        <v>156</v>
      </c>
      <c r="W45" s="39">
        <v>162.79999999999998</v>
      </c>
      <c r="X45" s="39">
        <v>169.9</v>
      </c>
      <c r="Y45" s="39">
        <v>176.39999999999998</v>
      </c>
      <c r="Z45" s="39">
        <v>180.70000000000002</v>
      </c>
      <c r="AA45" s="39">
        <v>171.3</v>
      </c>
      <c r="AB45" s="39">
        <f>6.7+176.6</f>
        <v>183.29999999999998</v>
      </c>
      <c r="AC45">
        <f>7.1+184</f>
        <v>191.1</v>
      </c>
      <c r="AD45" s="40">
        <v>463.1</v>
      </c>
      <c r="AE45" s="39">
        <v>473.9</v>
      </c>
      <c r="AF45" s="39">
        <v>509.7</v>
      </c>
      <c r="AG45" s="39">
        <v>537.6</v>
      </c>
      <c r="AH45" s="39">
        <v>556.1</v>
      </c>
      <c r="AI45" s="39">
        <v>575.9</v>
      </c>
      <c r="AJ45" s="39">
        <v>587.6</v>
      </c>
      <c r="AK45" s="39">
        <v>600.20000000000005</v>
      </c>
      <c r="AL45" s="39">
        <v>614.70000000000005</v>
      </c>
      <c r="AM45" s="39">
        <v>629.79999999999995</v>
      </c>
      <c r="AN45" s="39">
        <v>627.20000000000005</v>
      </c>
      <c r="AO45" s="39">
        <v>557.1</v>
      </c>
      <c r="AP45" s="109">
        <v>583.9</v>
      </c>
      <c r="AQ45" s="109">
        <v>603.20000000000005</v>
      </c>
      <c r="AR45" s="40">
        <v>717.2</v>
      </c>
      <c r="AS45" s="39">
        <v>710.6</v>
      </c>
      <c r="AT45" s="39">
        <v>721.8</v>
      </c>
      <c r="AU45" s="39">
        <v>730.2</v>
      </c>
      <c r="AV45" s="39">
        <v>744.1</v>
      </c>
      <c r="AW45" s="39">
        <v>757.3</v>
      </c>
      <c r="AX45" s="39">
        <v>771.6</v>
      </c>
      <c r="AY45" s="39">
        <v>781.6</v>
      </c>
      <c r="AZ45" s="39">
        <v>788.1</v>
      </c>
      <c r="BA45" s="39">
        <v>791.4</v>
      </c>
      <c r="BB45" s="39">
        <v>795.9</v>
      </c>
      <c r="BC45" s="39">
        <v>746.5</v>
      </c>
      <c r="BD45" s="109">
        <v>780.1</v>
      </c>
      <c r="BE45" s="109">
        <v>804</v>
      </c>
      <c r="BF45" s="40">
        <v>56.3</v>
      </c>
      <c r="BG45" s="39">
        <v>54.8</v>
      </c>
      <c r="BH45" s="39">
        <v>53.2</v>
      </c>
      <c r="BI45" s="39">
        <v>53.3</v>
      </c>
      <c r="BJ45" s="39">
        <v>55.3</v>
      </c>
      <c r="BK45" s="39">
        <v>57</v>
      </c>
      <c r="BL45" s="39">
        <v>56.6</v>
      </c>
      <c r="BM45" s="39">
        <v>57.5</v>
      </c>
      <c r="BN45" s="39">
        <v>56.5</v>
      </c>
      <c r="BO45" s="39">
        <v>55.8</v>
      </c>
      <c r="BP45" s="88">
        <v>55.2</v>
      </c>
      <c r="BQ45" s="39">
        <v>50.4</v>
      </c>
      <c r="BR45" s="109">
        <v>52.4</v>
      </c>
      <c r="BS45" s="109">
        <v>56.4</v>
      </c>
      <c r="BT45" s="40">
        <v>692.9</v>
      </c>
      <c r="BU45" s="39">
        <v>704</v>
      </c>
      <c r="BV45" s="39">
        <v>747.5</v>
      </c>
      <c r="BW45" s="39">
        <v>777.3</v>
      </c>
      <c r="BX45" s="39">
        <v>805.69999999999993</v>
      </c>
      <c r="BY45" s="39">
        <v>823.8</v>
      </c>
      <c r="BZ45" s="39">
        <v>844.5</v>
      </c>
      <c r="CA45" s="39">
        <v>862.9</v>
      </c>
      <c r="CB45" s="39">
        <v>866.30000000000007</v>
      </c>
      <c r="CC45" s="39">
        <v>879.6</v>
      </c>
      <c r="CD45" s="39">
        <v>878.5</v>
      </c>
      <c r="CE45">
        <v>819.5</v>
      </c>
      <c r="CF45">
        <f>232.5+630.1</f>
        <v>862.6</v>
      </c>
      <c r="CG45" s="100">
        <f>232+658</f>
        <v>890</v>
      </c>
      <c r="CH45" s="40">
        <v>609.20000000000005</v>
      </c>
      <c r="CI45" s="39">
        <v>611.79999999999995</v>
      </c>
      <c r="CJ45" s="39">
        <v>621.70000000000005</v>
      </c>
      <c r="CK45" s="39">
        <v>632.20000000000005</v>
      </c>
      <c r="CL45" s="39">
        <v>639.4</v>
      </c>
      <c r="CM45" s="39">
        <v>644.4</v>
      </c>
      <c r="CN45" s="39">
        <v>652</v>
      </c>
      <c r="CO45" s="39">
        <v>664.8</v>
      </c>
      <c r="CP45" s="39">
        <v>671.3</v>
      </c>
      <c r="CQ45" s="39">
        <v>679</v>
      </c>
      <c r="CR45" s="39">
        <v>681.6</v>
      </c>
      <c r="CS45" s="39">
        <v>639.70000000000005</v>
      </c>
      <c r="CT45" s="39">
        <v>651.9</v>
      </c>
      <c r="CU45" s="109">
        <v>661.8</v>
      </c>
      <c r="CV45" s="40">
        <v>550.5</v>
      </c>
      <c r="CW45" s="39">
        <v>543.90000000000009</v>
      </c>
      <c r="CX45" s="39">
        <v>547.79999999999995</v>
      </c>
      <c r="CY45" s="39">
        <v>558.1</v>
      </c>
      <c r="CZ45" s="39">
        <v>568.70000000000005</v>
      </c>
      <c r="DA45" s="39">
        <v>576.29999999999995</v>
      </c>
      <c r="DB45" s="39">
        <v>581</v>
      </c>
      <c r="DC45" s="39">
        <v>595.29999999999995</v>
      </c>
      <c r="DD45" s="39">
        <v>600.6</v>
      </c>
      <c r="DE45" s="39">
        <v>600.20000000000005</v>
      </c>
      <c r="DF45" s="39">
        <v>600.20000000000005</v>
      </c>
      <c r="DG45" s="39">
        <v>466.5</v>
      </c>
      <c r="DH45" s="39">
        <f>357.4+154.1</f>
        <v>511.5</v>
      </c>
      <c r="DI45" s="39">
        <f>403.3+162.7</f>
        <v>566</v>
      </c>
      <c r="DJ45" s="40">
        <v>646.79999999999995</v>
      </c>
      <c r="DK45" s="39">
        <v>635.6</v>
      </c>
      <c r="DL45" s="39">
        <v>617.4</v>
      </c>
      <c r="DM45" s="39">
        <v>608.5</v>
      </c>
      <c r="DN45" s="39">
        <v>598.6</v>
      </c>
      <c r="DO45" s="39">
        <v>595.4</v>
      </c>
      <c r="DP45" s="39">
        <v>594.1</v>
      </c>
      <c r="DQ45" s="39">
        <v>600.70000000000005</v>
      </c>
      <c r="DR45" s="39">
        <v>604</v>
      </c>
      <c r="DS45" s="39">
        <v>606.5</v>
      </c>
      <c r="DT45" s="88">
        <v>613.29999999999995</v>
      </c>
      <c r="DU45" s="88">
        <v>581.5</v>
      </c>
      <c r="DV45" s="88">
        <v>573.20000000000005</v>
      </c>
      <c r="DW45" s="88">
        <v>589.79999999999995</v>
      </c>
    </row>
    <row r="46" spans="1:127" ht="14.45">
      <c r="A46" s="20" t="s">
        <v>53</v>
      </c>
      <c r="B46" s="39">
        <v>2654.6</v>
      </c>
      <c r="C46" s="39">
        <v>2640.6</v>
      </c>
      <c r="D46" s="39">
        <v>2687.8</v>
      </c>
      <c r="E46" s="39">
        <v>2729.8</v>
      </c>
      <c r="F46" s="39">
        <v>2776</v>
      </c>
      <c r="G46" s="39">
        <v>2813.4</v>
      </c>
      <c r="H46" s="39">
        <v>2855.9</v>
      </c>
      <c r="I46" s="39">
        <v>2895.6</v>
      </c>
      <c r="J46" s="39">
        <v>2930.4</v>
      </c>
      <c r="K46" s="39">
        <v>2954.4</v>
      </c>
      <c r="L46" s="88">
        <v>2977.6</v>
      </c>
      <c r="M46" s="88">
        <v>2776.2</v>
      </c>
      <c r="N46" s="88">
        <v>2854.7</v>
      </c>
      <c r="O46" s="88">
        <v>2933.7</v>
      </c>
      <c r="P46" s="40">
        <v>98.600000000000009</v>
      </c>
      <c r="Q46" s="39">
        <v>93.6</v>
      </c>
      <c r="R46" s="39">
        <v>98.399999999999991</v>
      </c>
      <c r="S46" s="39">
        <v>101.9</v>
      </c>
      <c r="T46" s="39">
        <v>107.6</v>
      </c>
      <c r="U46" s="39">
        <v>114.1</v>
      </c>
      <c r="V46" s="39">
        <v>122.2</v>
      </c>
      <c r="W46" s="39">
        <v>122.4</v>
      </c>
      <c r="X46" s="39">
        <v>126.1</v>
      </c>
      <c r="Y46" s="39">
        <v>129.19999999999999</v>
      </c>
      <c r="Z46" s="39">
        <v>133.69999999999999</v>
      </c>
      <c r="AA46" s="39">
        <v>129.4</v>
      </c>
      <c r="AB46" s="39">
        <f>6.5+130.4</f>
        <v>136.9</v>
      </c>
      <c r="AC46" s="39">
        <f>6.4+132.6</f>
        <v>139</v>
      </c>
      <c r="AD46" s="40">
        <v>299.89999999999998</v>
      </c>
      <c r="AE46" s="39">
        <v>292.7</v>
      </c>
      <c r="AF46" s="39">
        <v>300.60000000000002</v>
      </c>
      <c r="AG46" s="39">
        <v>305.7</v>
      </c>
      <c r="AH46" s="39">
        <v>307.39999999999998</v>
      </c>
      <c r="AI46" s="39">
        <v>312.10000000000002</v>
      </c>
      <c r="AJ46" s="39">
        <v>317.5</v>
      </c>
      <c r="AK46" s="39">
        <v>317.89999999999998</v>
      </c>
      <c r="AL46" s="39">
        <v>318.3</v>
      </c>
      <c r="AM46" s="39">
        <v>321.39999999999998</v>
      </c>
      <c r="AN46" s="39">
        <v>323.8</v>
      </c>
      <c r="AO46" s="39">
        <v>308.7</v>
      </c>
      <c r="AP46" s="109">
        <v>313.2</v>
      </c>
      <c r="AQ46" s="109">
        <v>323.8</v>
      </c>
      <c r="AR46" s="40">
        <v>496.6</v>
      </c>
      <c r="AS46" s="39">
        <v>490.1</v>
      </c>
      <c r="AT46" s="39">
        <v>497.1</v>
      </c>
      <c r="AU46" s="39">
        <v>503.3</v>
      </c>
      <c r="AV46" s="39">
        <v>510.9</v>
      </c>
      <c r="AW46" s="39">
        <v>516.70000000000005</v>
      </c>
      <c r="AX46" s="39">
        <v>524.6</v>
      </c>
      <c r="AY46" s="39">
        <v>532.1</v>
      </c>
      <c r="AZ46" s="39">
        <v>537.5</v>
      </c>
      <c r="BA46" s="39">
        <v>537</v>
      </c>
      <c r="BB46" s="39">
        <v>530.1</v>
      </c>
      <c r="BC46" s="39">
        <v>501.8</v>
      </c>
      <c r="BD46" s="109">
        <v>514.4</v>
      </c>
      <c r="BE46" s="109">
        <v>525.79999999999995</v>
      </c>
      <c r="BF46" s="40">
        <v>55.3</v>
      </c>
      <c r="BG46" s="39">
        <v>54.1</v>
      </c>
      <c r="BH46" s="39">
        <v>53.8</v>
      </c>
      <c r="BI46" s="39">
        <v>53.6</v>
      </c>
      <c r="BJ46" s="39">
        <v>53.2</v>
      </c>
      <c r="BK46" s="39">
        <v>52.8</v>
      </c>
      <c r="BL46" s="39">
        <v>51.3</v>
      </c>
      <c r="BM46" s="39">
        <v>50.6</v>
      </c>
      <c r="BN46" s="39">
        <v>50.4</v>
      </c>
      <c r="BO46" s="39">
        <v>49.3</v>
      </c>
      <c r="BP46" s="88">
        <v>46.8</v>
      </c>
      <c r="BQ46" s="39">
        <v>42.7</v>
      </c>
      <c r="BR46" s="109">
        <v>43</v>
      </c>
      <c r="BS46" s="109">
        <v>45.5</v>
      </c>
      <c r="BT46" s="40">
        <v>480.40000000000003</v>
      </c>
      <c r="BU46" s="39">
        <v>486</v>
      </c>
      <c r="BV46" s="39">
        <v>503.1</v>
      </c>
      <c r="BW46" s="39">
        <v>513.70000000000005</v>
      </c>
      <c r="BX46" s="39">
        <v>526.4</v>
      </c>
      <c r="BY46" s="39">
        <v>531.4</v>
      </c>
      <c r="BZ46" s="39">
        <v>539.4</v>
      </c>
      <c r="CA46" s="39">
        <v>547.9</v>
      </c>
      <c r="CB46" s="39">
        <v>553.9</v>
      </c>
      <c r="CC46" s="39">
        <v>562.20000000000005</v>
      </c>
      <c r="CD46" s="39">
        <v>575.6</v>
      </c>
      <c r="CE46">
        <v>552.29999999999995</v>
      </c>
      <c r="CF46">
        <f>193.2+373.5</f>
        <v>566.70000000000005</v>
      </c>
      <c r="CG46">
        <f>192+387.4</f>
        <v>579.4</v>
      </c>
      <c r="CH46" s="40">
        <v>453.4</v>
      </c>
      <c r="CI46" s="39">
        <v>458.4</v>
      </c>
      <c r="CJ46" s="39">
        <v>469.4</v>
      </c>
      <c r="CK46" s="39">
        <v>477.8</v>
      </c>
      <c r="CL46" s="39">
        <v>490.2</v>
      </c>
      <c r="CM46" s="39">
        <v>498.9</v>
      </c>
      <c r="CN46" s="39">
        <v>508.1</v>
      </c>
      <c r="CO46" s="39">
        <v>521.9</v>
      </c>
      <c r="CP46" s="39">
        <v>533.5</v>
      </c>
      <c r="CQ46" s="39">
        <v>543.4</v>
      </c>
      <c r="CR46" s="39">
        <v>551.29999999999995</v>
      </c>
      <c r="CS46" s="39">
        <v>532.29999999999995</v>
      </c>
      <c r="CT46" s="39">
        <v>543.1</v>
      </c>
      <c r="CU46" s="109">
        <v>548.5</v>
      </c>
      <c r="CV46" s="40">
        <v>353.3</v>
      </c>
      <c r="CW46" s="39">
        <v>349.29999999999995</v>
      </c>
      <c r="CX46" s="39">
        <v>354.79999999999995</v>
      </c>
      <c r="CY46" s="39">
        <v>361.3</v>
      </c>
      <c r="CZ46" s="39">
        <v>365.79999999999995</v>
      </c>
      <c r="DA46" s="39">
        <v>367.70000000000005</v>
      </c>
      <c r="DB46" s="39">
        <v>373.7</v>
      </c>
      <c r="DC46" s="39">
        <v>378.79999999999995</v>
      </c>
      <c r="DD46" s="39">
        <v>386.5</v>
      </c>
      <c r="DE46" s="39">
        <v>386.4</v>
      </c>
      <c r="DF46" s="39">
        <v>389.90000000000003</v>
      </c>
      <c r="DG46" s="39">
        <v>302.7</v>
      </c>
      <c r="DH46" s="39">
        <f>229+104.3</f>
        <v>333.3</v>
      </c>
      <c r="DI46" s="39">
        <f>256.3+106.7</f>
        <v>363</v>
      </c>
      <c r="DJ46" s="40">
        <v>417.3</v>
      </c>
      <c r="DK46" s="39">
        <v>416.5</v>
      </c>
      <c r="DL46" s="39">
        <v>410.6</v>
      </c>
      <c r="DM46" s="39">
        <v>412.5</v>
      </c>
      <c r="DN46" s="39">
        <v>414.6</v>
      </c>
      <c r="DO46" s="39">
        <v>419.6</v>
      </c>
      <c r="DP46" s="39">
        <v>419.1</v>
      </c>
      <c r="DQ46" s="39">
        <v>424</v>
      </c>
      <c r="DR46" s="39">
        <v>424.2</v>
      </c>
      <c r="DS46" s="39">
        <v>425.5</v>
      </c>
      <c r="DT46" s="88">
        <v>426.5</v>
      </c>
      <c r="DU46" s="88">
        <v>406.4</v>
      </c>
      <c r="DV46" s="88">
        <v>404</v>
      </c>
      <c r="DW46" s="88">
        <v>408.7</v>
      </c>
    </row>
    <row r="47" spans="1:127" ht="14.45">
      <c r="A47" s="20" t="s">
        <v>54</v>
      </c>
      <c r="B47" s="39">
        <v>2689.7</v>
      </c>
      <c r="C47" s="39">
        <v>2658.4</v>
      </c>
      <c r="D47" s="39">
        <v>2666.7</v>
      </c>
      <c r="E47" s="39">
        <v>2685.2</v>
      </c>
      <c r="F47" s="39">
        <v>2710.9</v>
      </c>
      <c r="G47" s="39">
        <v>2734</v>
      </c>
      <c r="H47" s="39">
        <v>2796.9</v>
      </c>
      <c r="I47" s="39">
        <v>2842.3</v>
      </c>
      <c r="J47" s="39">
        <v>2868.7</v>
      </c>
      <c r="K47" s="39">
        <v>2887.4</v>
      </c>
      <c r="L47" s="88">
        <v>2901.6</v>
      </c>
      <c r="M47" s="88">
        <v>2774</v>
      </c>
      <c r="N47" s="88">
        <v>2844.3</v>
      </c>
      <c r="O47" s="88">
        <v>2927.9</v>
      </c>
      <c r="P47" s="40">
        <v>122.89999999999999</v>
      </c>
      <c r="Q47" s="39">
        <v>110.4</v>
      </c>
      <c r="R47" s="39">
        <v>107.5</v>
      </c>
      <c r="S47" s="39">
        <v>108.39999999999999</v>
      </c>
      <c r="T47" s="39">
        <v>111.69999999999999</v>
      </c>
      <c r="U47" s="39">
        <v>113.8</v>
      </c>
      <c r="V47" s="39">
        <v>118.5</v>
      </c>
      <c r="W47" s="39">
        <v>124.69999999999999</v>
      </c>
      <c r="X47" s="39">
        <v>127.5</v>
      </c>
      <c r="Y47" s="39">
        <v>126.9</v>
      </c>
      <c r="Z47" s="39">
        <v>130.80000000000001</v>
      </c>
      <c r="AA47" s="39">
        <v>130.4</v>
      </c>
      <c r="AB47" s="39">
        <f>4.4+131.9</f>
        <v>136.30000000000001</v>
      </c>
      <c r="AC47" s="39">
        <f>4.4+138.6</f>
        <v>143</v>
      </c>
      <c r="AD47" s="40">
        <v>256.89999999999998</v>
      </c>
      <c r="AE47" s="39">
        <v>246.1</v>
      </c>
      <c r="AF47" s="39">
        <v>249.5</v>
      </c>
      <c r="AG47" s="39">
        <v>251.9</v>
      </c>
      <c r="AH47" s="39">
        <v>252.5</v>
      </c>
      <c r="AI47" s="39">
        <v>256.2</v>
      </c>
      <c r="AJ47" s="39">
        <v>261.39999999999998</v>
      </c>
      <c r="AK47" s="39">
        <v>262.8</v>
      </c>
      <c r="AL47" s="39">
        <v>266.2</v>
      </c>
      <c r="AM47" s="39">
        <v>272.8</v>
      </c>
      <c r="AN47" s="39">
        <v>277</v>
      </c>
      <c r="AO47" s="39">
        <v>265.60000000000002</v>
      </c>
      <c r="AP47" s="109">
        <v>271.39999999999998</v>
      </c>
      <c r="AQ47" s="109">
        <v>282.60000000000002</v>
      </c>
      <c r="AR47" s="40">
        <v>519.1</v>
      </c>
      <c r="AS47" s="39">
        <v>512.9</v>
      </c>
      <c r="AT47" s="39">
        <v>514.29999999999995</v>
      </c>
      <c r="AU47" s="39">
        <v>513</v>
      </c>
      <c r="AV47" s="39">
        <v>516.20000000000005</v>
      </c>
      <c r="AW47" s="39">
        <v>522.6</v>
      </c>
      <c r="AX47" s="39">
        <v>537.79999999999995</v>
      </c>
      <c r="AY47" s="39">
        <v>545.6</v>
      </c>
      <c r="AZ47" s="39">
        <v>545.6</v>
      </c>
      <c r="BA47" s="39">
        <v>543.70000000000005</v>
      </c>
      <c r="BB47" s="39">
        <v>542.9</v>
      </c>
      <c r="BC47" s="39">
        <v>527.1</v>
      </c>
      <c r="BD47" s="109">
        <v>545.1</v>
      </c>
      <c r="BE47" s="109">
        <v>557.5</v>
      </c>
      <c r="BF47" s="40">
        <v>63.3</v>
      </c>
      <c r="BG47" s="39">
        <v>60.1</v>
      </c>
      <c r="BH47" s="39">
        <v>59.3</v>
      </c>
      <c r="BI47" s="39">
        <v>58.5</v>
      </c>
      <c r="BJ47" s="39">
        <v>57.5</v>
      </c>
      <c r="BK47" s="39">
        <v>57.2</v>
      </c>
      <c r="BL47" s="39">
        <v>54.3</v>
      </c>
      <c r="BM47" s="39">
        <v>53.2</v>
      </c>
      <c r="BN47" s="39">
        <v>51.5</v>
      </c>
      <c r="BO47" s="39">
        <v>50.5</v>
      </c>
      <c r="BP47" s="88">
        <v>47.8</v>
      </c>
      <c r="BQ47" s="39">
        <v>44.9</v>
      </c>
      <c r="BR47" s="109">
        <v>46.4</v>
      </c>
      <c r="BS47" s="109">
        <v>48.5</v>
      </c>
      <c r="BT47" s="40">
        <v>477.2</v>
      </c>
      <c r="BU47" s="39">
        <v>480.4</v>
      </c>
      <c r="BV47" s="39">
        <v>489.4</v>
      </c>
      <c r="BW47" s="39">
        <v>499.1</v>
      </c>
      <c r="BX47" s="39">
        <v>510.29999999999995</v>
      </c>
      <c r="BY47" s="39">
        <v>517.9</v>
      </c>
      <c r="BZ47" s="39">
        <v>535.40000000000009</v>
      </c>
      <c r="CA47" s="39">
        <v>547.79999999999995</v>
      </c>
      <c r="CB47" s="39">
        <v>557.1</v>
      </c>
      <c r="CC47" s="39">
        <v>559.79999999999995</v>
      </c>
      <c r="CD47" s="39">
        <v>557</v>
      </c>
      <c r="CE47">
        <v>539.20000000000005</v>
      </c>
      <c r="CF47">
        <f>179.9+372.8</f>
        <v>552.70000000000005</v>
      </c>
      <c r="CG47">
        <f>185.4+384.4</f>
        <v>569.79999999999995</v>
      </c>
      <c r="CH47" s="40">
        <v>406.8</v>
      </c>
      <c r="CI47" s="39">
        <v>415.5</v>
      </c>
      <c r="CJ47" s="39">
        <v>423.3</v>
      </c>
      <c r="CK47" s="39">
        <v>427</v>
      </c>
      <c r="CL47" s="39">
        <v>432.8</v>
      </c>
      <c r="CM47" s="39">
        <v>435</v>
      </c>
      <c r="CN47" s="39">
        <v>447.8</v>
      </c>
      <c r="CO47" s="39">
        <v>457.1</v>
      </c>
      <c r="CP47" s="39">
        <v>465.8</v>
      </c>
      <c r="CQ47" s="39">
        <v>478.8</v>
      </c>
      <c r="CR47" s="39">
        <v>484.5</v>
      </c>
      <c r="CS47" s="39">
        <v>479.5</v>
      </c>
      <c r="CT47" s="39">
        <v>481.8</v>
      </c>
      <c r="CU47" s="109">
        <v>488.6</v>
      </c>
      <c r="CV47" s="40">
        <v>391.5</v>
      </c>
      <c r="CW47" s="39">
        <v>385.2</v>
      </c>
      <c r="CX47" s="39">
        <v>384.5</v>
      </c>
      <c r="CY47" s="39">
        <v>389.4</v>
      </c>
      <c r="CZ47" s="39">
        <v>394.6</v>
      </c>
      <c r="DA47" s="39">
        <v>399.20000000000005</v>
      </c>
      <c r="DB47" s="39">
        <v>407.79999999999995</v>
      </c>
      <c r="DC47" s="39">
        <v>417.1</v>
      </c>
      <c r="DD47" s="39">
        <v>420.20000000000005</v>
      </c>
      <c r="DE47" s="39">
        <v>421.4</v>
      </c>
      <c r="DF47" s="39">
        <v>425.3</v>
      </c>
      <c r="DG47" s="39">
        <v>362.79999999999995</v>
      </c>
      <c r="DH47" s="39">
        <f>275.3+109.9</f>
        <v>385.20000000000005</v>
      </c>
      <c r="DI47" s="39">
        <f>298+114</f>
        <v>412</v>
      </c>
      <c r="DJ47" s="40">
        <v>451.9</v>
      </c>
      <c r="DK47" s="39">
        <v>447.7</v>
      </c>
      <c r="DL47" s="39">
        <v>438.9</v>
      </c>
      <c r="DM47" s="39">
        <v>438</v>
      </c>
      <c r="DN47" s="39">
        <v>435.3</v>
      </c>
      <c r="DO47" s="39">
        <v>432</v>
      </c>
      <c r="DP47" s="39">
        <v>433.9</v>
      </c>
      <c r="DQ47" s="39">
        <v>434.1</v>
      </c>
      <c r="DR47" s="39">
        <v>434.7</v>
      </c>
      <c r="DS47" s="39">
        <v>433.7</v>
      </c>
      <c r="DT47" s="88">
        <v>436.4</v>
      </c>
      <c r="DU47" s="88">
        <v>424.7</v>
      </c>
      <c r="DV47" s="88">
        <v>425.4</v>
      </c>
      <c r="DW47" s="88">
        <v>426.1</v>
      </c>
    </row>
    <row r="48" spans="1:127" ht="14.45">
      <c r="A48" s="20" t="s">
        <v>55</v>
      </c>
      <c r="B48" s="39">
        <v>949.3</v>
      </c>
      <c r="C48" s="39">
        <v>945.1</v>
      </c>
      <c r="D48" s="39">
        <v>952.6</v>
      </c>
      <c r="E48" s="39">
        <v>968.8</v>
      </c>
      <c r="F48" s="39">
        <v>980.4</v>
      </c>
      <c r="G48" s="39">
        <v>993.3</v>
      </c>
      <c r="H48" s="39">
        <v>1006.5</v>
      </c>
      <c r="I48" s="39">
        <v>1015</v>
      </c>
      <c r="J48" s="39">
        <v>1017.6</v>
      </c>
      <c r="K48" s="39">
        <v>1023.1</v>
      </c>
      <c r="L48" s="88">
        <v>1027.0999999999999</v>
      </c>
      <c r="M48" s="88">
        <v>989.3</v>
      </c>
      <c r="N48" s="88">
        <v>1007.2</v>
      </c>
      <c r="O48" s="88">
        <v>1026</v>
      </c>
      <c r="P48" s="40">
        <v>47.1</v>
      </c>
      <c r="Q48" s="39">
        <v>42.6</v>
      </c>
      <c r="R48" s="39">
        <v>41.5</v>
      </c>
      <c r="S48" s="39">
        <v>43.3</v>
      </c>
      <c r="T48" s="39">
        <v>45.3</v>
      </c>
      <c r="U48" s="39">
        <v>47</v>
      </c>
      <c r="V48" s="39">
        <v>50.1</v>
      </c>
      <c r="W48" s="39">
        <v>51.6</v>
      </c>
      <c r="X48" s="39">
        <v>51.9</v>
      </c>
      <c r="Y48" s="39">
        <v>53.4</v>
      </c>
      <c r="Z48" s="39">
        <v>54.5</v>
      </c>
      <c r="AA48" s="39">
        <v>56</v>
      </c>
      <c r="AB48" s="39">
        <f>1+55.9</f>
        <v>56.9</v>
      </c>
      <c r="AC48">
        <f>1+58.3</f>
        <v>59.3</v>
      </c>
      <c r="AD48" s="40">
        <v>93.2</v>
      </c>
      <c r="AE48" s="39">
        <v>91.7</v>
      </c>
      <c r="AF48" s="39">
        <v>93.4</v>
      </c>
      <c r="AG48" s="39">
        <v>95</v>
      </c>
      <c r="AH48" s="39">
        <v>96.5</v>
      </c>
      <c r="AI48" s="39">
        <v>97.3</v>
      </c>
      <c r="AJ48" s="39">
        <v>97.4</v>
      </c>
      <c r="AK48" s="39">
        <v>96.8</v>
      </c>
      <c r="AL48" s="39">
        <v>98.1</v>
      </c>
      <c r="AM48" s="39">
        <v>99.7</v>
      </c>
      <c r="AN48" s="39">
        <v>99.7</v>
      </c>
      <c r="AO48" s="39">
        <v>97.5</v>
      </c>
      <c r="AP48" s="109">
        <v>99.5</v>
      </c>
      <c r="AQ48" s="109">
        <v>103.4</v>
      </c>
      <c r="AR48" s="40">
        <v>198.2</v>
      </c>
      <c r="AS48" s="39">
        <v>195.8</v>
      </c>
      <c r="AT48" s="39">
        <v>197.8</v>
      </c>
      <c r="AU48" s="39">
        <v>199.7</v>
      </c>
      <c r="AV48" s="39">
        <v>201.3</v>
      </c>
      <c r="AW48" s="39">
        <v>203.8</v>
      </c>
      <c r="AX48" s="39">
        <v>206.7</v>
      </c>
      <c r="AY48" s="39">
        <v>205.1</v>
      </c>
      <c r="AZ48" s="39">
        <v>202.8</v>
      </c>
      <c r="BA48" s="39">
        <v>201.3</v>
      </c>
      <c r="BB48" s="39">
        <v>198.5</v>
      </c>
      <c r="BC48" s="39">
        <v>191.7</v>
      </c>
      <c r="BD48" s="109">
        <v>194.3</v>
      </c>
      <c r="BE48" s="109">
        <v>196.5</v>
      </c>
      <c r="BF48" s="40">
        <v>17.5</v>
      </c>
      <c r="BG48" s="39">
        <v>17</v>
      </c>
      <c r="BH48" s="39">
        <v>17</v>
      </c>
      <c r="BI48" s="39">
        <v>17.2</v>
      </c>
      <c r="BJ48" s="39">
        <v>17.100000000000001</v>
      </c>
      <c r="BK48" s="39">
        <v>17.100000000000001</v>
      </c>
      <c r="BL48" s="39">
        <v>18.3</v>
      </c>
      <c r="BM48" s="39">
        <v>18.5</v>
      </c>
      <c r="BN48" s="39">
        <v>18.2</v>
      </c>
      <c r="BO48" s="39">
        <v>17.7</v>
      </c>
      <c r="BP48" s="88">
        <v>17.2</v>
      </c>
      <c r="BQ48" s="39">
        <v>16.2</v>
      </c>
      <c r="BR48" s="109">
        <v>17.7</v>
      </c>
      <c r="BS48" s="109">
        <v>18</v>
      </c>
      <c r="BT48" s="40">
        <v>168.7</v>
      </c>
      <c r="BU48" s="39">
        <v>170</v>
      </c>
      <c r="BV48" s="39">
        <v>173.5</v>
      </c>
      <c r="BW48" s="39">
        <v>178.4</v>
      </c>
      <c r="BX48" s="39">
        <v>181.9</v>
      </c>
      <c r="BY48" s="39">
        <v>185.3</v>
      </c>
      <c r="BZ48" s="39">
        <v>187.8</v>
      </c>
      <c r="CA48" s="39">
        <v>191.3</v>
      </c>
      <c r="CB48" s="39">
        <v>191.3</v>
      </c>
      <c r="CC48" s="39">
        <v>193.10000000000002</v>
      </c>
      <c r="CD48" s="39">
        <v>195</v>
      </c>
      <c r="CE48">
        <v>191.6</v>
      </c>
      <c r="CF48">
        <f>72.7+117.9</f>
        <v>190.60000000000002</v>
      </c>
      <c r="CG48">
        <f>71.2+121.7</f>
        <v>192.9</v>
      </c>
      <c r="CH48" s="40">
        <v>138.69999999999999</v>
      </c>
      <c r="CI48" s="39">
        <v>140.69999999999999</v>
      </c>
      <c r="CJ48" s="39">
        <v>142.9</v>
      </c>
      <c r="CK48" s="39">
        <v>145.9</v>
      </c>
      <c r="CL48" s="39">
        <v>147</v>
      </c>
      <c r="CM48" s="39">
        <v>148.4</v>
      </c>
      <c r="CN48" s="39">
        <v>149.80000000000001</v>
      </c>
      <c r="CO48" s="39">
        <v>152.6</v>
      </c>
      <c r="CP48" s="39">
        <v>154.4</v>
      </c>
      <c r="CQ48" s="39">
        <v>155.6</v>
      </c>
      <c r="CR48" s="39">
        <v>157.19999999999999</v>
      </c>
      <c r="CS48" s="39">
        <v>153</v>
      </c>
      <c r="CT48" s="39">
        <v>155.5</v>
      </c>
      <c r="CU48" s="109">
        <v>156.30000000000001</v>
      </c>
      <c r="CV48" s="40">
        <v>117.5</v>
      </c>
      <c r="CW48" s="39">
        <v>117.6</v>
      </c>
      <c r="CX48" s="39">
        <v>118.4</v>
      </c>
      <c r="CY48" s="39">
        <v>120.9</v>
      </c>
      <c r="CZ48" s="39">
        <v>122.6</v>
      </c>
      <c r="DA48" s="39">
        <v>124</v>
      </c>
      <c r="DB48" s="39">
        <v>125.5</v>
      </c>
      <c r="DC48" s="39">
        <v>127.1</v>
      </c>
      <c r="DD48" s="39">
        <v>128.4</v>
      </c>
      <c r="DE48" s="39">
        <v>129</v>
      </c>
      <c r="DF48" s="39">
        <v>131.39999999999998</v>
      </c>
      <c r="DG48" s="39">
        <v>114.9</v>
      </c>
      <c r="DH48" s="39">
        <f>86.4+36.1</f>
        <v>122.5</v>
      </c>
      <c r="DI48" s="39">
        <f>92.3+37.1</f>
        <v>129.4</v>
      </c>
      <c r="DJ48" s="40">
        <v>168.5</v>
      </c>
      <c r="DK48" s="39">
        <v>169.6</v>
      </c>
      <c r="DL48" s="39">
        <v>168.2</v>
      </c>
      <c r="DM48" s="39">
        <v>168.4</v>
      </c>
      <c r="DN48" s="39">
        <v>168.9</v>
      </c>
      <c r="DO48" s="39">
        <v>170.5</v>
      </c>
      <c r="DP48" s="39">
        <v>171</v>
      </c>
      <c r="DQ48" s="39">
        <v>172.1</v>
      </c>
      <c r="DR48" s="39">
        <v>172.7</v>
      </c>
      <c r="DS48" s="39">
        <v>173.5</v>
      </c>
      <c r="DT48" s="88">
        <v>173.6</v>
      </c>
      <c r="DU48" s="88">
        <v>168.4</v>
      </c>
      <c r="DV48" s="88">
        <v>169.8</v>
      </c>
      <c r="DW48" s="88">
        <v>170.2</v>
      </c>
    </row>
    <row r="49" spans="1:127" ht="14.45">
      <c r="A49" s="20" t="s">
        <v>56</v>
      </c>
      <c r="B49" s="39">
        <v>366.7</v>
      </c>
      <c r="C49" s="39">
        <v>376</v>
      </c>
      <c r="D49" s="39">
        <v>396.6</v>
      </c>
      <c r="E49" s="39">
        <v>429</v>
      </c>
      <c r="F49" s="39">
        <v>443.7</v>
      </c>
      <c r="G49" s="39">
        <v>460.7</v>
      </c>
      <c r="H49" s="39">
        <v>453.5</v>
      </c>
      <c r="I49" s="39">
        <v>434.8</v>
      </c>
      <c r="J49" s="39">
        <v>430.5</v>
      </c>
      <c r="K49" s="39">
        <v>433.4</v>
      </c>
      <c r="L49" s="88">
        <v>439.2</v>
      </c>
      <c r="M49" s="88">
        <v>411.6</v>
      </c>
      <c r="N49" s="88">
        <v>417</v>
      </c>
      <c r="O49" s="88">
        <v>427.2</v>
      </c>
      <c r="P49" s="40">
        <v>27.9</v>
      </c>
      <c r="Q49" s="39">
        <v>32.299999999999997</v>
      </c>
      <c r="R49" s="39">
        <v>41.5</v>
      </c>
      <c r="S49" s="39">
        <v>54.3</v>
      </c>
      <c r="T49" s="39">
        <v>58.599999999999994</v>
      </c>
      <c r="U49" s="39">
        <v>64.2</v>
      </c>
      <c r="V49" s="39">
        <v>58</v>
      </c>
      <c r="W49" s="39">
        <v>47.400000000000006</v>
      </c>
      <c r="X49" s="39">
        <v>44.8</v>
      </c>
      <c r="Y49" s="39">
        <v>46.599999999999994</v>
      </c>
      <c r="Z49" s="39">
        <v>49.400000000000006</v>
      </c>
      <c r="AA49" s="39">
        <v>41.4</v>
      </c>
      <c r="AB49" s="39">
        <f>13.8+25.4</f>
        <v>39.200000000000003</v>
      </c>
      <c r="AC49" s="39">
        <f>16.2+26</f>
        <v>42.2</v>
      </c>
      <c r="AD49" s="40">
        <v>23.5</v>
      </c>
      <c r="AE49" s="39">
        <v>22.6</v>
      </c>
      <c r="AF49" s="39">
        <v>23.8</v>
      </c>
      <c r="AG49" s="39">
        <v>25.2</v>
      </c>
      <c r="AH49" s="39">
        <v>25.4</v>
      </c>
      <c r="AI49" s="39">
        <v>26</v>
      </c>
      <c r="AJ49" s="39">
        <v>25.5</v>
      </c>
      <c r="AK49" s="39">
        <v>24.6</v>
      </c>
      <c r="AL49" s="39">
        <v>24.7</v>
      </c>
      <c r="AM49" s="39">
        <v>25.9</v>
      </c>
      <c r="AN49" s="39">
        <v>26.4</v>
      </c>
      <c r="AO49" s="39">
        <v>25.2</v>
      </c>
      <c r="AP49" s="109">
        <v>26.2</v>
      </c>
      <c r="AQ49" s="109">
        <v>27.3</v>
      </c>
      <c r="AR49" s="40">
        <v>78</v>
      </c>
      <c r="AS49" s="39">
        <v>80.599999999999994</v>
      </c>
      <c r="AT49" s="39">
        <v>86.7</v>
      </c>
      <c r="AU49" s="39">
        <v>96.7</v>
      </c>
      <c r="AV49" s="39">
        <v>101.6</v>
      </c>
      <c r="AW49" s="39">
        <v>106.1</v>
      </c>
      <c r="AX49" s="39">
        <v>104.1</v>
      </c>
      <c r="AY49" s="39">
        <v>96.5</v>
      </c>
      <c r="AZ49" s="39">
        <v>94.8</v>
      </c>
      <c r="BA49" s="39">
        <v>94.2</v>
      </c>
      <c r="BB49" s="39">
        <v>93.7</v>
      </c>
      <c r="BC49" s="39">
        <v>89.1</v>
      </c>
      <c r="BD49" s="109">
        <v>89.2</v>
      </c>
      <c r="BE49" s="109">
        <v>90.5</v>
      </c>
      <c r="BF49" s="40">
        <v>7.5</v>
      </c>
      <c r="BG49" s="39">
        <v>7.3</v>
      </c>
      <c r="BH49" s="39">
        <v>7.1</v>
      </c>
      <c r="BI49" s="39">
        <v>6.9</v>
      </c>
      <c r="BJ49" s="39">
        <v>6.8</v>
      </c>
      <c r="BK49" s="39">
        <v>6.8</v>
      </c>
      <c r="BL49" s="39">
        <v>6.6</v>
      </c>
      <c r="BM49" s="39">
        <v>6.7</v>
      </c>
      <c r="BN49" s="39">
        <v>6.5</v>
      </c>
      <c r="BO49" s="39">
        <v>6.2</v>
      </c>
      <c r="BP49" s="88">
        <v>6.1</v>
      </c>
      <c r="BQ49" s="39">
        <v>5.8</v>
      </c>
      <c r="BR49" s="109">
        <v>5.7</v>
      </c>
      <c r="BS49" s="109">
        <v>5.8</v>
      </c>
      <c r="BT49" s="40">
        <v>49.2</v>
      </c>
      <c r="BU49" s="39">
        <v>49</v>
      </c>
      <c r="BV49" s="39">
        <v>51</v>
      </c>
      <c r="BW49" s="39">
        <v>54.5</v>
      </c>
      <c r="BX49" s="39">
        <v>57.1</v>
      </c>
      <c r="BY49" s="39">
        <v>60.1</v>
      </c>
      <c r="BZ49" s="39">
        <v>60.699999999999996</v>
      </c>
      <c r="CA49" s="39">
        <v>58.9</v>
      </c>
      <c r="CB49" s="39">
        <v>58.9</v>
      </c>
      <c r="CC49" s="39">
        <v>58.900000000000006</v>
      </c>
      <c r="CD49" s="39">
        <v>57.599999999999994</v>
      </c>
      <c r="CE49">
        <v>56.1</v>
      </c>
      <c r="CF49">
        <f>24.6+33</f>
        <v>57.6</v>
      </c>
      <c r="CG49">
        <f>24.4+34.7</f>
        <v>59.1</v>
      </c>
      <c r="CH49" s="40">
        <v>53.3</v>
      </c>
      <c r="CI49" s="39">
        <v>55</v>
      </c>
      <c r="CJ49" s="39">
        <v>56.2</v>
      </c>
      <c r="CK49" s="39">
        <v>57.7</v>
      </c>
      <c r="CL49" s="39">
        <v>58.8</v>
      </c>
      <c r="CM49" s="39">
        <v>59.3</v>
      </c>
      <c r="CN49" s="39">
        <v>60.3</v>
      </c>
      <c r="CO49" s="39">
        <v>62</v>
      </c>
      <c r="CP49" s="39">
        <v>63.1</v>
      </c>
      <c r="CQ49" s="39">
        <v>63.7</v>
      </c>
      <c r="CR49" s="39">
        <v>67.2</v>
      </c>
      <c r="CS49" s="39">
        <v>65.8</v>
      </c>
      <c r="CT49" s="39">
        <v>66.599999999999994</v>
      </c>
      <c r="CU49" s="109">
        <v>67</v>
      </c>
      <c r="CV49" s="40">
        <v>49.3</v>
      </c>
      <c r="CW49" s="39">
        <v>49.699999999999996</v>
      </c>
      <c r="CX49" s="39">
        <v>51.1</v>
      </c>
      <c r="CY49" s="39">
        <v>54.2</v>
      </c>
      <c r="CZ49" s="39">
        <v>55.5</v>
      </c>
      <c r="DA49" s="39">
        <v>57.6</v>
      </c>
      <c r="DB49" s="39">
        <v>57.1</v>
      </c>
      <c r="DC49" s="39">
        <v>55.4</v>
      </c>
      <c r="DD49" s="39">
        <v>55.400000000000006</v>
      </c>
      <c r="DE49" s="39">
        <v>55.400000000000006</v>
      </c>
      <c r="DF49" s="39">
        <v>55.9</v>
      </c>
      <c r="DG49" s="39">
        <v>49</v>
      </c>
      <c r="DH49" s="39">
        <f>37+14.3</f>
        <v>51.3</v>
      </c>
      <c r="DI49" s="39">
        <f>37+14.7</f>
        <v>51.7</v>
      </c>
      <c r="DJ49" s="40">
        <v>77.900000000000006</v>
      </c>
      <c r="DK49" s="39">
        <v>79.599999999999994</v>
      </c>
      <c r="DL49" s="39">
        <v>79.099999999999994</v>
      </c>
      <c r="DM49" s="39">
        <v>79.400000000000006</v>
      </c>
      <c r="DN49" s="39">
        <v>79.900000000000006</v>
      </c>
      <c r="DO49" s="39">
        <v>80.599999999999994</v>
      </c>
      <c r="DP49" s="39">
        <v>81.3</v>
      </c>
      <c r="DQ49" s="39">
        <v>83.3</v>
      </c>
      <c r="DR49" s="39">
        <v>82.4</v>
      </c>
      <c r="DS49" s="39">
        <v>82.5</v>
      </c>
      <c r="DT49" s="88">
        <v>83</v>
      </c>
      <c r="DU49" s="88">
        <v>79.3</v>
      </c>
      <c r="DV49" s="88">
        <v>81</v>
      </c>
      <c r="DW49" s="88">
        <v>81.8</v>
      </c>
    </row>
    <row r="50" spans="1:127" ht="14.45">
      <c r="A50" s="20" t="s">
        <v>57</v>
      </c>
      <c r="B50" s="39">
        <v>5072.5</v>
      </c>
      <c r="C50" s="39">
        <v>5036</v>
      </c>
      <c r="D50" s="39">
        <v>5105.2</v>
      </c>
      <c r="E50" s="39">
        <v>5198.3</v>
      </c>
      <c r="F50" s="39">
        <v>5263.1</v>
      </c>
      <c r="G50" s="39">
        <v>5330.7</v>
      </c>
      <c r="H50" s="39">
        <v>5423.5</v>
      </c>
      <c r="I50" s="39">
        <v>5480.9</v>
      </c>
      <c r="J50" s="39">
        <v>5525.9</v>
      </c>
      <c r="K50" s="39">
        <v>5559.9</v>
      </c>
      <c r="L50" s="88">
        <v>5586.8</v>
      </c>
      <c r="M50" s="88">
        <v>5253.9</v>
      </c>
      <c r="N50" s="88">
        <v>5387.7</v>
      </c>
      <c r="O50" s="88">
        <v>5529.3</v>
      </c>
      <c r="P50" s="40">
        <v>192.79999999999998</v>
      </c>
      <c r="Q50" s="39">
        <v>180.10000000000002</v>
      </c>
      <c r="R50" s="39">
        <v>187.4</v>
      </c>
      <c r="S50" s="39">
        <v>192.5</v>
      </c>
      <c r="T50" s="39">
        <v>198.5</v>
      </c>
      <c r="U50" s="39">
        <v>208.9</v>
      </c>
      <c r="V50" s="39">
        <v>214.6</v>
      </c>
      <c r="W50" s="39">
        <v>217</v>
      </c>
      <c r="X50" s="39">
        <v>227.70000000000002</v>
      </c>
      <c r="Y50" s="39">
        <v>231.5</v>
      </c>
      <c r="Z50" s="39">
        <v>237.9</v>
      </c>
      <c r="AA50" s="39">
        <v>228.3</v>
      </c>
      <c r="AB50" s="39">
        <f>5.6+224</f>
        <v>229.6</v>
      </c>
      <c r="AC50" s="39">
        <f>8.9+233.6</f>
        <v>242.5</v>
      </c>
      <c r="AD50" s="40">
        <v>629.4</v>
      </c>
      <c r="AE50" s="39">
        <v>620.5</v>
      </c>
      <c r="AF50" s="39">
        <v>638.6</v>
      </c>
      <c r="AG50" s="39">
        <v>656.2</v>
      </c>
      <c r="AH50" s="39">
        <v>662.8</v>
      </c>
      <c r="AI50" s="39">
        <v>673</v>
      </c>
      <c r="AJ50" s="39">
        <v>686.8</v>
      </c>
      <c r="AK50" s="39">
        <v>685.5</v>
      </c>
      <c r="AL50" s="39">
        <v>686.8</v>
      </c>
      <c r="AM50" s="39">
        <v>698.9</v>
      </c>
      <c r="AN50" s="39">
        <v>701.4</v>
      </c>
      <c r="AO50" s="39">
        <v>652.9</v>
      </c>
      <c r="AP50" s="109">
        <v>665.3</v>
      </c>
      <c r="AQ50" s="109">
        <v>682.5</v>
      </c>
      <c r="AR50" s="40">
        <v>967.2</v>
      </c>
      <c r="AS50" s="39">
        <v>947.6</v>
      </c>
      <c r="AT50" s="39">
        <v>957.7</v>
      </c>
      <c r="AU50" s="39">
        <v>972.9</v>
      </c>
      <c r="AV50" s="39">
        <v>982.1</v>
      </c>
      <c r="AW50" s="39">
        <v>993.1</v>
      </c>
      <c r="AX50" s="39">
        <v>1012.9</v>
      </c>
      <c r="AY50" s="39">
        <v>1020.6</v>
      </c>
      <c r="AZ50" s="39">
        <v>1024.2</v>
      </c>
      <c r="BA50" s="39">
        <v>1024.3</v>
      </c>
      <c r="BB50" s="39">
        <v>1025.4000000000001</v>
      </c>
      <c r="BC50" s="39">
        <v>1004.1</v>
      </c>
      <c r="BD50" s="109">
        <v>1031.9000000000001</v>
      </c>
      <c r="BE50" s="109">
        <v>1056.4000000000001</v>
      </c>
      <c r="BF50" s="40">
        <v>80.8</v>
      </c>
      <c r="BG50" s="39">
        <v>77.599999999999994</v>
      </c>
      <c r="BH50" s="39">
        <v>76.099999999999994</v>
      </c>
      <c r="BI50" s="39">
        <v>75</v>
      </c>
      <c r="BJ50" s="39">
        <v>75.2</v>
      </c>
      <c r="BK50" s="39">
        <v>72.599999999999994</v>
      </c>
      <c r="BL50" s="39">
        <v>71.599999999999994</v>
      </c>
      <c r="BM50" s="39">
        <v>72.3</v>
      </c>
      <c r="BN50" s="39">
        <v>71.599999999999994</v>
      </c>
      <c r="BO50" s="39">
        <v>70.8</v>
      </c>
      <c r="BP50" s="88">
        <v>69.5</v>
      </c>
      <c r="BQ50" s="39">
        <v>63.8</v>
      </c>
      <c r="BR50" s="109">
        <v>66.3</v>
      </c>
      <c r="BS50" s="109">
        <v>69.2</v>
      </c>
      <c r="BT50" s="40">
        <v>896.5</v>
      </c>
      <c r="BU50" s="39">
        <v>902.5</v>
      </c>
      <c r="BV50" s="39">
        <v>929.8</v>
      </c>
      <c r="BW50" s="39">
        <v>953.6</v>
      </c>
      <c r="BX50" s="39">
        <v>973.40000000000009</v>
      </c>
      <c r="BY50" s="39">
        <v>996.7</v>
      </c>
      <c r="BZ50" s="39">
        <v>1009</v>
      </c>
      <c r="CA50" s="39">
        <v>1022</v>
      </c>
      <c r="CB50" s="39">
        <v>1028.7</v>
      </c>
      <c r="CC50" s="39">
        <v>1039.0999999999999</v>
      </c>
      <c r="CD50" s="39">
        <v>1044.5999999999999</v>
      </c>
      <c r="CE50">
        <v>996.1</v>
      </c>
      <c r="CF50">
        <f>310.3+720</f>
        <v>1030.3</v>
      </c>
      <c r="CG50">
        <f>318.6+742</f>
        <v>1060.5999999999999</v>
      </c>
      <c r="CH50" s="40">
        <v>828.4</v>
      </c>
      <c r="CI50" s="39">
        <v>840.6</v>
      </c>
      <c r="CJ50" s="39">
        <v>852.3</v>
      </c>
      <c r="CK50" s="39">
        <v>865.8</v>
      </c>
      <c r="CL50" s="39">
        <v>879.8</v>
      </c>
      <c r="CM50" s="39">
        <v>889.8</v>
      </c>
      <c r="CN50" s="39">
        <v>906</v>
      </c>
      <c r="CO50" s="39">
        <v>923.8</v>
      </c>
      <c r="CP50" s="39">
        <v>928.6</v>
      </c>
      <c r="CQ50" s="39">
        <v>936.1</v>
      </c>
      <c r="CR50" s="39">
        <v>940.3</v>
      </c>
      <c r="CS50" s="39">
        <v>895.2</v>
      </c>
      <c r="CT50" s="39">
        <v>897.7</v>
      </c>
      <c r="CU50" s="109">
        <v>904.2</v>
      </c>
      <c r="CV50" s="40">
        <v>685.5</v>
      </c>
      <c r="CW50" s="39">
        <v>681.3</v>
      </c>
      <c r="CX50" s="39">
        <v>690.8</v>
      </c>
      <c r="CY50" s="39">
        <v>712.5</v>
      </c>
      <c r="CZ50" s="39">
        <v>729.5</v>
      </c>
      <c r="DA50" s="39">
        <v>737.9</v>
      </c>
      <c r="DB50" s="39">
        <v>751.9</v>
      </c>
      <c r="DC50" s="39">
        <v>763.4</v>
      </c>
      <c r="DD50" s="39">
        <v>776.09999999999991</v>
      </c>
      <c r="DE50" s="39">
        <v>780.09999999999991</v>
      </c>
      <c r="DF50" s="39">
        <v>781.7</v>
      </c>
      <c r="DG50" s="39">
        <v>654.4</v>
      </c>
      <c r="DH50" s="39">
        <f>506.4+200.4</f>
        <v>706.8</v>
      </c>
      <c r="DI50" s="39">
        <f>541.3+207.2</f>
        <v>748.5</v>
      </c>
      <c r="DJ50" s="40">
        <v>792</v>
      </c>
      <c r="DK50" s="39">
        <v>785.7</v>
      </c>
      <c r="DL50" s="39">
        <v>772.5</v>
      </c>
      <c r="DM50" s="39">
        <v>769.8</v>
      </c>
      <c r="DN50" s="39">
        <v>761.7</v>
      </c>
      <c r="DO50" s="39">
        <v>758.7</v>
      </c>
      <c r="DP50" s="39">
        <v>770.7</v>
      </c>
      <c r="DQ50" s="39">
        <v>776.5</v>
      </c>
      <c r="DR50" s="39">
        <v>782.2</v>
      </c>
      <c r="DS50" s="39">
        <v>779.2</v>
      </c>
      <c r="DT50" s="88">
        <v>786.1</v>
      </c>
      <c r="DU50" s="88">
        <v>759.2</v>
      </c>
      <c r="DV50" s="88">
        <v>756.7</v>
      </c>
      <c r="DW50" s="88">
        <v>765.5</v>
      </c>
    </row>
    <row r="51" spans="1:127" ht="14.45">
      <c r="A51" s="20" t="s">
        <v>58</v>
      </c>
      <c r="B51" s="39">
        <v>403.7</v>
      </c>
      <c r="C51" s="39">
        <v>403.2</v>
      </c>
      <c r="D51" s="39">
        <v>407.5</v>
      </c>
      <c r="E51" s="39">
        <v>414</v>
      </c>
      <c r="F51" s="39">
        <v>417.7</v>
      </c>
      <c r="G51" s="39">
        <v>423.4</v>
      </c>
      <c r="H51" s="39">
        <v>428.3</v>
      </c>
      <c r="I51" s="39">
        <v>432.7</v>
      </c>
      <c r="J51" s="39">
        <v>434.4</v>
      </c>
      <c r="K51" s="39">
        <v>438.9</v>
      </c>
      <c r="L51" s="88">
        <v>440.6</v>
      </c>
      <c r="M51" s="88">
        <v>425.4</v>
      </c>
      <c r="N51" s="88">
        <v>440.4</v>
      </c>
      <c r="O51" s="88">
        <v>452.5</v>
      </c>
      <c r="P51" s="40">
        <v>21.8</v>
      </c>
      <c r="Q51" s="39">
        <v>21</v>
      </c>
      <c r="R51" s="39">
        <v>21.1</v>
      </c>
      <c r="S51" s="39">
        <v>21.1</v>
      </c>
      <c r="T51" s="39">
        <v>21.4</v>
      </c>
      <c r="U51" s="39">
        <v>22.2</v>
      </c>
      <c r="V51" s="39">
        <v>23.099999999999998</v>
      </c>
      <c r="W51" s="39">
        <v>23.799999999999997</v>
      </c>
      <c r="X51" s="39">
        <v>23.4</v>
      </c>
      <c r="Y51" s="39">
        <v>23.9</v>
      </c>
      <c r="Z51" s="39">
        <v>24.6</v>
      </c>
      <c r="AA51" s="39">
        <v>25.2</v>
      </c>
      <c r="AB51" s="39">
        <f>1.1+25.1</f>
        <v>26.200000000000003</v>
      </c>
      <c r="AC51" s="39">
        <f>1.2+26</f>
        <v>27.2</v>
      </c>
      <c r="AD51" s="40">
        <v>37.700000000000003</v>
      </c>
      <c r="AE51" s="39">
        <v>36.9</v>
      </c>
      <c r="AF51" s="39">
        <v>39.200000000000003</v>
      </c>
      <c r="AG51" s="39">
        <v>41.2</v>
      </c>
      <c r="AH51" s="39">
        <v>41.5</v>
      </c>
      <c r="AI51" s="39">
        <v>42.4</v>
      </c>
      <c r="AJ51" s="39">
        <v>42.6</v>
      </c>
      <c r="AK51" s="39">
        <v>42</v>
      </c>
      <c r="AL51" s="39">
        <v>43.1</v>
      </c>
      <c r="AM51" s="39">
        <v>44.4</v>
      </c>
      <c r="AN51" s="39">
        <v>44.8</v>
      </c>
      <c r="AO51" s="39">
        <v>43.2</v>
      </c>
      <c r="AP51" s="109">
        <v>43.9</v>
      </c>
      <c r="AQ51" s="109">
        <v>45.1</v>
      </c>
      <c r="AR51" s="40">
        <v>80.7</v>
      </c>
      <c r="AS51" s="39">
        <v>80.599999999999994</v>
      </c>
      <c r="AT51" s="39">
        <v>81.7</v>
      </c>
      <c r="AU51" s="39">
        <v>83</v>
      </c>
      <c r="AV51" s="39">
        <v>83.7</v>
      </c>
      <c r="AW51" s="39">
        <v>85.6</v>
      </c>
      <c r="AX51" s="39">
        <v>87.5</v>
      </c>
      <c r="AY51" s="39">
        <v>88.4</v>
      </c>
      <c r="AZ51" s="39">
        <v>86.9</v>
      </c>
      <c r="BA51" s="39">
        <v>86.8</v>
      </c>
      <c r="BB51" s="39">
        <v>86</v>
      </c>
      <c r="BC51" s="39">
        <v>83.9</v>
      </c>
      <c r="BD51" s="109">
        <v>86.9</v>
      </c>
      <c r="BE51" s="109">
        <v>89.3</v>
      </c>
      <c r="BF51" s="40">
        <v>6.7</v>
      </c>
      <c r="BG51" s="39">
        <v>6.5</v>
      </c>
      <c r="BH51" s="39">
        <v>6.4</v>
      </c>
      <c r="BI51" s="39">
        <v>6.2</v>
      </c>
      <c r="BJ51" s="39">
        <v>6</v>
      </c>
      <c r="BK51" s="39">
        <v>6.1</v>
      </c>
      <c r="BL51" s="39">
        <v>5.9</v>
      </c>
      <c r="BM51" s="39">
        <v>5.8</v>
      </c>
      <c r="BN51" s="39">
        <v>5.7</v>
      </c>
      <c r="BO51" s="39">
        <v>5.6</v>
      </c>
      <c r="BP51" s="88">
        <v>5.5</v>
      </c>
      <c r="BQ51" s="39">
        <v>5</v>
      </c>
      <c r="BR51" s="109">
        <v>5.0999999999999996</v>
      </c>
      <c r="BS51" s="109">
        <v>5.3</v>
      </c>
      <c r="BT51" s="40">
        <v>57.3</v>
      </c>
      <c r="BU51" s="39">
        <v>56.4</v>
      </c>
      <c r="BV51" s="39">
        <v>56.8</v>
      </c>
      <c r="BW51" s="39">
        <v>57.8</v>
      </c>
      <c r="BX51" s="39">
        <v>59.2</v>
      </c>
      <c r="BY51" s="39">
        <v>59.7</v>
      </c>
      <c r="BZ51" s="39">
        <v>60.3</v>
      </c>
      <c r="CA51" s="39">
        <v>60.6</v>
      </c>
      <c r="CB51" s="39">
        <v>60.6</v>
      </c>
      <c r="CC51" s="39">
        <v>61.8</v>
      </c>
      <c r="CD51" s="39">
        <v>62.2</v>
      </c>
      <c r="CE51">
        <v>61.1</v>
      </c>
      <c r="CF51">
        <f>28.2+34.6</f>
        <v>62.8</v>
      </c>
      <c r="CG51">
        <f>28+36.7</f>
        <v>64.7</v>
      </c>
      <c r="CH51" s="40">
        <v>63.2</v>
      </c>
      <c r="CI51" s="39">
        <v>64.5</v>
      </c>
      <c r="CJ51" s="39">
        <v>65.3</v>
      </c>
      <c r="CK51" s="39">
        <v>67.099999999999994</v>
      </c>
      <c r="CL51" s="39">
        <v>68</v>
      </c>
      <c r="CM51" s="39">
        <v>68.400000000000006</v>
      </c>
      <c r="CN51" s="39">
        <v>69.099999999999994</v>
      </c>
      <c r="CO51" s="39">
        <v>70.400000000000006</v>
      </c>
      <c r="CP51" s="39">
        <v>72</v>
      </c>
      <c r="CQ51" s="39">
        <v>72.8</v>
      </c>
      <c r="CR51" s="39">
        <v>73.5</v>
      </c>
      <c r="CS51" s="39">
        <v>73.099999999999994</v>
      </c>
      <c r="CT51" s="39">
        <v>74.2</v>
      </c>
      <c r="CU51" s="109">
        <v>75.3</v>
      </c>
      <c r="CV51" s="40">
        <v>58.599999999999994</v>
      </c>
      <c r="CW51" s="39">
        <v>58.6</v>
      </c>
      <c r="CX51" s="39">
        <v>59</v>
      </c>
      <c r="CY51" s="39">
        <v>60.099999999999994</v>
      </c>
      <c r="CZ51" s="39">
        <v>60.6</v>
      </c>
      <c r="DA51" s="39">
        <v>61.099999999999994</v>
      </c>
      <c r="DB51" s="39">
        <v>62.1</v>
      </c>
      <c r="DC51" s="39">
        <v>62.9</v>
      </c>
      <c r="DD51" s="39">
        <v>63.599999999999994</v>
      </c>
      <c r="DE51" s="39">
        <v>64.099999999999994</v>
      </c>
      <c r="DF51" s="39">
        <v>64.199999999999989</v>
      </c>
      <c r="DG51" s="39">
        <v>57.300000000000004</v>
      </c>
      <c r="DH51" s="39">
        <f>45.6+17</f>
        <v>62.6</v>
      </c>
      <c r="DI51" s="39">
        <f>48.3+17.7</f>
        <v>66</v>
      </c>
      <c r="DJ51" s="40">
        <v>77.8</v>
      </c>
      <c r="DK51" s="39">
        <v>78.7</v>
      </c>
      <c r="DL51" s="39">
        <v>78</v>
      </c>
      <c r="DM51" s="39">
        <v>77.5</v>
      </c>
      <c r="DN51" s="39">
        <v>77.3</v>
      </c>
      <c r="DO51" s="39">
        <v>77.900000000000006</v>
      </c>
      <c r="DP51" s="39">
        <v>77.8</v>
      </c>
      <c r="DQ51" s="39">
        <v>78.7</v>
      </c>
      <c r="DR51" s="39">
        <v>79.3</v>
      </c>
      <c r="DS51" s="39">
        <v>79.599999999999994</v>
      </c>
      <c r="DT51" s="88">
        <v>79.900000000000006</v>
      </c>
      <c r="DU51" s="88">
        <v>76.7</v>
      </c>
      <c r="DV51" s="88">
        <v>78.900000000000006</v>
      </c>
      <c r="DW51" s="88">
        <v>79.7</v>
      </c>
    </row>
    <row r="52" spans="1:127" ht="14.45">
      <c r="A52" s="34" t="s">
        <v>59</v>
      </c>
      <c r="B52" s="35">
        <v>2741.1</v>
      </c>
      <c r="C52" s="35">
        <v>2725</v>
      </c>
      <c r="D52" s="35">
        <v>2751.8</v>
      </c>
      <c r="E52" s="35">
        <v>2780.5</v>
      </c>
      <c r="F52" s="35">
        <v>2809</v>
      </c>
      <c r="G52" s="35">
        <v>2845.1</v>
      </c>
      <c r="H52" s="35">
        <v>2892</v>
      </c>
      <c r="I52" s="35">
        <v>2924.2</v>
      </c>
      <c r="J52" s="35">
        <v>2944.8</v>
      </c>
      <c r="K52" s="35">
        <v>2971.5</v>
      </c>
      <c r="L52" s="88">
        <v>2981.4</v>
      </c>
      <c r="M52" s="88">
        <v>2818</v>
      </c>
      <c r="N52" s="88">
        <v>2892.3</v>
      </c>
      <c r="O52" s="88">
        <v>2954.3</v>
      </c>
      <c r="P52" s="36">
        <v>104.7</v>
      </c>
      <c r="Q52" s="35">
        <v>97.5</v>
      </c>
      <c r="R52" s="35">
        <v>95.7</v>
      </c>
      <c r="S52" s="35">
        <v>97.1</v>
      </c>
      <c r="T52" s="35">
        <v>102.3</v>
      </c>
      <c r="U52" s="35">
        <v>107.8</v>
      </c>
      <c r="V52" s="35">
        <v>113.60000000000001</v>
      </c>
      <c r="W52" s="35">
        <v>115.6</v>
      </c>
      <c r="X52" s="35">
        <v>120.89999999999999</v>
      </c>
      <c r="Y52" s="35">
        <v>127</v>
      </c>
      <c r="Z52" s="35">
        <v>128.19999999999999</v>
      </c>
      <c r="AA52" s="35">
        <v>127.5</v>
      </c>
      <c r="AB52" s="35">
        <f>3.5+127</f>
        <v>130.5</v>
      </c>
      <c r="AC52" s="35">
        <f>3.7+131.3</f>
        <v>135</v>
      </c>
      <c r="AD52" s="36">
        <v>436.4</v>
      </c>
      <c r="AE52" s="35">
        <v>430.5</v>
      </c>
      <c r="AF52" s="35">
        <v>445</v>
      </c>
      <c r="AG52" s="35">
        <v>455.6</v>
      </c>
      <c r="AH52" s="35">
        <v>457.5</v>
      </c>
      <c r="AI52" s="35">
        <v>464.8</v>
      </c>
      <c r="AJ52" s="35">
        <v>467.2</v>
      </c>
      <c r="AK52" s="35">
        <v>465.3</v>
      </c>
      <c r="AL52" s="35">
        <v>468.2</v>
      </c>
      <c r="AM52" s="35">
        <v>475.5</v>
      </c>
      <c r="AN52" s="35">
        <v>484.3</v>
      </c>
      <c r="AO52" s="35">
        <v>459.7</v>
      </c>
      <c r="AP52" s="109">
        <v>467.4</v>
      </c>
      <c r="AQ52" s="109">
        <v>481.2</v>
      </c>
      <c r="AR52" s="36">
        <v>517.29999999999995</v>
      </c>
      <c r="AS52" s="35">
        <v>508.2</v>
      </c>
      <c r="AT52" s="35">
        <v>510.6</v>
      </c>
      <c r="AU52" s="35">
        <v>512.29999999999995</v>
      </c>
      <c r="AV52" s="35">
        <v>517.70000000000005</v>
      </c>
      <c r="AW52" s="35">
        <v>524.70000000000005</v>
      </c>
      <c r="AX52" s="35">
        <v>531.6</v>
      </c>
      <c r="AY52" s="35">
        <v>539.70000000000005</v>
      </c>
      <c r="AZ52" s="35">
        <v>541.70000000000005</v>
      </c>
      <c r="BA52" s="35">
        <v>543.20000000000005</v>
      </c>
      <c r="BB52" s="35">
        <v>534.1</v>
      </c>
      <c r="BC52" s="35">
        <v>518.20000000000005</v>
      </c>
      <c r="BD52" s="109">
        <v>535.5</v>
      </c>
      <c r="BE52" s="109">
        <v>549.29999999999995</v>
      </c>
      <c r="BF52" s="36">
        <v>48</v>
      </c>
      <c r="BG52" s="35">
        <v>46.7</v>
      </c>
      <c r="BH52" s="35">
        <v>46.8</v>
      </c>
      <c r="BI52" s="35">
        <v>46.5</v>
      </c>
      <c r="BJ52" s="35">
        <v>47.2</v>
      </c>
      <c r="BK52" s="35">
        <v>47.8</v>
      </c>
      <c r="BL52" s="35">
        <v>48.9</v>
      </c>
      <c r="BM52" s="35">
        <v>48.8</v>
      </c>
      <c r="BN52" s="35">
        <v>47.8</v>
      </c>
      <c r="BO52" s="35">
        <v>47.3</v>
      </c>
      <c r="BP52" s="88">
        <v>47</v>
      </c>
      <c r="BQ52" s="35">
        <v>44.9</v>
      </c>
      <c r="BR52" s="109">
        <v>45.1</v>
      </c>
      <c r="BS52" s="109">
        <v>46.3</v>
      </c>
      <c r="BT52" s="36">
        <v>416.79999999999995</v>
      </c>
      <c r="BU52" s="35">
        <v>426.5</v>
      </c>
      <c r="BV52" s="35">
        <v>438.5</v>
      </c>
      <c r="BW52" s="35">
        <v>445.20000000000005</v>
      </c>
      <c r="BX52" s="35">
        <v>452.2</v>
      </c>
      <c r="BY52" s="35">
        <v>457</v>
      </c>
      <c r="BZ52" s="35">
        <v>466.09999999999997</v>
      </c>
      <c r="CA52" s="35">
        <v>473.4</v>
      </c>
      <c r="CB52" s="35">
        <v>477.09999999999997</v>
      </c>
      <c r="CC52" s="35">
        <v>479.70000000000005</v>
      </c>
      <c r="CD52" s="35">
        <v>480.8</v>
      </c>
      <c r="CE52">
        <v>461.7</v>
      </c>
      <c r="CF52">
        <f>155.7+319.2</f>
        <v>474.9</v>
      </c>
      <c r="CG52">
        <f>158.7+327.8</f>
        <v>486.5</v>
      </c>
      <c r="CH52" s="36">
        <v>406.4</v>
      </c>
      <c r="CI52" s="35">
        <v>407.6</v>
      </c>
      <c r="CJ52" s="35">
        <v>410.8</v>
      </c>
      <c r="CK52" s="35">
        <v>418.3</v>
      </c>
      <c r="CL52" s="35">
        <v>424.1</v>
      </c>
      <c r="CM52" s="35">
        <v>429.7</v>
      </c>
      <c r="CN52" s="35">
        <v>436.2</v>
      </c>
      <c r="CO52" s="35">
        <v>445.1</v>
      </c>
      <c r="CP52" s="35">
        <v>450.6</v>
      </c>
      <c r="CQ52" s="35">
        <v>456.1</v>
      </c>
      <c r="CR52" s="35">
        <v>464.3</v>
      </c>
      <c r="CS52" s="35">
        <v>449.9</v>
      </c>
      <c r="CT52" s="35">
        <v>455</v>
      </c>
      <c r="CU52" s="109">
        <v>457.9</v>
      </c>
      <c r="CV52" s="36">
        <v>390.79999999999995</v>
      </c>
      <c r="CW52" s="35">
        <v>388.4</v>
      </c>
      <c r="CX52" s="35">
        <v>389.6</v>
      </c>
      <c r="CY52" s="35">
        <v>394.7</v>
      </c>
      <c r="CZ52" s="35">
        <v>398.9</v>
      </c>
      <c r="DA52" s="35">
        <v>402.1</v>
      </c>
      <c r="DB52" s="35">
        <v>419</v>
      </c>
      <c r="DC52" s="35">
        <v>424</v>
      </c>
      <c r="DD52" s="35">
        <v>431</v>
      </c>
      <c r="DE52" s="35">
        <v>434.90000000000003</v>
      </c>
      <c r="DF52" s="35">
        <v>436.8</v>
      </c>
      <c r="DG52" s="35">
        <v>369.9</v>
      </c>
      <c r="DH52" s="35">
        <f>250.2+143.4</f>
        <v>393.6</v>
      </c>
      <c r="DI52" s="35">
        <f>267+145.8</f>
        <v>412.8</v>
      </c>
      <c r="DJ52" s="36">
        <v>420.8</v>
      </c>
      <c r="DK52" s="35">
        <v>419.7</v>
      </c>
      <c r="DL52" s="35">
        <v>414.8</v>
      </c>
      <c r="DM52" s="35">
        <v>410.9</v>
      </c>
      <c r="DN52" s="35">
        <v>409.1</v>
      </c>
      <c r="DO52" s="35">
        <v>411.1</v>
      </c>
      <c r="DP52" s="35">
        <v>409.3</v>
      </c>
      <c r="DQ52" s="35">
        <v>412.5</v>
      </c>
      <c r="DR52" s="35">
        <v>407.6</v>
      </c>
      <c r="DS52" s="39">
        <v>407.8</v>
      </c>
      <c r="DT52" s="88">
        <v>406</v>
      </c>
      <c r="DU52" s="88">
        <v>386.2</v>
      </c>
      <c r="DV52" s="88">
        <v>390.4</v>
      </c>
      <c r="DW52" s="88">
        <v>396</v>
      </c>
    </row>
    <row r="53" spans="1:127">
      <c r="A53" s="20" t="s">
        <v>60</v>
      </c>
      <c r="B53" s="37">
        <f t="shared" ref="B53:BT53" si="292">SUM(B55:B63)</f>
        <v>24871.200000000001</v>
      </c>
      <c r="C53" s="37">
        <f t="shared" si="292"/>
        <v>24827.7</v>
      </c>
      <c r="D53" s="37">
        <f t="shared" si="292"/>
        <v>25080.400000000001</v>
      </c>
      <c r="E53" s="37">
        <f t="shared" ref="E53:F53" si="293">SUM(E55:E63)</f>
        <v>25373.4</v>
      </c>
      <c r="F53" s="37">
        <f t="shared" si="293"/>
        <v>25651.9</v>
      </c>
      <c r="G53" s="37">
        <f t="shared" ref="G53:I53" si="294">SUM(G55:G63)</f>
        <v>25955.200000000001</v>
      </c>
      <c r="H53" s="37">
        <f t="shared" si="294"/>
        <v>26351.3</v>
      </c>
      <c r="I53" s="37">
        <f t="shared" si="294"/>
        <v>26684.299999999996</v>
      </c>
      <c r="J53" s="37">
        <f t="shared" ref="J53" si="295">SUM(J55:J63)</f>
        <v>26984.399999999998</v>
      </c>
      <c r="K53" s="37">
        <f t="shared" ref="K53:L53" si="296">SUM(K55:K63)</f>
        <v>27283.699999999997</v>
      </c>
      <c r="L53" s="37">
        <f t="shared" si="296"/>
        <v>27559.999999999996</v>
      </c>
      <c r="M53" s="37">
        <f t="shared" ref="M53:O53" si="297">SUM(M55:M63)</f>
        <v>25139.899999999998</v>
      </c>
      <c r="N53" s="37">
        <f t="shared" si="297"/>
        <v>26071.300000000003</v>
      </c>
      <c r="O53" s="37">
        <f t="shared" si="297"/>
        <v>27214.500000000004</v>
      </c>
      <c r="P53" s="38">
        <f t="shared" si="292"/>
        <v>967.9</v>
      </c>
      <c r="Q53" s="37">
        <f t="shared" si="292"/>
        <v>923.69999999999993</v>
      </c>
      <c r="R53" s="37">
        <f t="shared" si="292"/>
        <v>946.69999999999993</v>
      </c>
      <c r="S53" s="37">
        <f t="shared" ref="S53:T53" si="298">SUM(S55:S63)</f>
        <v>965.3</v>
      </c>
      <c r="T53" s="37">
        <f t="shared" si="298"/>
        <v>992.8</v>
      </c>
      <c r="U53" s="37">
        <f t="shared" ref="U53:W53" si="299">SUM(U55:U63)</f>
        <v>1026.0999999999999</v>
      </c>
      <c r="V53" s="37">
        <f t="shared" si="299"/>
        <v>1071.6000000000001</v>
      </c>
      <c r="W53" s="37">
        <f t="shared" si="299"/>
        <v>1093.0999999999999</v>
      </c>
      <c r="X53" s="37">
        <f t="shared" ref="X53:Y53" si="300">SUM(X55:X63)</f>
        <v>1124.3</v>
      </c>
      <c r="Y53" s="37">
        <f t="shared" si="300"/>
        <v>1159.2000000000003</v>
      </c>
      <c r="Z53" s="37">
        <f t="shared" ref="Z53:AA53" si="301">SUM(Z55:Z63)</f>
        <v>1181.5</v>
      </c>
      <c r="AA53" s="37">
        <f t="shared" si="301"/>
        <v>1088.8000000000002</v>
      </c>
      <c r="AB53" s="37">
        <f t="shared" ref="AB53:AC53" si="302">SUM(AB55:AB63)</f>
        <v>1142.4000000000001</v>
      </c>
      <c r="AC53" s="37">
        <f t="shared" si="302"/>
        <v>1175.4000000000001</v>
      </c>
      <c r="AD53" s="38">
        <f t="shared" si="292"/>
        <v>1939.1999999999998</v>
      </c>
      <c r="AE53" s="37">
        <f t="shared" si="292"/>
        <v>1879.6999999999998</v>
      </c>
      <c r="AF53" s="37">
        <f t="shared" si="292"/>
        <v>1881.6</v>
      </c>
      <c r="AG53" s="37">
        <f t="shared" ref="AG53:AH53" si="303">SUM(AG55:AG63)</f>
        <v>1876.3</v>
      </c>
      <c r="AH53" s="37">
        <f t="shared" si="303"/>
        <v>1865.5999999999997</v>
      </c>
      <c r="AI53" s="37">
        <f t="shared" ref="AI53:AK53" si="304">SUM(AI55:AI63)</f>
        <v>1860.3000000000002</v>
      </c>
      <c r="AJ53" s="37">
        <f t="shared" si="304"/>
        <v>1857.4</v>
      </c>
      <c r="AK53" s="37">
        <f t="shared" si="304"/>
        <v>1842</v>
      </c>
      <c r="AL53" s="37">
        <f t="shared" ref="AL53:AM53" si="305">SUM(AL55:AL63)</f>
        <v>1845.8000000000002</v>
      </c>
      <c r="AM53" s="37">
        <f t="shared" si="305"/>
        <v>1856.9</v>
      </c>
      <c r="AN53" s="37">
        <f t="shared" ref="AN53:AO53" si="306">SUM(AN55:AN63)</f>
        <v>1866.3999999999999</v>
      </c>
      <c r="AO53" s="37">
        <f t="shared" si="306"/>
        <v>1743</v>
      </c>
      <c r="AP53" s="37">
        <f t="shared" ref="AP53:AQ53" si="307">SUM(AP55:AP63)</f>
        <v>1770.8</v>
      </c>
      <c r="AQ53" s="37">
        <f t="shared" si="307"/>
        <v>1827.6000000000001</v>
      </c>
      <c r="AR53" s="38">
        <f t="shared" si="292"/>
        <v>4572.3</v>
      </c>
      <c r="AS53" s="37">
        <f t="shared" si="292"/>
        <v>4560.3999999999996</v>
      </c>
      <c r="AT53" s="37">
        <f t="shared" si="292"/>
        <v>4613.6999999999989</v>
      </c>
      <c r="AU53" s="37">
        <f t="shared" ref="AU53" si="308">SUM(AU55:AU63)</f>
        <v>4661.2000000000007</v>
      </c>
      <c r="AV53" s="37">
        <f>SUM(AW55:AW63)</f>
        <v>4752.3</v>
      </c>
      <c r="AW53" s="37">
        <f t="shared" ref="AW53:AY53" si="309">SUM(AW55:AW63)</f>
        <v>4752.3</v>
      </c>
      <c r="AX53" s="37">
        <f t="shared" si="309"/>
        <v>4804</v>
      </c>
      <c r="AY53" s="37">
        <f t="shared" si="309"/>
        <v>4831.2</v>
      </c>
      <c r="AZ53" s="37">
        <f t="shared" ref="AZ53:BA53" si="310">SUM(AZ55:AZ63)</f>
        <v>4852.8000000000011</v>
      </c>
      <c r="BA53" s="37">
        <f t="shared" si="310"/>
        <v>4843.8999999999996</v>
      </c>
      <c r="BB53" s="37">
        <f t="shared" ref="BB53:BC53" si="311">SUM(BB55:BB63)</f>
        <v>4822.7</v>
      </c>
      <c r="BC53" s="37">
        <f t="shared" si="311"/>
        <v>4436.7</v>
      </c>
      <c r="BD53" s="37">
        <f t="shared" ref="BD53:BE53" si="312">SUM(BD55:BD63)</f>
        <v>4611.3</v>
      </c>
      <c r="BE53" s="37">
        <f t="shared" si="312"/>
        <v>4786</v>
      </c>
      <c r="BF53" s="38">
        <f t="shared" si="292"/>
        <v>600.4</v>
      </c>
      <c r="BG53" s="37">
        <f t="shared" si="292"/>
        <v>577.9</v>
      </c>
      <c r="BH53" s="37">
        <f t="shared" si="292"/>
        <v>573.4</v>
      </c>
      <c r="BI53" s="37">
        <f t="shared" ref="BI53:BJ53" si="313">SUM(BI55:BI63)</f>
        <v>578.20000000000005</v>
      </c>
      <c r="BJ53" s="37">
        <f t="shared" si="313"/>
        <v>576.1</v>
      </c>
      <c r="BK53" s="37">
        <f t="shared" ref="BK53:BM53" si="314">SUM(BK55:BK63)</f>
        <v>575.79999999999995</v>
      </c>
      <c r="BL53" s="37">
        <f t="shared" si="314"/>
        <v>578.30000000000007</v>
      </c>
      <c r="BM53" s="37">
        <f t="shared" si="314"/>
        <v>578.90000000000009</v>
      </c>
      <c r="BN53" s="37">
        <f t="shared" ref="BN53:BO53" si="315">SUM(BN55:BN63)</f>
        <v>575.90000000000009</v>
      </c>
      <c r="BO53" s="37">
        <f t="shared" si="315"/>
        <v>583.99999999999989</v>
      </c>
      <c r="BP53" s="37">
        <f t="shared" ref="BP53:BQ53" si="316">SUM(BP55:BP63)</f>
        <v>586.5</v>
      </c>
      <c r="BQ53" s="37">
        <f t="shared" si="316"/>
        <v>563.30000000000007</v>
      </c>
      <c r="BR53" s="37">
        <f t="shared" ref="BR53:BS53" si="317">SUM(BR55:BR63)</f>
        <v>589</v>
      </c>
      <c r="BS53" s="37">
        <f t="shared" si="317"/>
        <v>622.20000000000005</v>
      </c>
      <c r="BT53" s="38">
        <f t="shared" si="292"/>
        <v>4907.2999999999993</v>
      </c>
      <c r="BU53" s="37">
        <f t="shared" ref="BU53:DL53" si="318">SUM(BU55:BU63)</f>
        <v>4912.1000000000004</v>
      </c>
      <c r="BV53" s="37">
        <f t="shared" si="318"/>
        <v>5025.6000000000004</v>
      </c>
      <c r="BW53" s="37">
        <f t="shared" ref="BW53:BX53" si="319">SUM(BW55:BW63)</f>
        <v>5119.3999999999996</v>
      </c>
      <c r="BX53" s="37">
        <f t="shared" si="319"/>
        <v>5208.3999999999996</v>
      </c>
      <c r="BY53" s="37">
        <f t="shared" ref="BY53:CA53" si="320">SUM(BY55:BY63)</f>
        <v>5275.9</v>
      </c>
      <c r="BZ53" s="37">
        <f t="shared" si="320"/>
        <v>5413.7999999999993</v>
      </c>
      <c r="CA53" s="37">
        <f t="shared" si="320"/>
        <v>5499.5000000000009</v>
      </c>
      <c r="CB53" s="37">
        <f t="shared" ref="CB53:CC53" si="321">SUM(CB55:CB63)</f>
        <v>5562.6000000000013</v>
      </c>
      <c r="CC53" s="37">
        <f t="shared" si="321"/>
        <v>5628.2999999999993</v>
      </c>
      <c r="CD53" s="37">
        <f t="shared" ref="CD53:CE53" si="322">SUM(CD55:CD63)</f>
        <v>5718.7</v>
      </c>
      <c r="CE53" s="37">
        <f t="shared" si="322"/>
        <v>5405.1</v>
      </c>
      <c r="CF53" s="37">
        <f t="shared" ref="CF53:CG53" si="323">SUM(CF55:CF63)</f>
        <v>5509.4</v>
      </c>
      <c r="CG53" s="37">
        <f t="shared" si="323"/>
        <v>5848.2999999999993</v>
      </c>
      <c r="CH53" s="38">
        <f>SUM(CI55:CI63)</f>
        <v>4806.1000000000004</v>
      </c>
      <c r="CI53" s="37">
        <f t="shared" si="318"/>
        <v>4806.1000000000004</v>
      </c>
      <c r="CJ53" s="37">
        <f t="shared" si="318"/>
        <v>4883.7</v>
      </c>
      <c r="CK53" s="37">
        <f t="shared" ref="CK53:CL53" si="324">SUM(CK55:CK63)</f>
        <v>4967</v>
      </c>
      <c r="CL53" s="37">
        <f t="shared" si="324"/>
        <v>5048.4000000000005</v>
      </c>
      <c r="CM53" s="37">
        <f t="shared" ref="CM53:CO53" si="325">SUM(CM55:CM63)</f>
        <v>5131.1000000000004</v>
      </c>
      <c r="CN53" s="37">
        <f t="shared" si="325"/>
        <v>5241.8</v>
      </c>
      <c r="CO53" s="37">
        <f t="shared" si="325"/>
        <v>5376.2999999999993</v>
      </c>
      <c r="CP53" s="37">
        <f t="shared" ref="CP53:CQ53" si="326">SUM(CP55:CP63)</f>
        <v>5499.2000000000007</v>
      </c>
      <c r="CQ53" s="37">
        <f t="shared" si="326"/>
        <v>5606.0000000000009</v>
      </c>
      <c r="CR53" s="37">
        <f t="shared" ref="CR53:CS53" si="327">SUM(CR55:CR63)</f>
        <v>5734.0999999999995</v>
      </c>
      <c r="CS53" s="37">
        <f t="shared" si="327"/>
        <v>5395.4</v>
      </c>
      <c r="CT53" s="37">
        <f t="shared" ref="CT53:CU53" si="328">SUM(CT55:CT63)</f>
        <v>5525.2999999999993</v>
      </c>
      <c r="CU53" s="37">
        <f t="shared" si="328"/>
        <v>5698.7000000000007</v>
      </c>
      <c r="CV53" s="38">
        <f t="shared" si="318"/>
        <v>3206.9</v>
      </c>
      <c r="CW53" s="37">
        <f t="shared" si="318"/>
        <v>3244.4</v>
      </c>
      <c r="CX53" s="37">
        <f t="shared" si="318"/>
        <v>3316.7999999999997</v>
      </c>
      <c r="CY53" s="37">
        <f t="shared" ref="CY53:CZ53" si="329">SUM(CY55:CY63)</f>
        <v>3413</v>
      </c>
      <c r="CZ53" s="37">
        <f t="shared" si="329"/>
        <v>3496</v>
      </c>
      <c r="DA53" s="37">
        <f t="shared" ref="DA53:DC53" si="330">SUM(DA55:DA63)</f>
        <v>3569.4</v>
      </c>
      <c r="DB53" s="37">
        <f t="shared" si="330"/>
        <v>3631.9</v>
      </c>
      <c r="DC53" s="37">
        <f t="shared" si="330"/>
        <v>3700.2000000000003</v>
      </c>
      <c r="DD53" s="37">
        <f t="shared" ref="DD53:DE53" si="331">SUM(DD55:DD63)</f>
        <v>3765.8</v>
      </c>
      <c r="DE53" s="37">
        <f t="shared" si="331"/>
        <v>3814.6000000000004</v>
      </c>
      <c r="DF53" s="37">
        <f t="shared" ref="DF53:DG53" si="332">SUM(DF55:DF63)</f>
        <v>3841.8</v>
      </c>
      <c r="DG53" s="37">
        <f t="shared" si="332"/>
        <v>2840.1</v>
      </c>
      <c r="DH53" s="37">
        <f t="shared" ref="DH53:DI53" si="333">SUM(DH55:DH63)</f>
        <v>3185.8999999999996</v>
      </c>
      <c r="DI53" s="37">
        <f t="shared" si="333"/>
        <v>3578.1</v>
      </c>
      <c r="DJ53" s="38">
        <f t="shared" si="318"/>
        <v>3949.2</v>
      </c>
      <c r="DK53" s="37">
        <f t="shared" si="318"/>
        <v>3923.7</v>
      </c>
      <c r="DL53" s="37">
        <f t="shared" si="318"/>
        <v>3839.2999999999997</v>
      </c>
      <c r="DM53" s="37">
        <f t="shared" ref="DM53:DN53" si="334">SUM(DM55:DM63)</f>
        <v>3793.4</v>
      </c>
      <c r="DN53" s="37">
        <f t="shared" si="334"/>
        <v>3769.3999999999996</v>
      </c>
      <c r="DO53" s="37">
        <f t="shared" ref="DO53:DQ53" si="335">SUM(DO55:DO63)</f>
        <v>3765.0000000000005</v>
      </c>
      <c r="DP53" s="37">
        <f>SUM(DQ55:DQ63)</f>
        <v>3763.7000000000003</v>
      </c>
      <c r="DQ53" s="37">
        <f t="shared" si="335"/>
        <v>3763.7000000000003</v>
      </c>
      <c r="DR53" s="37">
        <f t="shared" ref="DR53:DS53" si="336">SUM(DR55:DR63)</f>
        <v>3758.4999999999995</v>
      </c>
      <c r="DS53" s="86">
        <f t="shared" si="336"/>
        <v>3791</v>
      </c>
      <c r="DT53" s="86">
        <f t="shared" ref="DT53:DU53" si="337">SUM(DT55:DT63)</f>
        <v>3808.3</v>
      </c>
      <c r="DU53" s="37">
        <f t="shared" si="337"/>
        <v>3667.9</v>
      </c>
      <c r="DV53" s="37">
        <f t="shared" ref="DV53:DW53" si="338">SUM(DV55:DV63)</f>
        <v>3647.3</v>
      </c>
      <c r="DW53" s="37">
        <f t="shared" si="338"/>
        <v>3686.8</v>
      </c>
    </row>
    <row r="54" spans="1:127">
      <c r="A54" s="19" t="s">
        <v>91</v>
      </c>
      <c r="B54" s="37">
        <f t="shared" ref="B54:AE54" si="339">(B53/B5)*100</f>
        <v>18.951940441809604</v>
      </c>
      <c r="C54" s="37">
        <f t="shared" si="339"/>
        <v>19.057915947035116</v>
      </c>
      <c r="D54" s="37">
        <f t="shared" si="339"/>
        <v>19.023073072313831</v>
      </c>
      <c r="E54" s="37">
        <f t="shared" ref="E54:F54" si="340">(E53/E5)*100</f>
        <v>18.920688420927043</v>
      </c>
      <c r="F54" s="37">
        <f t="shared" si="340"/>
        <v>18.807343485369486</v>
      </c>
      <c r="G54" s="37">
        <f t="shared" ref="G54:I54" si="341">(G53/G5)*100</f>
        <v>18.667165316954591</v>
      </c>
      <c r="H54" s="37">
        <f t="shared" si="341"/>
        <v>18.53395555586815</v>
      </c>
      <c r="I54" s="37">
        <f t="shared" si="341"/>
        <v>18.454740610208496</v>
      </c>
      <c r="J54" s="37">
        <f t="shared" ref="J54" si="342">(J53/J5)*100</f>
        <v>18.410865142275448</v>
      </c>
      <c r="K54" s="37">
        <f t="shared" ref="K54:L54" si="343">(K53/K5)*100</f>
        <v>18.33132329771259</v>
      </c>
      <c r="L54" s="37">
        <f t="shared" si="343"/>
        <v>18.28148714193226</v>
      </c>
      <c r="M54" s="37">
        <f t="shared" ref="M54:O54" si="344">(M53/M5)*100</f>
        <v>17.77595979251398</v>
      </c>
      <c r="N54" s="37">
        <f t="shared" si="344"/>
        <v>17.810004665756288</v>
      </c>
      <c r="O54" s="37">
        <f t="shared" si="344"/>
        <v>17.836123548965531</v>
      </c>
      <c r="P54" s="38">
        <f t="shared" si="339"/>
        <v>15.543600449654729</v>
      </c>
      <c r="Q54" s="37">
        <f t="shared" si="339"/>
        <v>15.142622950819669</v>
      </c>
      <c r="R54" s="37">
        <f t="shared" si="339"/>
        <v>14.93217665615142</v>
      </c>
      <c r="S54" s="37">
        <f t="shared" ref="S54:T54" si="345">(S53/S5)*100</f>
        <v>14.892008639308854</v>
      </c>
      <c r="T54" s="37">
        <f t="shared" si="345"/>
        <v>14.798032493665225</v>
      </c>
      <c r="U54" s="37">
        <f t="shared" ref="U54:W54" si="346">(U53/U5)*100</f>
        <v>14.478622830534782</v>
      </c>
      <c r="V54" s="37">
        <f t="shared" si="346"/>
        <v>14.755046402114946</v>
      </c>
      <c r="W54" s="37">
        <f t="shared" si="346"/>
        <v>14.827525399818231</v>
      </c>
      <c r="X54" s="37">
        <f t="shared" ref="X54:Y54" si="347">(X53/X5)*100</f>
        <v>14.76815972678313</v>
      </c>
      <c r="Y54" s="37">
        <f t="shared" si="347"/>
        <v>14.564277816866023</v>
      </c>
      <c r="Z54" s="37">
        <f t="shared" ref="Z54:AA54" si="348">(Z53/Z5)*100</f>
        <v>14.42612942612943</v>
      </c>
      <c r="AA54" s="37">
        <f t="shared" si="348"/>
        <v>13.946279668506872</v>
      </c>
      <c r="AB54" s="37">
        <f t="shared" ref="AB54:AC54" si="349">(AB53/AB5)*100</f>
        <v>14.261994232281744</v>
      </c>
      <c r="AC54" s="37">
        <f t="shared" si="349"/>
        <v>14.087275429365873</v>
      </c>
      <c r="AD54" s="38">
        <f t="shared" si="339"/>
        <v>16.871411171045761</v>
      </c>
      <c r="AE54" s="37">
        <f t="shared" si="339"/>
        <v>16.198724577731817</v>
      </c>
      <c r="AF54" s="37">
        <f t="shared" ref="AF54:BT54" si="350">(AF53/AF5)*100</f>
        <v>15.945762711864406</v>
      </c>
      <c r="AG54" s="37">
        <f t="shared" ref="AG54:AH54" si="351">(AG53/AG5)*100</f>
        <v>15.69075096169928</v>
      </c>
      <c r="AH54" s="37">
        <f t="shared" si="351"/>
        <v>15.438596491228068</v>
      </c>
      <c r="AI54" s="37">
        <f t="shared" ref="AI54:AK54" si="352">(AI53/AI5)*100</f>
        <v>15.121931393269389</v>
      </c>
      <c r="AJ54" s="37">
        <f t="shared" si="352"/>
        <v>15.060407038028053</v>
      </c>
      <c r="AK54" s="37">
        <f t="shared" si="352"/>
        <v>14.939899751812744</v>
      </c>
      <c r="AL54" s="37">
        <f t="shared" ref="AL54:AM54" si="353">(AL53/AL5)*100</f>
        <v>14.846332655014601</v>
      </c>
      <c r="AM54" s="37">
        <f t="shared" si="353"/>
        <v>14.661318721230455</v>
      </c>
      <c r="AN54" s="37">
        <f t="shared" ref="AN54:AO54" si="354">(AN53/AN5)*100</f>
        <v>14.589456569320241</v>
      </c>
      <c r="AO54" s="37">
        <f t="shared" si="354"/>
        <v>14.408292828092447</v>
      </c>
      <c r="AP54" s="37">
        <f t="shared" ref="AP54:AQ54" si="355">(AP53/AP5)*100</f>
        <v>14.357993059384425</v>
      </c>
      <c r="AQ54" s="37">
        <f t="shared" si="355"/>
        <v>14.293088076580169</v>
      </c>
      <c r="AR54" s="38">
        <f t="shared" si="350"/>
        <v>18.183734340823225</v>
      </c>
      <c r="AS54" s="37">
        <f t="shared" si="350"/>
        <v>17.957158607654748</v>
      </c>
      <c r="AT54" s="37">
        <f t="shared" si="350"/>
        <v>17.803889789303078</v>
      </c>
      <c r="AU54" s="37">
        <f t="shared" ref="AU54" si="356">(AU53/AU5)*100</f>
        <v>17.704345183834704</v>
      </c>
      <c r="AV54" s="37">
        <f>(AW53/AW5)*100</f>
        <v>17.342894679220496</v>
      </c>
      <c r="AW54" s="37">
        <f t="shared" ref="AW54:AY54" si="357">(AW53/AW5)*100</f>
        <v>17.342894679220496</v>
      </c>
      <c r="AX54" s="37">
        <f t="shared" si="357"/>
        <v>17.836324618137805</v>
      </c>
      <c r="AY54" s="37">
        <f t="shared" si="357"/>
        <v>17.706821480406386</v>
      </c>
      <c r="AZ54" s="37">
        <f t="shared" ref="AZ54:BA54" si="358">(AZ53/AZ5)*100</f>
        <v>17.639874374781904</v>
      </c>
      <c r="BA54" s="37">
        <f t="shared" si="358"/>
        <v>17.516218385899951</v>
      </c>
      <c r="BB54" s="37">
        <f t="shared" ref="BB54:BC54" si="359">(BB53/BB5)*100</f>
        <v>17.395083770672152</v>
      </c>
      <c r="BC54" s="37">
        <f t="shared" si="359"/>
        <v>16.658093632550994</v>
      </c>
      <c r="BD54" s="37">
        <f t="shared" ref="BD54:BE54" si="360">(BD53/BD5)*100</f>
        <v>16.659862495529119</v>
      </c>
      <c r="BE54" s="37">
        <f t="shared" si="360"/>
        <v>16.699523718138838</v>
      </c>
      <c r="BF54" s="38">
        <f t="shared" si="350"/>
        <v>21.793103448275861</v>
      </c>
      <c r="BG54" s="37">
        <f t="shared" si="350"/>
        <v>21.41957005189029</v>
      </c>
      <c r="BH54" s="37">
        <f t="shared" si="350"/>
        <v>21.268545994065281</v>
      </c>
      <c r="BI54" s="37">
        <f t="shared" ref="BI54:BJ54" si="361">(BI53/BI5)*100</f>
        <v>21.566579634464752</v>
      </c>
      <c r="BJ54" s="37">
        <f t="shared" si="361"/>
        <v>21.087115666178626</v>
      </c>
      <c r="BK54" s="37">
        <f t="shared" ref="BK54:BM54" si="362">(BK53/BK5)*100</f>
        <v>20.749549549549549</v>
      </c>
      <c r="BL54" s="37">
        <f t="shared" si="362"/>
        <v>20.876502653333819</v>
      </c>
      <c r="BM54" s="37">
        <f t="shared" si="362"/>
        <v>20.589699815051933</v>
      </c>
      <c r="BN54" s="37">
        <f t="shared" ref="BN54:BO54" si="363">(BN53/BN5)*100</f>
        <v>20.445911882699612</v>
      </c>
      <c r="BO54" s="37">
        <f t="shared" si="363"/>
        <v>20.556865781970494</v>
      </c>
      <c r="BP54" s="37">
        <f t="shared" ref="BP54:BQ54" si="364">(BP53/BP5)*100</f>
        <v>20.455496651785712</v>
      </c>
      <c r="BQ54" s="37">
        <f t="shared" si="364"/>
        <v>20.772180839294933</v>
      </c>
      <c r="BR54" s="37">
        <f t="shared" ref="BR54:BS54" si="365">(BR53/BR5)*100</f>
        <v>20.630472854640974</v>
      </c>
      <c r="BS54" s="37">
        <f t="shared" si="365"/>
        <v>20.379954143465444</v>
      </c>
      <c r="BT54" s="38">
        <f t="shared" si="350"/>
        <v>20.173895169578621</v>
      </c>
      <c r="BU54" s="37">
        <f t="shared" ref="BU54:CX54" si="366">(BU53/BU5)*100</f>
        <v>19.790097095201645</v>
      </c>
      <c r="BV54" s="37">
        <f t="shared" si="366"/>
        <v>19.753940489760623</v>
      </c>
      <c r="BW54" s="37">
        <f t="shared" ref="BW54:BX54" si="367">(BW53/BW5)*100</f>
        <v>19.629601226993863</v>
      </c>
      <c r="BX54" s="37">
        <f t="shared" si="367"/>
        <v>19.490326684878191</v>
      </c>
      <c r="BY54" s="37">
        <f t="shared" ref="BY54:CA54" si="368">(BY53/BY5)*100</f>
        <v>19.130828921604177</v>
      </c>
      <c r="BZ54" s="37">
        <f t="shared" si="368"/>
        <v>19.514111667808095</v>
      </c>
      <c r="CA54" s="37">
        <f t="shared" si="368"/>
        <v>19.426409602464197</v>
      </c>
      <c r="CB54" s="37">
        <f t="shared" ref="CB54:CC54" si="369">(CB53/CB5)*100</f>
        <v>19.3635974393517</v>
      </c>
      <c r="CC54" s="37">
        <f t="shared" si="369"/>
        <v>19.173420270007867</v>
      </c>
      <c r="CD54" s="37">
        <f t="shared" ref="CD54:CE54" si="370">(CD53/CD5)*100</f>
        <v>19.151451420610574</v>
      </c>
      <c r="CE54" s="37">
        <f t="shared" si="370"/>
        <v>18.75683197590287</v>
      </c>
      <c r="CF54" s="37">
        <f t="shared" ref="CF54:CG54" si="371">(CF53/CF5)*100</f>
        <v>18.350658996965656</v>
      </c>
      <c r="CG54" s="37">
        <f t="shared" si="371"/>
        <v>18.464856058549024</v>
      </c>
      <c r="CH54" s="38">
        <f>(CI53/CI5)*100</f>
        <v>23.794930191108033</v>
      </c>
      <c r="CI54" s="37">
        <f t="shared" si="366"/>
        <v>23.794930191108033</v>
      </c>
      <c r="CJ54" s="37">
        <f t="shared" si="366"/>
        <v>23.74416569428238</v>
      </c>
      <c r="CK54" s="37">
        <f t="shared" ref="CK54:CL54" si="372">(CK53/CK5)*100</f>
        <v>23.555913876505738</v>
      </c>
      <c r="CL54" s="37">
        <f t="shared" si="372"/>
        <v>23.581838565022423</v>
      </c>
      <c r="CM54" s="37">
        <f t="shared" ref="CM54:CO54" si="373">(CM53/CM5)*100</f>
        <v>23.437171698716487</v>
      </c>
      <c r="CN54" s="37">
        <f t="shared" si="373"/>
        <v>23.761559383499549</v>
      </c>
      <c r="CO54" s="37">
        <f t="shared" si="373"/>
        <v>23.721447386418284</v>
      </c>
      <c r="CP54" s="37">
        <f t="shared" ref="CP54:CQ54" si="374">(CP53/CP5)*100</f>
        <v>23.773230906237718</v>
      </c>
      <c r="CQ54" s="37">
        <f t="shared" si="374"/>
        <v>23.737842083645621</v>
      </c>
      <c r="CR54" s="37">
        <f t="shared" ref="CR54:CS54" si="375">(CR53/CR5)*100</f>
        <v>23.792847332583676</v>
      </c>
      <c r="CS54" s="37">
        <f t="shared" si="375"/>
        <v>23.291775310390086</v>
      </c>
      <c r="CT54" s="37">
        <f t="shared" ref="CT54:CU54" si="376">(CT53/CT5)*100</f>
        <v>23.628246302006051</v>
      </c>
      <c r="CU54" s="37">
        <f t="shared" si="376"/>
        <v>23.407130534790117</v>
      </c>
      <c r="CV54" s="38">
        <f t="shared" si="366"/>
        <v>17.885666480758506</v>
      </c>
      <c r="CW54" s="37">
        <f t="shared" si="366"/>
        <v>17.893227443194355</v>
      </c>
      <c r="CX54" s="37">
        <f t="shared" si="366"/>
        <v>17.855297157622736</v>
      </c>
      <c r="CY54" s="37">
        <f t="shared" ref="CY54:CZ54" si="377">(CY53/CY5)*100</f>
        <v>17.889715903134501</v>
      </c>
      <c r="CZ54" s="37">
        <f t="shared" si="377"/>
        <v>17.809475292919004</v>
      </c>
      <c r="DA54" s="37">
        <f t="shared" ref="DA54:DC54" si="378">(DA53/DA5)*100</f>
        <v>17.682552263945308</v>
      </c>
      <c r="DB54" s="37">
        <f t="shared" si="378"/>
        <v>17.523231465488124</v>
      </c>
      <c r="DC54" s="37">
        <f t="shared" si="378"/>
        <v>17.403533196621073</v>
      </c>
      <c r="DD54" s="37">
        <f t="shared" ref="DD54:DE54" si="379">(DD53/DD5)*100</f>
        <v>17.384680725338843</v>
      </c>
      <c r="DE54" s="37">
        <f t="shared" si="379"/>
        <v>17.36205617430328</v>
      </c>
      <c r="DF54" s="37">
        <f t="shared" ref="DF54:DG54" si="380">(DF53/DF5)*100</f>
        <v>17.229888820619536</v>
      </c>
      <c r="DG54" s="37">
        <f t="shared" si="380"/>
        <v>15.800278164116829</v>
      </c>
      <c r="DH54" s="37">
        <f t="shared" ref="DH54:DI54" si="381">(DH53/DH5)*100</f>
        <v>16.268619370783988</v>
      </c>
      <c r="DI54" s="37">
        <f t="shared" si="381"/>
        <v>16.616049038729447</v>
      </c>
      <c r="DJ54" s="38">
        <f t="shared" ref="DJ54:DL54" si="382">(DJ53/DJ5)*100</f>
        <v>17.290718038528897</v>
      </c>
      <c r="DK54" s="37">
        <f t="shared" si="382"/>
        <v>17.356128632724378</v>
      </c>
      <c r="DL54" s="37">
        <f t="shared" si="382"/>
        <v>17.224315836698072</v>
      </c>
      <c r="DM54" s="37">
        <f t="shared" ref="DM54:DN54" si="383">(DM53/DM5)*100</f>
        <v>17.052820858619917</v>
      </c>
      <c r="DN54" s="37">
        <f t="shared" si="383"/>
        <v>16.995355967356506</v>
      </c>
      <c r="DO54" s="37">
        <f t="shared" ref="DO54:DQ54" si="384">(DO53/DO5)*100</f>
        <v>16.912986837967747</v>
      </c>
      <c r="DP54" s="37">
        <f>(DQ53/DQ5)*100</f>
        <v>16.680627390496959</v>
      </c>
      <c r="DQ54" s="37">
        <f t="shared" si="384"/>
        <v>16.680627390496959</v>
      </c>
      <c r="DR54" s="37">
        <f t="shared" ref="DR54:DS54" si="385">(DR53/DR5)*100</f>
        <v>16.57413491262033</v>
      </c>
      <c r="DS54" s="37">
        <f t="shared" si="385"/>
        <v>16.643106127788847</v>
      </c>
      <c r="DT54" s="37">
        <f t="shared" ref="DT54:DU54" si="386">(DT53/DT5)*100</f>
        <v>16.613155116605739</v>
      </c>
      <c r="DU54" s="37">
        <f t="shared" si="386"/>
        <v>16.504823787753338</v>
      </c>
      <c r="DV54" s="37">
        <f t="shared" ref="DV54:DW54" si="387">(DV53/DV5)*100</f>
        <v>16.484599218096761</v>
      </c>
      <c r="DW54" s="37">
        <f t="shared" si="387"/>
        <v>16.542304741307753</v>
      </c>
    </row>
    <row r="55" spans="1:127" ht="14.45">
      <c r="A55" s="20" t="s">
        <v>61</v>
      </c>
      <c r="B55" s="39">
        <v>1626.6</v>
      </c>
      <c r="C55" s="39">
        <v>1608</v>
      </c>
      <c r="D55" s="39">
        <v>1625.1</v>
      </c>
      <c r="E55" s="39">
        <v>1640.4</v>
      </c>
      <c r="F55" s="39">
        <v>1653.6</v>
      </c>
      <c r="G55" s="39">
        <v>1666.1</v>
      </c>
      <c r="H55" s="39">
        <v>1674.1</v>
      </c>
      <c r="I55" s="39">
        <v>1679.1</v>
      </c>
      <c r="J55" s="39">
        <v>1680.7</v>
      </c>
      <c r="K55" s="39">
        <v>1689</v>
      </c>
      <c r="L55" s="88">
        <v>1686.7</v>
      </c>
      <c r="M55" s="88">
        <v>1564.7</v>
      </c>
      <c r="N55" s="88">
        <v>1616.3</v>
      </c>
      <c r="O55" s="88">
        <v>1665.6</v>
      </c>
      <c r="P55" s="40">
        <v>55.2</v>
      </c>
      <c r="Q55" s="39">
        <v>50.6</v>
      </c>
      <c r="R55" s="39">
        <v>52.1</v>
      </c>
      <c r="S55" s="39">
        <v>52.2</v>
      </c>
      <c r="T55" s="39">
        <v>54.300000000000004</v>
      </c>
      <c r="U55" s="39">
        <v>56.1</v>
      </c>
      <c r="V55" s="39">
        <v>58.5</v>
      </c>
      <c r="W55" s="39">
        <v>59.6</v>
      </c>
      <c r="X55" s="39">
        <v>58.800000000000004</v>
      </c>
      <c r="Y55" s="39">
        <v>59.1</v>
      </c>
      <c r="Z55" s="39">
        <v>60.3</v>
      </c>
      <c r="AA55" s="39">
        <v>56.7</v>
      </c>
      <c r="AB55" s="39">
        <f>0.5+59.4</f>
        <v>59.9</v>
      </c>
      <c r="AC55" s="39">
        <f>0.5+60.8</f>
        <v>61.3</v>
      </c>
      <c r="AD55" s="40">
        <v>170.5</v>
      </c>
      <c r="AE55" s="39">
        <v>164.8</v>
      </c>
      <c r="AF55" s="39">
        <v>165.5</v>
      </c>
      <c r="AG55" s="39">
        <v>164.2</v>
      </c>
      <c r="AH55" s="39">
        <v>162.6</v>
      </c>
      <c r="AI55" s="39">
        <v>159.69999999999999</v>
      </c>
      <c r="AJ55" s="39">
        <v>156.9</v>
      </c>
      <c r="AK55" s="39">
        <v>156.30000000000001</v>
      </c>
      <c r="AL55" s="39">
        <v>159.4</v>
      </c>
      <c r="AM55" s="39">
        <v>160.30000000000001</v>
      </c>
      <c r="AN55" s="39">
        <v>162</v>
      </c>
      <c r="AO55" s="39">
        <v>153.6</v>
      </c>
      <c r="AP55" s="109">
        <v>153</v>
      </c>
      <c r="AQ55" s="109">
        <v>157.19999999999999</v>
      </c>
      <c r="AR55" s="40">
        <v>293.3</v>
      </c>
      <c r="AS55" s="39">
        <v>289.8</v>
      </c>
      <c r="AT55" s="39">
        <v>292.89999999999998</v>
      </c>
      <c r="AU55" s="39">
        <v>295.8</v>
      </c>
      <c r="AV55" s="39">
        <v>298.39999999999998</v>
      </c>
      <c r="AW55" s="39">
        <v>301.3</v>
      </c>
      <c r="AX55" s="39">
        <v>297.10000000000002</v>
      </c>
      <c r="AY55" s="39">
        <v>298.39999999999998</v>
      </c>
      <c r="AZ55" s="39">
        <v>297.7</v>
      </c>
      <c r="BA55" s="39">
        <v>296.5</v>
      </c>
      <c r="BB55" s="39">
        <v>291.7</v>
      </c>
      <c r="BC55" s="39">
        <v>276.89999999999998</v>
      </c>
      <c r="BD55" s="109">
        <v>290.3</v>
      </c>
      <c r="BE55" s="109">
        <v>297</v>
      </c>
      <c r="BF55" s="40">
        <v>34.299999999999997</v>
      </c>
      <c r="BG55" s="39">
        <v>31.7</v>
      </c>
      <c r="BH55" s="39">
        <v>31.3</v>
      </c>
      <c r="BI55" s="39">
        <v>31.3</v>
      </c>
      <c r="BJ55" s="39">
        <v>32.1</v>
      </c>
      <c r="BK55" s="39">
        <v>31.8</v>
      </c>
      <c r="BL55" s="39">
        <v>32.4</v>
      </c>
      <c r="BM55" s="39">
        <v>32.299999999999997</v>
      </c>
      <c r="BN55" s="39">
        <v>31.4</v>
      </c>
      <c r="BO55" s="39">
        <v>31.9</v>
      </c>
      <c r="BP55" s="88">
        <v>31.5</v>
      </c>
      <c r="BQ55" s="39">
        <v>29.3</v>
      </c>
      <c r="BR55" s="109">
        <v>30.1</v>
      </c>
      <c r="BS55" s="109">
        <v>31.2</v>
      </c>
      <c r="BT55" s="40">
        <v>327.7</v>
      </c>
      <c r="BU55" s="39">
        <v>325.89999999999998</v>
      </c>
      <c r="BV55" s="39">
        <v>332.1</v>
      </c>
      <c r="BW55" s="39">
        <v>336.5</v>
      </c>
      <c r="BX55" s="39">
        <v>337.29999999999995</v>
      </c>
      <c r="BY55" s="39">
        <v>340.4</v>
      </c>
      <c r="BZ55" s="39">
        <v>348.6</v>
      </c>
      <c r="CA55" s="39">
        <v>347.7</v>
      </c>
      <c r="CB55" s="39">
        <v>346</v>
      </c>
      <c r="CC55" s="39">
        <v>346.6</v>
      </c>
      <c r="CD55" s="39">
        <v>343.3</v>
      </c>
      <c r="CE55">
        <v>325.39999999999998</v>
      </c>
      <c r="CF55">
        <f>118+214.1</f>
        <v>332.1</v>
      </c>
      <c r="CG55">
        <f>118.2+221</f>
        <v>339.2</v>
      </c>
      <c r="CH55" s="40">
        <v>302.39999999999998</v>
      </c>
      <c r="CI55" s="39">
        <v>306.89999999999998</v>
      </c>
      <c r="CJ55" s="39">
        <v>313.3</v>
      </c>
      <c r="CK55" s="39">
        <v>317.60000000000002</v>
      </c>
      <c r="CL55" s="39">
        <v>321.2</v>
      </c>
      <c r="CM55" s="39">
        <v>325</v>
      </c>
      <c r="CN55" s="39">
        <v>326.60000000000002</v>
      </c>
      <c r="CO55" s="39">
        <v>329.5</v>
      </c>
      <c r="CP55" s="39">
        <v>334.3</v>
      </c>
      <c r="CQ55" s="39">
        <v>334.9</v>
      </c>
      <c r="CR55" s="39">
        <v>339.2</v>
      </c>
      <c r="CS55" s="39">
        <v>325.8</v>
      </c>
      <c r="CT55" s="39">
        <v>334</v>
      </c>
      <c r="CU55" s="109">
        <v>342.3</v>
      </c>
      <c r="CV55" s="40">
        <v>195</v>
      </c>
      <c r="CW55" s="39">
        <v>194.1</v>
      </c>
      <c r="CX55" s="39">
        <v>197.70000000000002</v>
      </c>
      <c r="CY55" s="39">
        <v>204.3</v>
      </c>
      <c r="CZ55" s="39">
        <v>209.5</v>
      </c>
      <c r="DA55" s="39">
        <v>214</v>
      </c>
      <c r="DB55" s="39">
        <v>215</v>
      </c>
      <c r="DC55" s="39">
        <v>219</v>
      </c>
      <c r="DD55" s="39">
        <v>220.6</v>
      </c>
      <c r="DE55" s="39">
        <v>223.1</v>
      </c>
      <c r="DF55" s="39">
        <v>222.3</v>
      </c>
      <c r="DG55" s="39">
        <v>173.2</v>
      </c>
      <c r="DH55" s="39">
        <f>134.6+58.3</f>
        <v>192.89999999999998</v>
      </c>
      <c r="DI55" s="39">
        <f>149.3+61.1</f>
        <v>210.4</v>
      </c>
      <c r="DJ55" s="40">
        <v>248.2</v>
      </c>
      <c r="DK55" s="39">
        <v>244.2</v>
      </c>
      <c r="DL55" s="39">
        <v>240.3</v>
      </c>
      <c r="DM55" s="39">
        <v>238.5</v>
      </c>
      <c r="DN55" s="39">
        <v>238.2</v>
      </c>
      <c r="DO55" s="39">
        <v>237.9</v>
      </c>
      <c r="DP55" s="39">
        <v>238.9</v>
      </c>
      <c r="DQ55" s="39">
        <v>236.3</v>
      </c>
      <c r="DR55" s="39">
        <v>232.4</v>
      </c>
      <c r="DS55" s="39">
        <v>236.7</v>
      </c>
      <c r="DT55" s="88">
        <v>236.4</v>
      </c>
      <c r="DU55" s="88">
        <v>223.8</v>
      </c>
      <c r="DV55" s="88">
        <v>224.2</v>
      </c>
      <c r="DW55" s="88">
        <v>227.2</v>
      </c>
    </row>
    <row r="56" spans="1:127" ht="14.45">
      <c r="A56" s="20" t="s">
        <v>62</v>
      </c>
      <c r="B56" s="39">
        <v>596.29999999999995</v>
      </c>
      <c r="C56" s="39">
        <v>593</v>
      </c>
      <c r="D56" s="39">
        <v>594.70000000000005</v>
      </c>
      <c r="E56" s="39">
        <v>598.1</v>
      </c>
      <c r="F56" s="39">
        <v>601.70000000000005</v>
      </c>
      <c r="G56" s="39">
        <v>604.4</v>
      </c>
      <c r="H56" s="39">
        <v>610.6</v>
      </c>
      <c r="I56" s="39">
        <v>617.29999999999995</v>
      </c>
      <c r="J56" s="39">
        <v>622.70000000000005</v>
      </c>
      <c r="K56" s="39">
        <v>628.5</v>
      </c>
      <c r="L56" s="88">
        <v>635.5</v>
      </c>
      <c r="M56" s="88">
        <v>596.1</v>
      </c>
      <c r="N56" s="88">
        <v>623.5</v>
      </c>
      <c r="O56" s="88">
        <v>638.70000000000005</v>
      </c>
      <c r="P56" s="40">
        <v>27.599999999999998</v>
      </c>
      <c r="Q56" s="39">
        <v>26.9</v>
      </c>
      <c r="R56" s="39">
        <v>27.8</v>
      </c>
      <c r="S56" s="39">
        <v>28.1</v>
      </c>
      <c r="T56" s="39">
        <v>28</v>
      </c>
      <c r="U56" s="39">
        <v>28.3</v>
      </c>
      <c r="V56" s="39">
        <v>28.9</v>
      </c>
      <c r="W56" s="39">
        <v>29.7</v>
      </c>
      <c r="X56" s="39">
        <v>30.2</v>
      </c>
      <c r="Y56" s="39">
        <v>31.099999999999998</v>
      </c>
      <c r="Z56" s="39">
        <v>32</v>
      </c>
      <c r="AA56" s="39">
        <v>32.1</v>
      </c>
      <c r="AB56" s="39">
        <f>2.1+32</f>
        <v>34.1</v>
      </c>
      <c r="AC56" s="39">
        <f>2.1+32.6</f>
        <v>34.700000000000003</v>
      </c>
      <c r="AD56" s="40">
        <v>52.3</v>
      </c>
      <c r="AE56" s="39">
        <v>50.8</v>
      </c>
      <c r="AF56" s="39">
        <v>50.7</v>
      </c>
      <c r="AG56" s="39">
        <v>50.8</v>
      </c>
      <c r="AH56" s="39">
        <v>50.4</v>
      </c>
      <c r="AI56" s="39">
        <v>50.2</v>
      </c>
      <c r="AJ56" s="39">
        <v>50.7</v>
      </c>
      <c r="AK56" s="39">
        <v>50.7</v>
      </c>
      <c r="AL56" s="39">
        <v>51.1</v>
      </c>
      <c r="AM56" s="39">
        <v>52</v>
      </c>
      <c r="AN56" s="39">
        <v>53.3</v>
      </c>
      <c r="AO56" s="39">
        <v>50.7</v>
      </c>
      <c r="AP56" s="109">
        <v>53.9</v>
      </c>
      <c r="AQ56" s="109">
        <v>54.5</v>
      </c>
      <c r="AR56" s="40">
        <v>118.8</v>
      </c>
      <c r="AS56" s="39">
        <v>116.8</v>
      </c>
      <c r="AT56" s="39">
        <v>117</v>
      </c>
      <c r="AU56" s="39">
        <v>117.4</v>
      </c>
      <c r="AV56" s="39">
        <v>118</v>
      </c>
      <c r="AW56" s="39">
        <v>119</v>
      </c>
      <c r="AX56" s="39">
        <v>119.7</v>
      </c>
      <c r="AY56" s="39">
        <v>120.5</v>
      </c>
      <c r="AZ56" s="39">
        <v>120.1</v>
      </c>
      <c r="BA56" s="39">
        <v>119.1</v>
      </c>
      <c r="BB56" s="39">
        <v>118.5</v>
      </c>
      <c r="BC56" s="39">
        <v>111.7</v>
      </c>
      <c r="BD56" s="109">
        <v>117</v>
      </c>
      <c r="BE56" s="109">
        <v>119.2</v>
      </c>
      <c r="BF56" s="40">
        <v>9</v>
      </c>
      <c r="BG56" s="39">
        <v>8.6999999999999993</v>
      </c>
      <c r="BH56" s="39">
        <v>8.1999999999999993</v>
      </c>
      <c r="BI56" s="39">
        <v>7.9</v>
      </c>
      <c r="BJ56" s="39">
        <v>7.6</v>
      </c>
      <c r="BK56" s="39">
        <v>7.5</v>
      </c>
      <c r="BL56" s="39">
        <v>7.7</v>
      </c>
      <c r="BM56" s="39">
        <v>7.7</v>
      </c>
      <c r="BN56" s="39">
        <v>7.4</v>
      </c>
      <c r="BO56" s="39">
        <v>7.3</v>
      </c>
      <c r="BP56" s="88">
        <v>7.2</v>
      </c>
      <c r="BQ56" s="39">
        <v>6.4</v>
      </c>
      <c r="BR56" s="109">
        <v>7.5</v>
      </c>
      <c r="BS56" s="109">
        <v>7.9</v>
      </c>
      <c r="BT56" s="40">
        <v>87.4</v>
      </c>
      <c r="BU56" s="39">
        <v>87.6</v>
      </c>
      <c r="BV56" s="39">
        <v>89.1</v>
      </c>
      <c r="BW56" s="39">
        <v>89.7</v>
      </c>
      <c r="BX56" s="39">
        <v>91.9</v>
      </c>
      <c r="BY56" s="39">
        <v>93.699999999999989</v>
      </c>
      <c r="BZ56" s="39">
        <v>95.4</v>
      </c>
      <c r="CA56" s="39">
        <v>96.4</v>
      </c>
      <c r="CB56" s="39">
        <v>98</v>
      </c>
      <c r="CC56" s="39">
        <v>101.19999999999999</v>
      </c>
      <c r="CD56" s="39">
        <v>102.30000000000001</v>
      </c>
      <c r="CE56">
        <v>100.6</v>
      </c>
      <c r="CF56">
        <f>33.1+72.5</f>
        <v>105.6</v>
      </c>
      <c r="CG56">
        <f>33.9+75.8</f>
        <v>109.69999999999999</v>
      </c>
      <c r="CH56" s="40">
        <v>118.6</v>
      </c>
      <c r="CI56" s="39">
        <v>118.9</v>
      </c>
      <c r="CJ56" s="39">
        <v>119.7</v>
      </c>
      <c r="CK56" s="39">
        <v>121.3</v>
      </c>
      <c r="CL56" s="39">
        <v>121.9</v>
      </c>
      <c r="CM56" s="39">
        <v>122.4</v>
      </c>
      <c r="CN56" s="39">
        <v>123.2</v>
      </c>
      <c r="CO56" s="39">
        <v>125.3</v>
      </c>
      <c r="CP56" s="39">
        <v>127.5</v>
      </c>
      <c r="CQ56" s="39">
        <v>127.2</v>
      </c>
      <c r="CR56" s="39">
        <v>129.30000000000001</v>
      </c>
      <c r="CS56" s="39">
        <v>124.8</v>
      </c>
      <c r="CT56" s="39">
        <v>125.7</v>
      </c>
      <c r="CU56" s="109">
        <v>125.8</v>
      </c>
      <c r="CV56" s="40">
        <v>78.900000000000006</v>
      </c>
      <c r="CW56" s="39">
        <v>79.400000000000006</v>
      </c>
      <c r="CX56" s="39">
        <v>80.099999999999994</v>
      </c>
      <c r="CY56" s="39">
        <v>81.599999999999994</v>
      </c>
      <c r="CZ56" s="39">
        <v>83.4</v>
      </c>
      <c r="DA56" s="39">
        <v>83.5</v>
      </c>
      <c r="DB56" s="39">
        <v>85.5</v>
      </c>
      <c r="DC56" s="39">
        <v>86.9</v>
      </c>
      <c r="DD56" s="39">
        <v>88.4</v>
      </c>
      <c r="DE56" s="39">
        <v>90.5</v>
      </c>
      <c r="DF56" s="39">
        <v>91.6</v>
      </c>
      <c r="DG56" s="39">
        <v>72.099999999999994</v>
      </c>
      <c r="DH56" s="39">
        <f>60.9+21.1</f>
        <v>82</v>
      </c>
      <c r="DI56" s="39">
        <f>65.5+22</f>
        <v>87.5</v>
      </c>
      <c r="DJ56" s="40">
        <v>103.7</v>
      </c>
      <c r="DK56" s="39">
        <v>104</v>
      </c>
      <c r="DL56" s="39">
        <v>102.1</v>
      </c>
      <c r="DM56" s="39">
        <v>101.5</v>
      </c>
      <c r="DN56" s="39">
        <v>100.5</v>
      </c>
      <c r="DO56" s="39">
        <v>99.8</v>
      </c>
      <c r="DP56" s="39">
        <v>99.5</v>
      </c>
      <c r="DQ56" s="39">
        <v>100.1</v>
      </c>
      <c r="DR56" s="39">
        <v>100.1</v>
      </c>
      <c r="DS56" s="39">
        <v>100.1</v>
      </c>
      <c r="DT56" s="88">
        <v>101.2</v>
      </c>
      <c r="DU56" s="88">
        <v>97.8</v>
      </c>
      <c r="DV56" s="88">
        <v>97.7</v>
      </c>
      <c r="DW56" s="88">
        <v>99.4</v>
      </c>
    </row>
    <row r="57" spans="1:127" ht="14.45">
      <c r="A57" s="20" t="s">
        <v>63</v>
      </c>
      <c r="B57" s="39">
        <v>3203.9</v>
      </c>
      <c r="C57" s="39">
        <v>3214.5</v>
      </c>
      <c r="D57" s="39">
        <v>3250.7</v>
      </c>
      <c r="E57" s="39">
        <v>3301.5</v>
      </c>
      <c r="F57" s="39">
        <v>3358.5</v>
      </c>
      <c r="G57" s="39">
        <v>3413.5</v>
      </c>
      <c r="H57" s="39">
        <v>3501.7</v>
      </c>
      <c r="I57" s="39">
        <v>3561.5</v>
      </c>
      <c r="J57" s="39">
        <v>3608.2</v>
      </c>
      <c r="K57" s="39">
        <v>3642.9</v>
      </c>
      <c r="L57" s="88">
        <v>3689.8</v>
      </c>
      <c r="M57" s="88">
        <v>3367.6</v>
      </c>
      <c r="N57" s="88">
        <v>3532.4</v>
      </c>
      <c r="O57" s="88">
        <v>3675.7</v>
      </c>
      <c r="P57" s="40">
        <v>112.7</v>
      </c>
      <c r="Q57" s="39">
        <v>108.19999999999999</v>
      </c>
      <c r="R57" s="39">
        <v>111.8</v>
      </c>
      <c r="S57" s="39">
        <v>116.5</v>
      </c>
      <c r="T57" s="39">
        <v>123.3</v>
      </c>
      <c r="U57" s="39">
        <v>128.69999999999999</v>
      </c>
      <c r="V57" s="39">
        <v>140.19999999999999</v>
      </c>
      <c r="W57" s="39">
        <v>146.9</v>
      </c>
      <c r="X57" s="39">
        <v>152.9</v>
      </c>
      <c r="Y57" s="39">
        <v>158.29999999999998</v>
      </c>
      <c r="Z57" s="39">
        <v>163.1</v>
      </c>
      <c r="AA57" s="39">
        <v>153.30000000000001</v>
      </c>
      <c r="AB57" s="39">
        <f>1+164.4</f>
        <v>165.4</v>
      </c>
      <c r="AC57" s="39">
        <f>1+169.9</f>
        <v>170.9</v>
      </c>
      <c r="AD57" s="40">
        <v>259.2</v>
      </c>
      <c r="AE57" s="39">
        <v>253</v>
      </c>
      <c r="AF57" s="39">
        <v>252.6</v>
      </c>
      <c r="AG57" s="39">
        <v>252.2</v>
      </c>
      <c r="AH57" s="39">
        <v>250.8</v>
      </c>
      <c r="AI57" s="39">
        <v>249.7</v>
      </c>
      <c r="AJ57" s="39">
        <v>249.1</v>
      </c>
      <c r="AK57" s="39">
        <v>245.5</v>
      </c>
      <c r="AL57" s="39">
        <v>244.2</v>
      </c>
      <c r="AM57" s="39">
        <v>244.1</v>
      </c>
      <c r="AN57" s="39">
        <v>243.8</v>
      </c>
      <c r="AO57" s="39">
        <v>229.8</v>
      </c>
      <c r="AP57" s="109">
        <v>233.1</v>
      </c>
      <c r="AQ57" s="109">
        <v>238</v>
      </c>
      <c r="AR57" s="40">
        <v>542.20000000000005</v>
      </c>
      <c r="AS57" s="39">
        <v>543.6</v>
      </c>
      <c r="AT57" s="39">
        <v>548.1</v>
      </c>
      <c r="AU57" s="39">
        <v>551.29999999999995</v>
      </c>
      <c r="AV57" s="39">
        <v>556</v>
      </c>
      <c r="AW57" s="39">
        <v>561.4</v>
      </c>
      <c r="AX57" s="39">
        <v>569.5</v>
      </c>
      <c r="AY57" s="39">
        <v>573.70000000000005</v>
      </c>
      <c r="AZ57" s="39">
        <v>579</v>
      </c>
      <c r="BA57" s="39">
        <v>579.4</v>
      </c>
      <c r="BB57" s="39">
        <v>578.70000000000005</v>
      </c>
      <c r="BC57" s="39">
        <v>528.9</v>
      </c>
      <c r="BD57" s="109">
        <v>549.70000000000005</v>
      </c>
      <c r="BE57" s="109">
        <v>564.79999999999995</v>
      </c>
      <c r="BF57" s="40">
        <v>85.8</v>
      </c>
      <c r="BG57" s="39">
        <v>85</v>
      </c>
      <c r="BH57" s="39">
        <v>84.7</v>
      </c>
      <c r="BI57" s="39">
        <v>86.4</v>
      </c>
      <c r="BJ57" s="39">
        <v>86.1</v>
      </c>
      <c r="BK57" s="39">
        <v>86.2</v>
      </c>
      <c r="BL57" s="39">
        <v>88.2</v>
      </c>
      <c r="BM57" s="39">
        <v>89</v>
      </c>
      <c r="BN57" s="39">
        <v>91.3</v>
      </c>
      <c r="BO57" s="39">
        <v>91.5</v>
      </c>
      <c r="BP57" s="88">
        <v>92.6</v>
      </c>
      <c r="BQ57" s="39">
        <v>88.8</v>
      </c>
      <c r="BR57" s="109">
        <v>93.4</v>
      </c>
      <c r="BS57" s="109">
        <v>97.2</v>
      </c>
      <c r="BT57" s="40">
        <v>672</v>
      </c>
      <c r="BU57" s="39">
        <v>671.7</v>
      </c>
      <c r="BV57" s="39">
        <v>685.7</v>
      </c>
      <c r="BW57" s="39">
        <v>698.90000000000009</v>
      </c>
      <c r="BX57" s="39">
        <v>713.3</v>
      </c>
      <c r="BY57" s="39">
        <v>725.3</v>
      </c>
      <c r="BZ57" s="39">
        <v>756.1</v>
      </c>
      <c r="CA57" s="39">
        <v>772.7</v>
      </c>
      <c r="CB57" s="39">
        <v>787.40000000000009</v>
      </c>
      <c r="CC57" s="39">
        <v>805.4</v>
      </c>
      <c r="CD57" s="39">
        <v>825.7</v>
      </c>
      <c r="CE57">
        <v>797.6</v>
      </c>
      <c r="CF57">
        <f>224.1+607.3</f>
        <v>831.4</v>
      </c>
      <c r="CG57" s="100">
        <f>227.5+635.5</f>
        <v>863</v>
      </c>
      <c r="CH57" s="40">
        <v>675.3</v>
      </c>
      <c r="CI57" s="39">
        <v>687.7</v>
      </c>
      <c r="CJ57" s="39">
        <v>698.2</v>
      </c>
      <c r="CK57" s="39">
        <v>710.8</v>
      </c>
      <c r="CL57" s="39">
        <v>723.4</v>
      </c>
      <c r="CM57" s="39">
        <v>736.4</v>
      </c>
      <c r="CN57" s="39">
        <v>762.2</v>
      </c>
      <c r="CO57" s="39">
        <v>781.9</v>
      </c>
      <c r="CP57" s="39">
        <v>794.8</v>
      </c>
      <c r="CQ57" s="39">
        <v>797.9</v>
      </c>
      <c r="CR57" s="39">
        <v>812.1</v>
      </c>
      <c r="CS57" s="39">
        <v>756.6</v>
      </c>
      <c r="CT57" s="39">
        <v>793.6</v>
      </c>
      <c r="CU57" s="109">
        <v>809.2</v>
      </c>
      <c r="CV57" s="40">
        <v>418.8</v>
      </c>
      <c r="CW57" s="39">
        <v>426</v>
      </c>
      <c r="CX57" s="39">
        <v>435</v>
      </c>
      <c r="CY57" s="39">
        <v>448.20000000000005</v>
      </c>
      <c r="CZ57" s="39">
        <v>462.5</v>
      </c>
      <c r="DA57" s="39">
        <v>474.2</v>
      </c>
      <c r="DB57" s="39">
        <v>485.4</v>
      </c>
      <c r="DC57" s="39">
        <v>496.40000000000003</v>
      </c>
      <c r="DD57" s="39">
        <v>506</v>
      </c>
      <c r="DE57" s="39">
        <v>511.9</v>
      </c>
      <c r="DF57" s="39">
        <v>516.4</v>
      </c>
      <c r="DG57" s="39">
        <v>374.9</v>
      </c>
      <c r="DH57" s="39">
        <f>298.4+125</f>
        <v>423.4</v>
      </c>
      <c r="DI57" s="39">
        <f>345+134.6</f>
        <v>479.6</v>
      </c>
      <c r="DJ57" s="40">
        <v>437.9</v>
      </c>
      <c r="DK57" s="39">
        <v>439.3</v>
      </c>
      <c r="DL57" s="39">
        <v>434.7</v>
      </c>
      <c r="DM57" s="39">
        <v>437.2</v>
      </c>
      <c r="DN57" s="39">
        <v>443.1</v>
      </c>
      <c r="DO57" s="39">
        <v>451.7</v>
      </c>
      <c r="DP57" s="39">
        <v>451.1</v>
      </c>
      <c r="DQ57" s="39">
        <v>455.5</v>
      </c>
      <c r="DR57" s="39">
        <v>452.6</v>
      </c>
      <c r="DS57" s="39">
        <v>454.5</v>
      </c>
      <c r="DT57" s="88">
        <v>457.3</v>
      </c>
      <c r="DU57" s="88">
        <v>437.8</v>
      </c>
      <c r="DV57" s="88">
        <v>442.5</v>
      </c>
      <c r="DW57" s="88">
        <v>453</v>
      </c>
    </row>
    <row r="58" spans="1:127" ht="14.45">
      <c r="A58" s="20" t="s">
        <v>64</v>
      </c>
      <c r="B58" s="39">
        <v>628.4</v>
      </c>
      <c r="C58" s="39">
        <v>624.79999999999995</v>
      </c>
      <c r="D58" s="39">
        <v>628.4</v>
      </c>
      <c r="E58" s="39">
        <v>634.79999999999995</v>
      </c>
      <c r="F58" s="39">
        <v>640.29999999999995</v>
      </c>
      <c r="G58" s="39">
        <v>647.79999999999995</v>
      </c>
      <c r="H58" s="39">
        <v>656.1</v>
      </c>
      <c r="I58" s="39">
        <v>668.3</v>
      </c>
      <c r="J58" s="39">
        <v>675.1</v>
      </c>
      <c r="K58" s="39">
        <v>681</v>
      </c>
      <c r="L58" s="88">
        <v>684.2</v>
      </c>
      <c r="M58" s="88">
        <v>638.29999999999995</v>
      </c>
      <c r="N58" s="88">
        <v>663.1</v>
      </c>
      <c r="O58" s="88">
        <v>686</v>
      </c>
      <c r="P58" s="40">
        <v>23.5</v>
      </c>
      <c r="Q58" s="39">
        <v>22.299999999999997</v>
      </c>
      <c r="R58" s="39">
        <v>23</v>
      </c>
      <c r="S58" s="39">
        <v>23.099999999999998</v>
      </c>
      <c r="T58" s="39">
        <v>23.4</v>
      </c>
      <c r="U58" s="39">
        <v>24.3</v>
      </c>
      <c r="V58" s="39">
        <v>25.2</v>
      </c>
      <c r="W58" s="39">
        <v>26.6</v>
      </c>
      <c r="X58" s="39">
        <v>27.6</v>
      </c>
      <c r="Y58" s="39">
        <v>27.9</v>
      </c>
      <c r="Z58" s="39">
        <v>28.9</v>
      </c>
      <c r="AA58" s="39">
        <v>28.8</v>
      </c>
      <c r="AB58" s="39">
        <f>1+29.1</f>
        <v>30.1</v>
      </c>
      <c r="AC58" s="39">
        <f>1+30</f>
        <v>31</v>
      </c>
      <c r="AD58" s="40">
        <v>67.900000000000006</v>
      </c>
      <c r="AE58" s="39">
        <v>65.8</v>
      </c>
      <c r="AF58" s="39">
        <v>66.5</v>
      </c>
      <c r="AG58" s="39">
        <v>66</v>
      </c>
      <c r="AH58" s="39">
        <v>66</v>
      </c>
      <c r="AI58" s="39">
        <v>66.5</v>
      </c>
      <c r="AJ58" s="39">
        <v>67.3</v>
      </c>
      <c r="AK58" s="39">
        <v>68.099999999999994</v>
      </c>
      <c r="AL58" s="39">
        <v>69.2</v>
      </c>
      <c r="AM58" s="39">
        <v>70.5</v>
      </c>
      <c r="AN58" s="39">
        <v>71.5</v>
      </c>
      <c r="AO58" s="39">
        <v>67.3</v>
      </c>
      <c r="AP58" s="109">
        <v>68</v>
      </c>
      <c r="AQ58" s="109">
        <v>70.400000000000006</v>
      </c>
      <c r="AR58" s="40">
        <v>133.9</v>
      </c>
      <c r="AS58" s="39">
        <v>132.80000000000001</v>
      </c>
      <c r="AT58" s="39">
        <v>134</v>
      </c>
      <c r="AU58" s="39">
        <v>135.80000000000001</v>
      </c>
      <c r="AV58" s="39">
        <v>136.5</v>
      </c>
      <c r="AW58" s="39">
        <v>136.69999999999999</v>
      </c>
      <c r="AX58" s="39">
        <v>137.9</v>
      </c>
      <c r="AY58" s="39">
        <v>140</v>
      </c>
      <c r="AZ58" s="39">
        <v>140.30000000000001</v>
      </c>
      <c r="BA58" s="39">
        <v>139.30000000000001</v>
      </c>
      <c r="BB58" s="39">
        <v>139.1</v>
      </c>
      <c r="BC58" s="39">
        <v>133.19999999999999</v>
      </c>
      <c r="BD58" s="109">
        <v>137.4</v>
      </c>
      <c r="BE58" s="109">
        <v>138.6</v>
      </c>
      <c r="BF58" s="40">
        <v>12.3</v>
      </c>
      <c r="BG58" s="39">
        <v>11.4</v>
      </c>
      <c r="BH58" s="39">
        <v>11.4</v>
      </c>
      <c r="BI58" s="39">
        <v>12</v>
      </c>
      <c r="BJ58" s="39">
        <v>11.9</v>
      </c>
      <c r="BK58" s="39">
        <v>12</v>
      </c>
      <c r="BL58" s="39">
        <v>12.5</v>
      </c>
      <c r="BM58" s="39">
        <v>12.5</v>
      </c>
      <c r="BN58" s="39">
        <v>12.6</v>
      </c>
      <c r="BO58" s="39">
        <v>12.4</v>
      </c>
      <c r="BP58" s="88">
        <v>12.4</v>
      </c>
      <c r="BQ58" s="39">
        <v>11.7</v>
      </c>
      <c r="BR58" s="109">
        <v>11.8</v>
      </c>
      <c r="BS58" s="109">
        <v>11.9</v>
      </c>
      <c r="BT58" s="40">
        <v>99.4</v>
      </c>
      <c r="BU58" s="39">
        <v>99.4</v>
      </c>
      <c r="BV58" s="39">
        <v>100.8</v>
      </c>
      <c r="BW58" s="39">
        <v>103.1</v>
      </c>
      <c r="BX58" s="39">
        <v>106</v>
      </c>
      <c r="BY58" s="39">
        <v>109.2</v>
      </c>
      <c r="BZ58" s="39">
        <v>112.5</v>
      </c>
      <c r="CA58" s="39">
        <v>114.8</v>
      </c>
      <c r="CB58" s="39">
        <v>116.6</v>
      </c>
      <c r="CC58" s="39">
        <v>117.6</v>
      </c>
      <c r="CD58" s="39">
        <v>118.5</v>
      </c>
      <c r="CE58">
        <v>115.9</v>
      </c>
      <c r="CF58">
        <f>34.2+88.3</f>
        <v>122.5</v>
      </c>
      <c r="CG58">
        <f>34.5+96.2</f>
        <v>130.69999999999999</v>
      </c>
      <c r="CH58" s="40">
        <v>110.6</v>
      </c>
      <c r="CI58" s="39">
        <v>112.1</v>
      </c>
      <c r="CJ58" s="39">
        <v>113.4</v>
      </c>
      <c r="CK58" s="39">
        <v>114.3</v>
      </c>
      <c r="CL58" s="39">
        <v>115</v>
      </c>
      <c r="CM58" s="39">
        <v>115.9</v>
      </c>
      <c r="CN58" s="39">
        <v>118.1</v>
      </c>
      <c r="CO58" s="39">
        <v>121</v>
      </c>
      <c r="CP58" s="39">
        <v>123.7</v>
      </c>
      <c r="CQ58" s="39">
        <v>125.8</v>
      </c>
      <c r="CR58" s="39">
        <v>124.8</v>
      </c>
      <c r="CS58" s="39">
        <v>116.9</v>
      </c>
      <c r="CT58" s="39">
        <v>119.6</v>
      </c>
      <c r="CU58" s="110">
        <v>122.2</v>
      </c>
      <c r="CV58" s="40">
        <v>84.2</v>
      </c>
      <c r="CW58" s="39">
        <v>85.2</v>
      </c>
      <c r="CX58" s="39">
        <v>87.3</v>
      </c>
      <c r="CY58" s="39">
        <v>88.9</v>
      </c>
      <c r="CZ58" s="39">
        <v>91.2</v>
      </c>
      <c r="DA58" s="39">
        <v>92.800000000000011</v>
      </c>
      <c r="DB58" s="39">
        <v>92.4</v>
      </c>
      <c r="DC58" s="39">
        <v>94.6</v>
      </c>
      <c r="DD58" s="39">
        <v>95.2</v>
      </c>
      <c r="DE58" s="39">
        <v>97.5</v>
      </c>
      <c r="DF58" s="39">
        <v>98.600000000000009</v>
      </c>
      <c r="DG58" s="39">
        <v>79.2</v>
      </c>
      <c r="DH58" s="39">
        <f>65.1+23.2</f>
        <v>88.3</v>
      </c>
      <c r="DI58" s="39">
        <f>70.7+24.3</f>
        <v>95</v>
      </c>
      <c r="DJ58" s="40">
        <v>96.5</v>
      </c>
      <c r="DK58" s="39">
        <v>95.9</v>
      </c>
      <c r="DL58" s="39">
        <v>92</v>
      </c>
      <c r="DM58" s="39">
        <v>91.6</v>
      </c>
      <c r="DN58" s="39">
        <v>90.4</v>
      </c>
      <c r="DO58" s="39">
        <v>90.5</v>
      </c>
      <c r="DP58" s="39">
        <v>90.3</v>
      </c>
      <c r="DQ58" s="39">
        <v>90.8</v>
      </c>
      <c r="DR58" s="39">
        <v>90</v>
      </c>
      <c r="DS58" s="39">
        <v>90</v>
      </c>
      <c r="DT58" s="88">
        <v>90.4</v>
      </c>
      <c r="DU58" s="88">
        <v>85.4</v>
      </c>
      <c r="DV58" s="88">
        <v>85.5</v>
      </c>
      <c r="DW58" s="88">
        <v>86.2</v>
      </c>
    </row>
    <row r="59" spans="1:127" ht="14.45">
      <c r="A59" s="20" t="s">
        <v>93</v>
      </c>
      <c r="B59" s="39">
        <v>3893.9</v>
      </c>
      <c r="C59" s="39">
        <v>3848.3</v>
      </c>
      <c r="D59" s="39">
        <v>3847.3</v>
      </c>
      <c r="E59" s="39">
        <v>3890.4</v>
      </c>
      <c r="F59" s="39">
        <v>3935.2</v>
      </c>
      <c r="G59" s="39">
        <v>3962.2</v>
      </c>
      <c r="H59" s="39">
        <v>4015.7</v>
      </c>
      <c r="I59" s="39">
        <v>4075.5</v>
      </c>
      <c r="J59" s="39">
        <v>4127.3999999999996</v>
      </c>
      <c r="K59" s="39">
        <v>4154.8</v>
      </c>
      <c r="L59" s="88">
        <v>4194.8999999999996</v>
      </c>
      <c r="M59" s="88">
        <v>3846.6</v>
      </c>
      <c r="N59" s="88">
        <v>4039.3</v>
      </c>
      <c r="O59" s="88">
        <v>4242.2</v>
      </c>
      <c r="P59" s="40">
        <v>140.1</v>
      </c>
      <c r="Q59" s="39">
        <v>130.9</v>
      </c>
      <c r="R59" s="39">
        <v>131.20000000000002</v>
      </c>
      <c r="S59" s="39">
        <v>131.70000000000002</v>
      </c>
      <c r="T59" s="39">
        <v>138.9</v>
      </c>
      <c r="U59" s="39">
        <v>143.30000000000001</v>
      </c>
      <c r="V59" s="39">
        <v>149.80000000000001</v>
      </c>
      <c r="W59" s="39">
        <v>154.4</v>
      </c>
      <c r="X59" s="39">
        <v>156.30000000000001</v>
      </c>
      <c r="Y59" s="39">
        <v>159.30000000000001</v>
      </c>
      <c r="Z59" s="39">
        <v>161.20000000000002</v>
      </c>
      <c r="AA59" s="39">
        <v>152.4</v>
      </c>
      <c r="AB59" s="39">
        <f>1.6+157.3</f>
        <v>158.9</v>
      </c>
      <c r="AC59">
        <f>1.7+163.3</f>
        <v>165</v>
      </c>
      <c r="AD59" s="40">
        <v>266.3</v>
      </c>
      <c r="AE59" s="39">
        <v>257.2</v>
      </c>
      <c r="AF59" s="39">
        <v>251.5</v>
      </c>
      <c r="AG59" s="39">
        <v>245.3</v>
      </c>
      <c r="AH59" s="39">
        <v>243.3</v>
      </c>
      <c r="AI59" s="39">
        <v>242.6</v>
      </c>
      <c r="AJ59" s="39">
        <v>238.8</v>
      </c>
      <c r="AK59" s="39">
        <v>241.7</v>
      </c>
      <c r="AL59" s="39">
        <v>244.6</v>
      </c>
      <c r="AM59" s="39">
        <v>247.4</v>
      </c>
      <c r="AN59" s="39">
        <v>251.5</v>
      </c>
      <c r="AO59" s="39">
        <v>237.6</v>
      </c>
      <c r="AP59" s="109">
        <v>241.4</v>
      </c>
      <c r="AQ59" s="109">
        <v>250.1</v>
      </c>
      <c r="AR59" s="40">
        <v>817.4</v>
      </c>
      <c r="AS59" s="39">
        <v>808.1</v>
      </c>
      <c r="AT59" s="39">
        <v>814.6</v>
      </c>
      <c r="AU59" s="39">
        <v>821.7</v>
      </c>
      <c r="AV59" s="39">
        <v>827.2</v>
      </c>
      <c r="AW59" s="39">
        <v>837.3</v>
      </c>
      <c r="AX59" s="39">
        <v>853.6</v>
      </c>
      <c r="AY59" s="39">
        <v>866</v>
      </c>
      <c r="AZ59" s="39">
        <v>884.2</v>
      </c>
      <c r="BA59" s="39">
        <v>888.1</v>
      </c>
      <c r="BB59" s="39">
        <v>886.8</v>
      </c>
      <c r="BC59" s="39">
        <v>829.9</v>
      </c>
      <c r="BD59" s="109">
        <v>866.4</v>
      </c>
      <c r="BE59" s="109">
        <v>913.4</v>
      </c>
      <c r="BF59" s="40">
        <v>84.3</v>
      </c>
      <c r="BG59" s="39">
        <v>79.2</v>
      </c>
      <c r="BH59" s="39">
        <v>76.400000000000006</v>
      </c>
      <c r="BI59" s="39">
        <v>76.900000000000006</v>
      </c>
      <c r="BJ59" s="39">
        <v>75.3</v>
      </c>
      <c r="BK59" s="39">
        <v>75.099999999999994</v>
      </c>
      <c r="BL59" s="39">
        <v>74.400000000000006</v>
      </c>
      <c r="BM59" s="39">
        <v>73.099999999999994</v>
      </c>
      <c r="BN59" s="39">
        <v>70.7</v>
      </c>
      <c r="BO59" s="39">
        <v>69.7</v>
      </c>
      <c r="BP59" s="88">
        <v>67.400000000000006</v>
      </c>
      <c r="BQ59" s="39">
        <v>68.2</v>
      </c>
      <c r="BR59" s="109">
        <v>70.400000000000006</v>
      </c>
      <c r="BS59" s="109">
        <v>75.8</v>
      </c>
      <c r="BT59" s="40">
        <v>840.3</v>
      </c>
      <c r="BU59" s="39">
        <v>837.6</v>
      </c>
      <c r="BV59" s="39">
        <v>851.7</v>
      </c>
      <c r="BW59" s="39">
        <v>868.30000000000007</v>
      </c>
      <c r="BX59" s="39">
        <v>884.8</v>
      </c>
      <c r="BY59" s="39">
        <v>881.9</v>
      </c>
      <c r="BZ59" s="39">
        <v>896.6</v>
      </c>
      <c r="CA59" s="39">
        <v>910.8</v>
      </c>
      <c r="CB59" s="39">
        <v>914.90000000000009</v>
      </c>
      <c r="CC59" s="39">
        <v>922.8</v>
      </c>
      <c r="CD59" s="39">
        <v>936.2</v>
      </c>
      <c r="CE59">
        <v>888.8</v>
      </c>
      <c r="CF59" s="100">
        <f>252+692</f>
        <v>944</v>
      </c>
      <c r="CG59">
        <f>259.3+725.1</f>
        <v>984.40000000000009</v>
      </c>
      <c r="CH59" s="40">
        <v>595.4</v>
      </c>
      <c r="CI59" s="39">
        <v>598.70000000000005</v>
      </c>
      <c r="CJ59" s="39">
        <v>603.9</v>
      </c>
      <c r="CK59" s="39">
        <v>618</v>
      </c>
      <c r="CL59" s="39">
        <v>629.29999999999995</v>
      </c>
      <c r="CM59" s="39">
        <v>635.1</v>
      </c>
      <c r="CN59" s="39">
        <v>660</v>
      </c>
      <c r="CO59" s="39">
        <v>675.4</v>
      </c>
      <c r="CP59" s="39">
        <v>694.3</v>
      </c>
      <c r="CQ59" s="39">
        <v>708.2</v>
      </c>
      <c r="CR59" s="39">
        <v>717.9</v>
      </c>
      <c r="CS59" s="39">
        <v>666.5</v>
      </c>
      <c r="CT59" s="39">
        <v>699.3</v>
      </c>
      <c r="CU59" s="109">
        <v>733</v>
      </c>
      <c r="CV59" s="40">
        <v>496</v>
      </c>
      <c r="CW59" s="39">
        <v>494.79999999999995</v>
      </c>
      <c r="CX59" s="39">
        <v>497</v>
      </c>
      <c r="CY59" s="39">
        <v>510.2</v>
      </c>
      <c r="CZ59" s="39">
        <v>518.79999999999995</v>
      </c>
      <c r="DA59" s="39">
        <v>526.5</v>
      </c>
      <c r="DB59" s="39">
        <v>528.40000000000009</v>
      </c>
      <c r="DC59" s="39">
        <v>539.79999999999995</v>
      </c>
      <c r="DD59" s="39">
        <v>547.6</v>
      </c>
      <c r="DE59" s="39">
        <v>558.70000000000005</v>
      </c>
      <c r="DF59" s="39">
        <v>567.9</v>
      </c>
      <c r="DG59" s="39">
        <v>424.7</v>
      </c>
      <c r="DH59" s="39">
        <f>330.8+152.9</f>
        <v>483.70000000000005</v>
      </c>
      <c r="DI59" s="39">
        <f>377.2+165.8</f>
        <v>543</v>
      </c>
      <c r="DJ59" s="40">
        <v>654.20000000000005</v>
      </c>
      <c r="DK59" s="39">
        <v>641.9</v>
      </c>
      <c r="DL59" s="39">
        <v>621</v>
      </c>
      <c r="DM59" s="39">
        <v>618.29999999999995</v>
      </c>
      <c r="DN59" s="39">
        <v>617.70000000000005</v>
      </c>
      <c r="DO59" s="39">
        <v>620.5</v>
      </c>
      <c r="DP59" s="39">
        <v>614.20000000000005</v>
      </c>
      <c r="DQ59" s="39">
        <v>614.20000000000005</v>
      </c>
      <c r="DR59" s="39">
        <v>614.9</v>
      </c>
      <c r="DS59" s="39">
        <v>600.5</v>
      </c>
      <c r="DT59" s="88">
        <v>605.9</v>
      </c>
      <c r="DU59" s="88">
        <v>578.6</v>
      </c>
      <c r="DV59" s="88">
        <v>575</v>
      </c>
      <c r="DW59" s="88">
        <v>583.5</v>
      </c>
    </row>
    <row r="60" spans="1:127" ht="14.45">
      <c r="A60" s="20" t="s">
        <v>66</v>
      </c>
      <c r="B60" s="39">
        <v>8545.6</v>
      </c>
      <c r="C60" s="39">
        <v>8557.9</v>
      </c>
      <c r="D60" s="39">
        <v>8684.2000000000007</v>
      </c>
      <c r="E60" s="39">
        <v>8809.2000000000007</v>
      </c>
      <c r="F60" s="39">
        <v>8940.6</v>
      </c>
      <c r="G60" s="39">
        <v>9083.9</v>
      </c>
      <c r="H60" s="39">
        <v>9260.1</v>
      </c>
      <c r="I60" s="39">
        <v>9395.9</v>
      </c>
      <c r="J60" s="39">
        <v>9516.6</v>
      </c>
      <c r="K60" s="39">
        <v>9669.9</v>
      </c>
      <c r="L60" s="88">
        <v>9785.5</v>
      </c>
      <c r="M60" s="88">
        <v>8777.5</v>
      </c>
      <c r="N60" s="88">
        <v>9062.2000000000007</v>
      </c>
      <c r="O60" s="88">
        <v>9518.7999999999993</v>
      </c>
      <c r="P60" s="40">
        <v>329.9</v>
      </c>
      <c r="Q60" s="39">
        <v>311.90000000000003</v>
      </c>
      <c r="R60" s="39">
        <v>313.40000000000003</v>
      </c>
      <c r="S60" s="39">
        <v>319.7</v>
      </c>
      <c r="T60" s="39">
        <v>332.1</v>
      </c>
      <c r="U60" s="39">
        <v>344.8</v>
      </c>
      <c r="V60" s="39">
        <v>366.6</v>
      </c>
      <c r="W60" s="39">
        <v>378</v>
      </c>
      <c r="X60" s="39">
        <v>388.8</v>
      </c>
      <c r="Y60" s="39">
        <v>403.79999999999995</v>
      </c>
      <c r="Z60" s="39">
        <v>410</v>
      </c>
      <c r="AA60" s="39">
        <v>367.3</v>
      </c>
      <c r="AB60" s="39">
        <f>5.3+376.1</f>
        <v>381.40000000000003</v>
      </c>
      <c r="AC60" s="39">
        <f>5.4+388.2</f>
        <v>393.59999999999997</v>
      </c>
      <c r="AD60" s="40">
        <v>475.9</v>
      </c>
      <c r="AE60" s="39">
        <v>457.1</v>
      </c>
      <c r="AF60" s="39">
        <v>458.6</v>
      </c>
      <c r="AG60" s="39">
        <v>459.2</v>
      </c>
      <c r="AH60" s="39">
        <v>456.1</v>
      </c>
      <c r="AI60" s="39">
        <v>452.3</v>
      </c>
      <c r="AJ60" s="39">
        <v>455</v>
      </c>
      <c r="AK60" s="39">
        <v>451.3</v>
      </c>
      <c r="AL60" s="39">
        <v>445.9</v>
      </c>
      <c r="AM60" s="39">
        <v>443.1</v>
      </c>
      <c r="AN60" s="39">
        <v>439.2</v>
      </c>
      <c r="AO60" s="39">
        <v>400.8</v>
      </c>
      <c r="AP60" s="109">
        <v>409.3</v>
      </c>
      <c r="AQ60" s="109">
        <v>424.2</v>
      </c>
      <c r="AR60" s="40">
        <v>1456.5</v>
      </c>
      <c r="AS60" s="39">
        <v>1461.5</v>
      </c>
      <c r="AT60" s="39">
        <v>1486.2</v>
      </c>
      <c r="AU60" s="39">
        <v>1509.5</v>
      </c>
      <c r="AV60" s="39">
        <v>1529.3</v>
      </c>
      <c r="AW60" s="39">
        <v>1555.2</v>
      </c>
      <c r="AX60" s="39">
        <v>1572.4</v>
      </c>
      <c r="AY60" s="39">
        <v>1573</v>
      </c>
      <c r="AZ60" s="39">
        <v>1573.5</v>
      </c>
      <c r="BA60" s="39">
        <v>1563</v>
      </c>
      <c r="BB60" s="39">
        <v>1551.6</v>
      </c>
      <c r="BC60" s="39">
        <v>1371.1</v>
      </c>
      <c r="BD60" s="109">
        <v>1422.1</v>
      </c>
      <c r="BE60" s="109">
        <v>1480.6</v>
      </c>
      <c r="BF60" s="40">
        <v>259.5</v>
      </c>
      <c r="BG60" s="39">
        <v>253.2</v>
      </c>
      <c r="BH60" s="39">
        <v>255.2</v>
      </c>
      <c r="BI60" s="39">
        <v>259.10000000000002</v>
      </c>
      <c r="BJ60" s="39">
        <v>261.60000000000002</v>
      </c>
      <c r="BK60" s="39">
        <v>264.3</v>
      </c>
      <c r="BL60" s="39">
        <v>264.89999999999998</v>
      </c>
      <c r="BM60" s="39">
        <v>267.10000000000002</v>
      </c>
      <c r="BN60" s="39">
        <v>268.8</v>
      </c>
      <c r="BO60" s="39">
        <v>275.2</v>
      </c>
      <c r="BP60" s="88">
        <v>278.3</v>
      </c>
      <c r="BQ60" s="39">
        <v>267.10000000000002</v>
      </c>
      <c r="BR60" s="109">
        <v>280</v>
      </c>
      <c r="BS60" s="109">
        <v>294.89999999999998</v>
      </c>
      <c r="BT60" s="40">
        <v>1768.9</v>
      </c>
      <c r="BU60" s="39">
        <v>1769.3</v>
      </c>
      <c r="BV60" s="39">
        <v>1818.7</v>
      </c>
      <c r="BW60" s="39">
        <v>1854.6</v>
      </c>
      <c r="BX60" s="39">
        <v>1884.5</v>
      </c>
      <c r="BY60" s="39">
        <v>1919.9</v>
      </c>
      <c r="BZ60" s="39">
        <v>1972.6</v>
      </c>
      <c r="CA60" s="39">
        <v>2008.9</v>
      </c>
      <c r="CB60" s="39">
        <v>2033.8000000000002</v>
      </c>
      <c r="CC60" s="39">
        <v>2059.8000000000002</v>
      </c>
      <c r="CD60" s="39">
        <v>2102.9</v>
      </c>
      <c r="CE60" s="100">
        <v>1951</v>
      </c>
      <c r="CF60">
        <f>706.1+1282.1</f>
        <v>1988.1999999999998</v>
      </c>
      <c r="CG60">
        <f>729.7+1365.2</f>
        <v>2094.9</v>
      </c>
      <c r="CH60" s="40">
        <v>1654</v>
      </c>
      <c r="CI60" s="39">
        <v>1693.5</v>
      </c>
      <c r="CJ60" s="39">
        <v>1729.4</v>
      </c>
      <c r="CK60" s="39">
        <v>1764.7</v>
      </c>
      <c r="CL60" s="39">
        <v>1808.3</v>
      </c>
      <c r="CM60" s="39">
        <v>1848.5</v>
      </c>
      <c r="CN60" s="39">
        <v>1891.2</v>
      </c>
      <c r="CO60" s="39">
        <v>1951.3</v>
      </c>
      <c r="CP60" s="39">
        <v>2005.2</v>
      </c>
      <c r="CQ60" s="39">
        <v>2064.6</v>
      </c>
      <c r="CR60" s="39">
        <v>2140</v>
      </c>
      <c r="CS60" s="39">
        <v>2006.3</v>
      </c>
      <c r="CT60" s="39">
        <v>2060.6</v>
      </c>
      <c r="CU60" s="109">
        <v>2137.3000000000002</v>
      </c>
      <c r="CV60" s="40">
        <v>1077.2</v>
      </c>
      <c r="CW60" s="39">
        <v>1100.0999999999999</v>
      </c>
      <c r="CX60" s="39">
        <v>1140.4000000000001</v>
      </c>
      <c r="CY60" s="39">
        <v>1183.7</v>
      </c>
      <c r="CZ60" s="39">
        <v>1225.5999999999999</v>
      </c>
      <c r="DA60" s="39">
        <v>1262.3</v>
      </c>
      <c r="DB60" s="39">
        <v>1299.3</v>
      </c>
      <c r="DC60" s="39">
        <v>1319.9</v>
      </c>
      <c r="DD60" s="39">
        <v>1351.5</v>
      </c>
      <c r="DE60" s="39">
        <v>1371.4</v>
      </c>
      <c r="DF60" s="39">
        <v>1375</v>
      </c>
      <c r="DG60" s="39">
        <v>970.40000000000009</v>
      </c>
      <c r="DH60" s="39">
        <f>726+364.1</f>
        <v>1090.0999999999999</v>
      </c>
      <c r="DI60" s="39">
        <f>868.9+382.6</f>
        <v>1251.5</v>
      </c>
      <c r="DJ60" s="40">
        <v>1523.8</v>
      </c>
      <c r="DK60" s="39">
        <v>1511.2</v>
      </c>
      <c r="DL60" s="39">
        <v>1482.3</v>
      </c>
      <c r="DM60" s="39">
        <v>1458.7</v>
      </c>
      <c r="DN60" s="39">
        <v>1443.3</v>
      </c>
      <c r="DO60" s="39">
        <v>1436.7</v>
      </c>
      <c r="DP60" s="39">
        <v>1437.9</v>
      </c>
      <c r="DQ60" s="39">
        <v>1446.5</v>
      </c>
      <c r="DR60" s="39">
        <v>1449.2</v>
      </c>
      <c r="DS60" s="39">
        <v>1488.9</v>
      </c>
      <c r="DT60" s="88">
        <v>1488.6</v>
      </c>
      <c r="DU60" s="88">
        <v>1443.5</v>
      </c>
      <c r="DV60" s="88">
        <v>1430.5</v>
      </c>
      <c r="DW60" s="88">
        <v>1441.8</v>
      </c>
    </row>
    <row r="61" spans="1:127" ht="14.45">
      <c r="A61" s="20" t="s">
        <v>67</v>
      </c>
      <c r="B61" s="39">
        <v>5619.9</v>
      </c>
      <c r="C61" s="39">
        <v>5625.2</v>
      </c>
      <c r="D61" s="39">
        <v>5688.8</v>
      </c>
      <c r="E61" s="39">
        <v>5729.1</v>
      </c>
      <c r="F61" s="39">
        <v>5743.9</v>
      </c>
      <c r="G61" s="39">
        <v>5790.1</v>
      </c>
      <c r="H61" s="39">
        <v>5835.6</v>
      </c>
      <c r="I61" s="39">
        <v>5883.6</v>
      </c>
      <c r="J61" s="39">
        <v>5945.5</v>
      </c>
      <c r="K61" s="39">
        <v>6006</v>
      </c>
      <c r="L61" s="88">
        <v>6063.7</v>
      </c>
      <c r="M61" s="88">
        <v>5602.8</v>
      </c>
      <c r="N61" s="88">
        <v>5760.3</v>
      </c>
      <c r="O61" s="88">
        <v>5987.4</v>
      </c>
      <c r="P61" s="40">
        <v>246.9</v>
      </c>
      <c r="Q61" s="39">
        <v>242.5</v>
      </c>
      <c r="R61" s="39">
        <v>256.60000000000002</v>
      </c>
      <c r="S61" s="39">
        <v>262.8</v>
      </c>
      <c r="T61" s="39">
        <v>261.60000000000002</v>
      </c>
      <c r="U61" s="39">
        <v>268.39999999999998</v>
      </c>
      <c r="V61" s="39">
        <v>269.3</v>
      </c>
      <c r="W61" s="39">
        <v>263.39999999999998</v>
      </c>
      <c r="X61" s="39">
        <v>275.10000000000002</v>
      </c>
      <c r="Y61" s="39">
        <v>284.40000000000003</v>
      </c>
      <c r="Z61" s="39">
        <v>289.70000000000005</v>
      </c>
      <c r="AA61" s="39">
        <v>264.2</v>
      </c>
      <c r="AB61" s="39">
        <f>21.7+254.8</f>
        <v>276.5</v>
      </c>
      <c r="AC61" s="39">
        <f>22.4+258.8</f>
        <v>281.2</v>
      </c>
      <c r="AD61" s="40">
        <v>574.1</v>
      </c>
      <c r="AE61" s="39">
        <v>560</v>
      </c>
      <c r="AF61" s="39">
        <v>565</v>
      </c>
      <c r="AG61" s="39">
        <v>567.20000000000005</v>
      </c>
      <c r="AH61" s="39">
        <v>564.6</v>
      </c>
      <c r="AI61" s="39">
        <v>567.20000000000005</v>
      </c>
      <c r="AJ61" s="39">
        <v>567.6</v>
      </c>
      <c r="AK61" s="39">
        <v>558.1</v>
      </c>
      <c r="AL61" s="39">
        <v>561.5</v>
      </c>
      <c r="AM61" s="39">
        <v>569.4</v>
      </c>
      <c r="AN61" s="39">
        <v>575.4</v>
      </c>
      <c r="AO61" s="39">
        <v>537.70000000000005</v>
      </c>
      <c r="AP61" s="109">
        <v>544.29999999999995</v>
      </c>
      <c r="AQ61" s="109">
        <v>563.9</v>
      </c>
      <c r="AR61" s="40">
        <v>1080.8</v>
      </c>
      <c r="AS61" s="39">
        <v>1079.2</v>
      </c>
      <c r="AT61" s="39">
        <v>1091.0999999999999</v>
      </c>
      <c r="AU61" s="39">
        <v>1099.5999999999999</v>
      </c>
      <c r="AV61" s="39">
        <v>1100.7</v>
      </c>
      <c r="AW61" s="39">
        <v>1110.7</v>
      </c>
      <c r="AX61" s="39">
        <v>1121.9000000000001</v>
      </c>
      <c r="AY61" s="39">
        <v>1127.7</v>
      </c>
      <c r="AZ61" s="39">
        <v>1126.3</v>
      </c>
      <c r="BA61" s="39">
        <v>1126.8</v>
      </c>
      <c r="BB61" s="39">
        <v>1125.0999999999999</v>
      </c>
      <c r="BC61" s="39">
        <v>1064</v>
      </c>
      <c r="BD61" s="109">
        <v>1101.9000000000001</v>
      </c>
      <c r="BE61" s="109">
        <v>1143.7</v>
      </c>
      <c r="BF61" s="40">
        <v>99.6</v>
      </c>
      <c r="BG61" s="39">
        <v>93.3</v>
      </c>
      <c r="BH61" s="39">
        <v>91.1</v>
      </c>
      <c r="BI61" s="39">
        <v>90.3</v>
      </c>
      <c r="BJ61" s="39">
        <v>87.8</v>
      </c>
      <c r="BK61" s="39">
        <v>85.2</v>
      </c>
      <c r="BL61" s="39">
        <v>84.9</v>
      </c>
      <c r="BM61" s="39">
        <v>84.6</v>
      </c>
      <c r="BN61" s="39">
        <v>83</v>
      </c>
      <c r="BO61" s="39">
        <v>85.8</v>
      </c>
      <c r="BP61" s="88">
        <v>86.9</v>
      </c>
      <c r="BQ61" s="39">
        <v>82.6</v>
      </c>
      <c r="BR61" s="109">
        <v>86.4</v>
      </c>
      <c r="BS61" s="109">
        <v>93.2</v>
      </c>
      <c r="BT61" s="40">
        <v>993.19999999999993</v>
      </c>
      <c r="BU61" s="39">
        <v>1000.9</v>
      </c>
      <c r="BV61" s="39">
        <v>1025.4000000000001</v>
      </c>
      <c r="BW61" s="39">
        <v>1042.5999999999999</v>
      </c>
      <c r="BX61" s="39">
        <v>1061.2</v>
      </c>
      <c r="BY61" s="39">
        <v>1073.8</v>
      </c>
      <c r="BZ61" s="39">
        <v>1095.7</v>
      </c>
      <c r="CA61" s="39">
        <v>1109.4000000000001</v>
      </c>
      <c r="CB61" s="39">
        <v>1121.8</v>
      </c>
      <c r="CC61" s="39">
        <v>1130</v>
      </c>
      <c r="CD61" s="39">
        <v>1144.7</v>
      </c>
      <c r="CE61">
        <v>1085.6999999999998</v>
      </c>
      <c r="CF61">
        <f>238.8+802.5</f>
        <v>1041.3</v>
      </c>
      <c r="CG61">
        <f>334.5+842.9</f>
        <v>1177.4000000000001</v>
      </c>
      <c r="CH61" s="40">
        <v>1112.9000000000001</v>
      </c>
      <c r="CI61" s="39">
        <v>1127.8</v>
      </c>
      <c r="CJ61" s="39">
        <v>1144</v>
      </c>
      <c r="CK61" s="39">
        <v>1156.3</v>
      </c>
      <c r="CL61" s="39">
        <v>1163</v>
      </c>
      <c r="CM61" s="39">
        <v>1180.3</v>
      </c>
      <c r="CN61" s="39">
        <v>1191.3</v>
      </c>
      <c r="CO61" s="39">
        <v>1221.0999999999999</v>
      </c>
      <c r="CP61" s="39">
        <v>1246.9000000000001</v>
      </c>
      <c r="CQ61" s="39">
        <v>1274.8</v>
      </c>
      <c r="CR61" s="39">
        <v>1296.0999999999999</v>
      </c>
      <c r="CS61" s="39">
        <v>1236.8</v>
      </c>
      <c r="CT61" s="39">
        <v>1228.9000000000001</v>
      </c>
      <c r="CU61" s="109">
        <v>1262.7</v>
      </c>
      <c r="CV61" s="40">
        <v>744.2</v>
      </c>
      <c r="CW61" s="39">
        <v>750.90000000000009</v>
      </c>
      <c r="CX61" s="39">
        <v>764.2</v>
      </c>
      <c r="CY61" s="39">
        <v>778.1</v>
      </c>
      <c r="CZ61" s="39">
        <v>784.40000000000009</v>
      </c>
      <c r="DA61" s="39">
        <v>792.6</v>
      </c>
      <c r="DB61" s="39">
        <v>800.19999999999993</v>
      </c>
      <c r="DC61" s="39">
        <v>815.7</v>
      </c>
      <c r="DD61" s="39">
        <v>827.90000000000009</v>
      </c>
      <c r="DE61" s="39">
        <v>832</v>
      </c>
      <c r="DF61" s="39">
        <v>839.3</v>
      </c>
      <c r="DG61" s="39">
        <v>646.70000000000005</v>
      </c>
      <c r="DH61" s="39">
        <f>478.4+236.2</f>
        <v>714.59999999999991</v>
      </c>
      <c r="DI61" s="39">
        <f>537.3+249.7</f>
        <v>787</v>
      </c>
      <c r="DJ61" s="40">
        <v>768.2</v>
      </c>
      <c r="DK61" s="39">
        <v>770.6</v>
      </c>
      <c r="DL61" s="39">
        <v>751.4</v>
      </c>
      <c r="DM61" s="39">
        <v>732.3</v>
      </c>
      <c r="DN61" s="39">
        <v>720.7</v>
      </c>
      <c r="DO61" s="39">
        <v>711.9</v>
      </c>
      <c r="DP61" s="39">
        <v>704.7</v>
      </c>
      <c r="DQ61" s="39">
        <v>703.9</v>
      </c>
      <c r="DR61" s="39">
        <v>703</v>
      </c>
      <c r="DS61" s="39">
        <v>702.9</v>
      </c>
      <c r="DT61" s="88">
        <v>706.5</v>
      </c>
      <c r="DU61" s="88">
        <v>685</v>
      </c>
      <c r="DV61" s="88">
        <v>676.4</v>
      </c>
      <c r="DW61" s="88">
        <v>678.4</v>
      </c>
    </row>
    <row r="62" spans="1:127" ht="14.45">
      <c r="A62" s="20" t="s">
        <v>68</v>
      </c>
      <c r="B62" s="39">
        <v>459.4</v>
      </c>
      <c r="C62" s="39">
        <v>458</v>
      </c>
      <c r="D62" s="39">
        <v>460.5</v>
      </c>
      <c r="E62" s="39">
        <v>465.4</v>
      </c>
      <c r="F62" s="39">
        <v>471.5</v>
      </c>
      <c r="G62" s="39">
        <v>477.3</v>
      </c>
      <c r="H62" s="39">
        <v>485.3</v>
      </c>
      <c r="I62" s="39">
        <v>490</v>
      </c>
      <c r="J62" s="39">
        <v>494.1</v>
      </c>
      <c r="K62" s="39">
        <v>496.1</v>
      </c>
      <c r="L62" s="88">
        <v>503.6</v>
      </c>
      <c r="M62" s="88">
        <v>459.5</v>
      </c>
      <c r="N62" s="88">
        <v>479.5</v>
      </c>
      <c r="O62" s="88">
        <v>496.4</v>
      </c>
      <c r="P62" s="40">
        <v>17.399999999999999</v>
      </c>
      <c r="Q62" s="39">
        <v>16.100000000000001</v>
      </c>
      <c r="R62" s="39">
        <v>15.899999999999999</v>
      </c>
      <c r="S62" s="39">
        <v>16.2</v>
      </c>
      <c r="T62" s="39">
        <v>16.3</v>
      </c>
      <c r="U62" s="39">
        <v>16.7</v>
      </c>
      <c r="V62" s="39">
        <v>17.2</v>
      </c>
      <c r="W62" s="39">
        <v>18.399999999999999</v>
      </c>
      <c r="X62" s="39">
        <v>18.599999999999998</v>
      </c>
      <c r="Y62" s="39">
        <v>19.399999999999999</v>
      </c>
      <c r="Z62" s="39">
        <v>20.2</v>
      </c>
      <c r="AA62" s="39">
        <v>19.099999999999998</v>
      </c>
      <c r="AB62" s="39">
        <f>0.2+20</f>
        <v>20.2</v>
      </c>
      <c r="AC62" s="39">
        <f>0.2+21.2</f>
        <v>21.4</v>
      </c>
      <c r="AD62" s="40">
        <v>41.8</v>
      </c>
      <c r="AE62" s="39">
        <v>40.4</v>
      </c>
      <c r="AF62" s="39">
        <v>40.1</v>
      </c>
      <c r="AG62" s="39">
        <v>39.6</v>
      </c>
      <c r="AH62" s="39">
        <v>40</v>
      </c>
      <c r="AI62" s="39">
        <v>40.9</v>
      </c>
      <c r="AJ62" s="39">
        <v>41.1</v>
      </c>
      <c r="AK62" s="39">
        <v>40.4</v>
      </c>
      <c r="AL62" s="39">
        <v>40.5</v>
      </c>
      <c r="AM62" s="39">
        <v>40.299999999999997</v>
      </c>
      <c r="AN62" s="39">
        <v>39.700000000000003</v>
      </c>
      <c r="AO62" s="39">
        <v>37.4</v>
      </c>
      <c r="AP62" s="109">
        <v>39.1</v>
      </c>
      <c r="AQ62" s="109">
        <v>40.200000000000003</v>
      </c>
      <c r="AR62" s="40">
        <v>73.3</v>
      </c>
      <c r="AS62" s="39">
        <v>72.7</v>
      </c>
      <c r="AT62" s="39">
        <v>73.900000000000006</v>
      </c>
      <c r="AU62" s="39">
        <v>74.599999999999994</v>
      </c>
      <c r="AV62" s="39">
        <v>74.099999999999994</v>
      </c>
      <c r="AW62" s="39">
        <v>74.900000000000006</v>
      </c>
      <c r="AX62" s="39">
        <v>76.400000000000006</v>
      </c>
      <c r="AY62" s="39">
        <v>76.400000000000006</v>
      </c>
      <c r="AZ62" s="39">
        <v>76.599999999999994</v>
      </c>
      <c r="BA62" s="39">
        <v>77.400000000000006</v>
      </c>
      <c r="BB62" s="39">
        <v>77.3</v>
      </c>
      <c r="BC62" s="39">
        <v>71</v>
      </c>
      <c r="BD62" s="109">
        <v>75.099999999999994</v>
      </c>
      <c r="BE62" s="109">
        <v>76.900000000000006</v>
      </c>
      <c r="BF62" s="40">
        <v>10.1</v>
      </c>
      <c r="BG62" s="39">
        <v>10</v>
      </c>
      <c r="BH62" s="39">
        <v>10.1</v>
      </c>
      <c r="BI62" s="39">
        <v>9.6</v>
      </c>
      <c r="BJ62" s="39">
        <v>9</v>
      </c>
      <c r="BK62" s="39">
        <v>8.9</v>
      </c>
      <c r="BL62" s="39">
        <v>8.6</v>
      </c>
      <c r="BM62" s="39">
        <v>8</v>
      </c>
      <c r="BN62" s="39">
        <v>6.2</v>
      </c>
      <c r="BO62" s="39">
        <v>5.9</v>
      </c>
      <c r="BP62" s="88">
        <v>5.9</v>
      </c>
      <c r="BQ62" s="39">
        <v>5.2</v>
      </c>
      <c r="BR62" s="109">
        <v>5.4</v>
      </c>
      <c r="BS62" s="109">
        <v>5.7</v>
      </c>
      <c r="BT62" s="40">
        <v>83.7</v>
      </c>
      <c r="BU62" s="39">
        <v>84.1</v>
      </c>
      <c r="BV62" s="39">
        <v>85.1</v>
      </c>
      <c r="BW62" s="39">
        <v>87.7</v>
      </c>
      <c r="BX62" s="39">
        <v>91</v>
      </c>
      <c r="BY62" s="39">
        <v>93</v>
      </c>
      <c r="BZ62" s="39">
        <v>96.800000000000011</v>
      </c>
      <c r="CA62" s="39">
        <v>99.1</v>
      </c>
      <c r="CB62" s="39">
        <v>103.6</v>
      </c>
      <c r="CC62" s="39">
        <v>103.9</v>
      </c>
      <c r="CD62" s="39">
        <v>103.5</v>
      </c>
      <c r="CE62">
        <v>99.5</v>
      </c>
      <c r="CF62">
        <f>33.9+68.3</f>
        <v>102.19999999999999</v>
      </c>
      <c r="CG62">
        <f>35.1+69.8</f>
        <v>104.9</v>
      </c>
      <c r="CH62" s="40">
        <v>100</v>
      </c>
      <c r="CI62" s="39">
        <v>101.4</v>
      </c>
      <c r="CJ62" s="39">
        <v>102.3</v>
      </c>
      <c r="CK62" s="39">
        <v>103.3</v>
      </c>
      <c r="CL62" s="39">
        <v>104.6</v>
      </c>
      <c r="CM62" s="39">
        <v>105</v>
      </c>
      <c r="CN62" s="39">
        <v>105.7</v>
      </c>
      <c r="CO62" s="39">
        <v>106.4</v>
      </c>
      <c r="CP62" s="39">
        <v>106.9</v>
      </c>
      <c r="CQ62" s="39">
        <v>106.5</v>
      </c>
      <c r="CR62" s="39">
        <v>108.8</v>
      </c>
      <c r="CS62" s="39">
        <v>100.3</v>
      </c>
      <c r="CT62" s="39">
        <v>102.6</v>
      </c>
      <c r="CU62" s="109">
        <v>104.6</v>
      </c>
      <c r="CV62" s="40">
        <v>71.099999999999994</v>
      </c>
      <c r="CW62" s="39">
        <v>71.599999999999994</v>
      </c>
      <c r="CX62" s="39">
        <v>72.5</v>
      </c>
      <c r="CY62" s="39">
        <v>74.400000000000006</v>
      </c>
      <c r="CZ62" s="39">
        <v>76.2</v>
      </c>
      <c r="DA62" s="39">
        <v>77.900000000000006</v>
      </c>
      <c r="DB62" s="39">
        <v>79.3</v>
      </c>
      <c r="DC62" s="39">
        <v>80.900000000000006</v>
      </c>
      <c r="DD62" s="39">
        <v>81.2</v>
      </c>
      <c r="DE62" s="39">
        <v>81.800000000000011</v>
      </c>
      <c r="DF62" s="39">
        <v>83</v>
      </c>
      <c r="DG62" s="39">
        <v>63.8</v>
      </c>
      <c r="DH62" s="39">
        <f>51.4+20.5</f>
        <v>71.900000000000006</v>
      </c>
      <c r="DI62" s="39">
        <f>56.9+24.5</f>
        <v>81.400000000000006</v>
      </c>
      <c r="DJ62" s="40">
        <v>62.1</v>
      </c>
      <c r="DK62" s="39">
        <v>61.7</v>
      </c>
      <c r="DL62" s="39">
        <v>60.6</v>
      </c>
      <c r="DM62" s="39">
        <v>60.1</v>
      </c>
      <c r="DN62" s="39">
        <v>60.2</v>
      </c>
      <c r="DO62" s="39">
        <v>60.1</v>
      </c>
      <c r="DP62" s="39">
        <v>60.2</v>
      </c>
      <c r="DQ62" s="39">
        <v>60.5</v>
      </c>
      <c r="DR62" s="39">
        <v>60.6</v>
      </c>
      <c r="DS62" s="39">
        <v>61</v>
      </c>
      <c r="DT62" s="88">
        <v>65.3</v>
      </c>
      <c r="DU62" s="88">
        <v>63.2</v>
      </c>
      <c r="DV62" s="88">
        <v>63</v>
      </c>
      <c r="DW62" s="88">
        <v>63.7</v>
      </c>
    </row>
    <row r="63" spans="1:127" ht="14.45">
      <c r="A63" s="20" t="s">
        <v>69</v>
      </c>
      <c r="B63" s="39">
        <v>297.2</v>
      </c>
      <c r="C63" s="39">
        <v>298</v>
      </c>
      <c r="D63" s="39">
        <v>300.7</v>
      </c>
      <c r="E63" s="39">
        <v>304.5</v>
      </c>
      <c r="F63" s="39">
        <v>306.60000000000002</v>
      </c>
      <c r="G63" s="39">
        <v>309.89999999999998</v>
      </c>
      <c r="H63" s="39">
        <v>312.10000000000002</v>
      </c>
      <c r="I63" s="39">
        <v>313.10000000000002</v>
      </c>
      <c r="J63" s="39">
        <v>314.10000000000002</v>
      </c>
      <c r="K63" s="39">
        <v>315.5</v>
      </c>
      <c r="L63" s="88">
        <v>316.10000000000002</v>
      </c>
      <c r="M63" s="88">
        <v>286.8</v>
      </c>
      <c r="N63" s="88">
        <v>294.7</v>
      </c>
      <c r="O63" s="88">
        <v>303.7</v>
      </c>
      <c r="P63" s="40">
        <v>14.600000000000001</v>
      </c>
      <c r="Q63" s="39">
        <v>14.3</v>
      </c>
      <c r="R63" s="39">
        <v>14.9</v>
      </c>
      <c r="S63" s="39">
        <v>15</v>
      </c>
      <c r="T63" s="39">
        <v>14.9</v>
      </c>
      <c r="U63" s="39">
        <v>15.5</v>
      </c>
      <c r="V63" s="39">
        <v>15.9</v>
      </c>
      <c r="W63" s="39">
        <v>16.100000000000001</v>
      </c>
      <c r="X63" s="39">
        <v>16</v>
      </c>
      <c r="Y63" s="39">
        <v>15.9</v>
      </c>
      <c r="Z63" s="39">
        <v>16.100000000000001</v>
      </c>
      <c r="AA63" s="39">
        <v>14.9</v>
      </c>
      <c r="AB63" s="39">
        <f>0.8+15.1</f>
        <v>15.9</v>
      </c>
      <c r="AC63" s="39">
        <f>0.8+15.5</f>
        <v>16.3</v>
      </c>
      <c r="AD63" s="40">
        <v>31.2</v>
      </c>
      <c r="AE63" s="39">
        <v>30.6</v>
      </c>
      <c r="AF63" s="39">
        <v>31.1</v>
      </c>
      <c r="AG63" s="39">
        <v>31.8</v>
      </c>
      <c r="AH63" s="39">
        <v>31.8</v>
      </c>
      <c r="AI63" s="39">
        <v>31.2</v>
      </c>
      <c r="AJ63" s="39">
        <v>30.9</v>
      </c>
      <c r="AK63" s="39">
        <v>29.9</v>
      </c>
      <c r="AL63" s="39">
        <v>29.4</v>
      </c>
      <c r="AM63" s="39">
        <v>29.8</v>
      </c>
      <c r="AN63" s="39">
        <v>30</v>
      </c>
      <c r="AO63" s="39">
        <v>28.1</v>
      </c>
      <c r="AP63" s="109">
        <v>28.7</v>
      </c>
      <c r="AQ63" s="109">
        <v>29.1</v>
      </c>
      <c r="AR63" s="40">
        <v>56.1</v>
      </c>
      <c r="AS63" s="39">
        <v>55.9</v>
      </c>
      <c r="AT63" s="39">
        <v>55.9</v>
      </c>
      <c r="AU63" s="39">
        <v>55.5</v>
      </c>
      <c r="AV63" s="39">
        <v>55.5</v>
      </c>
      <c r="AW63" s="39">
        <v>55.8</v>
      </c>
      <c r="AX63" s="39">
        <v>55.5</v>
      </c>
      <c r="AY63" s="39">
        <v>55.5</v>
      </c>
      <c r="AZ63" s="39">
        <v>55.1</v>
      </c>
      <c r="BA63" s="39">
        <v>54.3</v>
      </c>
      <c r="BB63" s="39">
        <v>53.9</v>
      </c>
      <c r="BC63" s="39">
        <v>50</v>
      </c>
      <c r="BD63" s="109">
        <v>51.4</v>
      </c>
      <c r="BE63" s="109">
        <v>51.8</v>
      </c>
      <c r="BF63" s="40">
        <v>5.5</v>
      </c>
      <c r="BG63" s="39">
        <v>5.4</v>
      </c>
      <c r="BH63" s="39">
        <v>5</v>
      </c>
      <c r="BI63" s="39">
        <v>4.7</v>
      </c>
      <c r="BJ63" s="39">
        <v>4.7</v>
      </c>
      <c r="BK63" s="39">
        <v>4.8</v>
      </c>
      <c r="BL63" s="39">
        <v>4.7</v>
      </c>
      <c r="BM63" s="39">
        <v>4.5999999999999996</v>
      </c>
      <c r="BN63" s="39">
        <v>4.5</v>
      </c>
      <c r="BO63" s="39">
        <v>4.3</v>
      </c>
      <c r="BP63" s="88">
        <v>4.3</v>
      </c>
      <c r="BQ63" s="39">
        <v>4</v>
      </c>
      <c r="BR63" s="109">
        <v>4</v>
      </c>
      <c r="BS63" s="109">
        <v>4.4000000000000004</v>
      </c>
      <c r="BT63" s="40">
        <v>34.700000000000003</v>
      </c>
      <c r="BU63" s="39">
        <v>35.599999999999994</v>
      </c>
      <c r="BV63" s="39">
        <v>37</v>
      </c>
      <c r="BW63" s="39">
        <v>38</v>
      </c>
      <c r="BX63" s="39">
        <v>38.4</v>
      </c>
      <c r="BY63" s="39">
        <v>38.700000000000003</v>
      </c>
      <c r="BZ63" s="39">
        <v>39.5</v>
      </c>
      <c r="CA63" s="39">
        <v>39.700000000000003</v>
      </c>
      <c r="CB63" s="39">
        <v>40.5</v>
      </c>
      <c r="CC63" s="39">
        <v>41</v>
      </c>
      <c r="CD63" s="39">
        <v>41.599999999999994</v>
      </c>
      <c r="CE63">
        <v>40.6</v>
      </c>
      <c r="CF63">
        <f>11.9+30.2</f>
        <v>42.1</v>
      </c>
      <c r="CG63">
        <f>12.1+32</f>
        <v>44.1</v>
      </c>
      <c r="CH63" s="40">
        <v>59.3</v>
      </c>
      <c r="CI63" s="39">
        <v>59.1</v>
      </c>
      <c r="CJ63" s="39">
        <v>59.5</v>
      </c>
      <c r="CK63" s="39">
        <v>60.7</v>
      </c>
      <c r="CL63" s="39">
        <v>61.7</v>
      </c>
      <c r="CM63" s="39">
        <v>62.5</v>
      </c>
      <c r="CN63" s="39">
        <v>63.5</v>
      </c>
      <c r="CO63" s="39">
        <v>64.400000000000006</v>
      </c>
      <c r="CP63" s="39">
        <v>65.599999999999994</v>
      </c>
      <c r="CQ63" s="39">
        <v>66.099999999999994</v>
      </c>
      <c r="CR63" s="39">
        <v>65.900000000000006</v>
      </c>
      <c r="CS63" s="39">
        <v>61.4</v>
      </c>
      <c r="CT63" s="39">
        <v>61</v>
      </c>
      <c r="CU63" s="109">
        <v>61.6</v>
      </c>
      <c r="CV63" s="40">
        <v>41.5</v>
      </c>
      <c r="CW63" s="39">
        <v>42.3</v>
      </c>
      <c r="CX63" s="39">
        <v>42.6</v>
      </c>
      <c r="CY63" s="39">
        <v>43.6</v>
      </c>
      <c r="CZ63" s="39">
        <v>44.4</v>
      </c>
      <c r="DA63" s="39">
        <v>45.599999999999994</v>
      </c>
      <c r="DB63" s="39">
        <v>46.400000000000006</v>
      </c>
      <c r="DC63" s="39">
        <v>47</v>
      </c>
      <c r="DD63" s="39">
        <v>47.4</v>
      </c>
      <c r="DE63" s="39">
        <v>47.7</v>
      </c>
      <c r="DF63" s="39">
        <v>47.7</v>
      </c>
      <c r="DG63" s="39">
        <v>35.099999999999994</v>
      </c>
      <c r="DH63" s="39">
        <f>29.5+9.5</f>
        <v>39</v>
      </c>
      <c r="DI63" s="39">
        <f>32.8+9.9</f>
        <v>42.699999999999996</v>
      </c>
      <c r="DJ63" s="40">
        <v>54.6</v>
      </c>
      <c r="DK63" s="39">
        <v>54.9</v>
      </c>
      <c r="DL63" s="39">
        <v>54.9</v>
      </c>
      <c r="DM63" s="39">
        <v>55.2</v>
      </c>
      <c r="DN63" s="39">
        <v>55.3</v>
      </c>
      <c r="DO63" s="39">
        <v>55.9</v>
      </c>
      <c r="DP63" s="39">
        <v>55.8</v>
      </c>
      <c r="DQ63" s="39">
        <v>55.9</v>
      </c>
      <c r="DR63" s="39">
        <v>55.7</v>
      </c>
      <c r="DS63" s="39">
        <v>56.4</v>
      </c>
      <c r="DT63" s="88">
        <v>56.7</v>
      </c>
      <c r="DU63" s="88">
        <v>52.8</v>
      </c>
      <c r="DV63" s="88">
        <v>52.5</v>
      </c>
      <c r="DW63" s="88">
        <v>53.6</v>
      </c>
    </row>
    <row r="64" spans="1:127" ht="14.45">
      <c r="A64" s="41" t="s">
        <v>70</v>
      </c>
      <c r="B64" s="42">
        <v>701.6</v>
      </c>
      <c r="C64" s="42">
        <v>712.1</v>
      </c>
      <c r="D64" s="42">
        <v>726.2</v>
      </c>
      <c r="E64" s="42">
        <v>734.8</v>
      </c>
      <c r="F64" s="42">
        <v>748.3</v>
      </c>
      <c r="G64" s="42">
        <v>753.8</v>
      </c>
      <c r="H64" s="42">
        <v>769.2</v>
      </c>
      <c r="I64" s="42">
        <v>782.2</v>
      </c>
      <c r="J64" s="42">
        <v>790.4</v>
      </c>
      <c r="K64" s="42">
        <v>792.2</v>
      </c>
      <c r="L64" s="88">
        <v>798.3</v>
      </c>
      <c r="M64" s="88">
        <v>747.2</v>
      </c>
      <c r="N64" s="88">
        <v>737.2</v>
      </c>
      <c r="O64" s="88">
        <v>764.4</v>
      </c>
      <c r="P64" s="43">
        <v>11.6</v>
      </c>
      <c r="Q64" s="42">
        <v>10.6</v>
      </c>
      <c r="R64" s="42">
        <v>12.1</v>
      </c>
      <c r="S64" s="42">
        <v>13.6</v>
      </c>
      <c r="T64" s="42">
        <v>14</v>
      </c>
      <c r="U64" s="42">
        <v>14.3</v>
      </c>
      <c r="V64" s="42">
        <v>14.6</v>
      </c>
      <c r="W64" s="42">
        <v>15.2</v>
      </c>
      <c r="X64" s="42">
        <v>15.4</v>
      </c>
      <c r="Y64" s="42">
        <v>15.7</v>
      </c>
      <c r="Z64" s="42">
        <v>14.9</v>
      </c>
      <c r="AA64" s="42">
        <v>15.1</v>
      </c>
      <c r="AB64" s="42">
        <v>15.1</v>
      </c>
      <c r="AC64" s="42">
        <v>15.3</v>
      </c>
      <c r="AD64" s="43">
        <v>1.3</v>
      </c>
      <c r="AE64" s="42">
        <v>1.1000000000000001</v>
      </c>
      <c r="AF64" s="42">
        <v>1.1000000000000001</v>
      </c>
      <c r="AG64" s="42">
        <v>1</v>
      </c>
      <c r="AH64" s="42">
        <v>1</v>
      </c>
      <c r="AI64" s="42">
        <v>1</v>
      </c>
      <c r="AJ64" s="42">
        <v>1.1000000000000001</v>
      </c>
      <c r="AK64" s="42">
        <v>1.2</v>
      </c>
      <c r="AL64" s="42">
        <v>1.3</v>
      </c>
      <c r="AM64" s="42">
        <v>1.3</v>
      </c>
      <c r="AN64" s="42">
        <v>1.4</v>
      </c>
      <c r="AO64" s="42">
        <v>1</v>
      </c>
      <c r="AP64" s="109">
        <v>1.1000000000000001</v>
      </c>
      <c r="AQ64" s="109">
        <v>1</v>
      </c>
      <c r="AR64" s="43">
        <v>26.8</v>
      </c>
      <c r="AS64" s="42">
        <v>27.3</v>
      </c>
      <c r="AT64" s="42">
        <v>27.4</v>
      </c>
      <c r="AU64" s="42">
        <v>28.1</v>
      </c>
      <c r="AV64" s="42">
        <v>29.1</v>
      </c>
      <c r="AW64" s="42">
        <v>30.7</v>
      </c>
      <c r="AX64" s="42">
        <v>32.200000000000003</v>
      </c>
      <c r="AY64" s="42">
        <v>32.5</v>
      </c>
      <c r="AZ64" s="42">
        <v>33.4</v>
      </c>
      <c r="BA64" s="42">
        <v>33.200000000000003</v>
      </c>
      <c r="BB64" s="42">
        <v>33.200000000000003</v>
      </c>
      <c r="BC64" s="42">
        <v>29.2</v>
      </c>
      <c r="BD64" s="109">
        <v>29.1</v>
      </c>
      <c r="BE64" s="109">
        <v>30.4</v>
      </c>
      <c r="BF64" s="43">
        <v>19.100000000000001</v>
      </c>
      <c r="BG64" s="42">
        <v>18.7</v>
      </c>
      <c r="BH64" s="42">
        <v>18.3</v>
      </c>
      <c r="BI64" s="42">
        <v>17.5</v>
      </c>
      <c r="BJ64" s="42">
        <v>17</v>
      </c>
      <c r="BK64" s="42">
        <v>17.2</v>
      </c>
      <c r="BL64" s="42">
        <v>17.2</v>
      </c>
      <c r="BM64" s="42">
        <v>17</v>
      </c>
      <c r="BN64" s="42">
        <v>17.899999999999999</v>
      </c>
      <c r="BO64" s="42">
        <v>19.3</v>
      </c>
      <c r="BP64" s="88">
        <v>20.100000000000001</v>
      </c>
      <c r="BQ64" s="42">
        <v>19.8</v>
      </c>
      <c r="BR64" s="109">
        <v>19.8</v>
      </c>
      <c r="BS64" s="109">
        <v>20.8</v>
      </c>
      <c r="BT64" s="43">
        <v>174.5</v>
      </c>
      <c r="BU64" s="42">
        <v>174.6</v>
      </c>
      <c r="BV64" s="42">
        <v>178</v>
      </c>
      <c r="BW64" s="42">
        <v>182.29999999999998</v>
      </c>
      <c r="BX64" s="42">
        <v>184.9</v>
      </c>
      <c r="BY64" s="42">
        <v>188.10000000000002</v>
      </c>
      <c r="BZ64" s="42">
        <v>191.70000000000002</v>
      </c>
      <c r="CA64" s="42">
        <v>195.6</v>
      </c>
      <c r="CB64" s="42">
        <v>196.6</v>
      </c>
      <c r="CC64" s="42">
        <v>197.39999999999998</v>
      </c>
      <c r="CD64" s="42">
        <v>200.9</v>
      </c>
      <c r="CE64">
        <v>195.9</v>
      </c>
      <c r="CF64">
        <f>27.3+166.8</f>
        <v>194.10000000000002</v>
      </c>
      <c r="CG64">
        <f>27.6+174</f>
        <v>201.6</v>
      </c>
      <c r="CH64" s="43">
        <v>105</v>
      </c>
      <c r="CI64" s="42">
        <v>107.9</v>
      </c>
      <c r="CJ64" s="42">
        <v>112.9</v>
      </c>
      <c r="CK64" s="42">
        <v>115.7</v>
      </c>
      <c r="CL64" s="42">
        <v>124.8</v>
      </c>
      <c r="CM64" s="42">
        <v>127.4</v>
      </c>
      <c r="CN64" s="42">
        <v>130.6</v>
      </c>
      <c r="CO64" s="42">
        <v>134.30000000000001</v>
      </c>
      <c r="CP64" s="42">
        <v>134.69999999999999</v>
      </c>
      <c r="CQ64" s="42">
        <v>130.80000000000001</v>
      </c>
      <c r="CR64" s="42">
        <v>130.19999999999999</v>
      </c>
      <c r="CS64" s="42">
        <v>125</v>
      </c>
      <c r="CT64" s="42">
        <v>120.6</v>
      </c>
      <c r="CU64" s="109">
        <v>122.1</v>
      </c>
      <c r="CV64" s="43">
        <v>123</v>
      </c>
      <c r="CW64" s="42">
        <v>125.10000000000001</v>
      </c>
      <c r="CX64" s="42">
        <v>129.30000000000001</v>
      </c>
      <c r="CY64" s="42">
        <v>133.60000000000002</v>
      </c>
      <c r="CZ64" s="42">
        <v>137.10000000000002</v>
      </c>
      <c r="DA64" s="42">
        <v>140.19999999999999</v>
      </c>
      <c r="DB64" s="42">
        <v>144.19999999999999</v>
      </c>
      <c r="DC64" s="42">
        <v>147.19999999999999</v>
      </c>
      <c r="DD64" s="42">
        <v>150.60000000000002</v>
      </c>
      <c r="DE64" s="42">
        <v>156</v>
      </c>
      <c r="DF64" s="42">
        <v>159.19999999999999</v>
      </c>
      <c r="DG64" s="42">
        <v>121.2</v>
      </c>
      <c r="DH64" s="42">
        <f>49.7+66.4</f>
        <v>116.10000000000001</v>
      </c>
      <c r="DI64" s="42">
        <f>68+67</f>
        <v>135</v>
      </c>
      <c r="DJ64" s="43">
        <v>240.3</v>
      </c>
      <c r="DK64" s="42">
        <v>246.9</v>
      </c>
      <c r="DL64" s="42">
        <v>247.1</v>
      </c>
      <c r="DM64" s="42">
        <v>243.1</v>
      </c>
      <c r="DN64" s="42">
        <v>240.4</v>
      </c>
      <c r="DO64" s="42">
        <v>234.9</v>
      </c>
      <c r="DP64" s="42">
        <v>237.9</v>
      </c>
      <c r="DQ64" s="42">
        <v>239.4</v>
      </c>
      <c r="DR64" s="42">
        <v>240.5</v>
      </c>
      <c r="DS64" s="42">
        <v>238.5</v>
      </c>
      <c r="DT64" s="88">
        <v>238.5</v>
      </c>
      <c r="DU64" s="88">
        <v>240.2</v>
      </c>
      <c r="DV64" s="88">
        <v>241.5</v>
      </c>
      <c r="DW64" s="88">
        <v>238.2</v>
      </c>
    </row>
    <row r="65" spans="1:127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117" t="s">
        <v>94</v>
      </c>
      <c r="O65" s="117"/>
      <c r="AB65" s="118" t="s">
        <v>94</v>
      </c>
      <c r="AC65" s="118"/>
      <c r="AP65" s="114" t="s">
        <v>94</v>
      </c>
      <c r="AQ65" s="114"/>
      <c r="BD65" s="114" t="s">
        <v>94</v>
      </c>
      <c r="BE65" s="114"/>
      <c r="BR65" s="114" t="s">
        <v>94</v>
      </c>
      <c r="BS65" s="114"/>
      <c r="CF65" s="114" t="s">
        <v>94</v>
      </c>
      <c r="CG65" s="114"/>
      <c r="CT65" s="114" t="s">
        <v>94</v>
      </c>
      <c r="CU65" s="114"/>
      <c r="DH65" s="118" t="s">
        <v>94</v>
      </c>
      <c r="DI65" s="118"/>
      <c r="DV65" s="114" t="s">
        <v>94</v>
      </c>
      <c r="DW65" s="114"/>
    </row>
    <row r="66" spans="1:127" ht="237.95" customHeight="1">
      <c r="A66" s="33" t="s">
        <v>95</v>
      </c>
      <c r="B66" s="21" t="s">
        <v>96</v>
      </c>
      <c r="N66" s="116" t="s">
        <v>97</v>
      </c>
      <c r="O66" s="116"/>
      <c r="AB66" s="114" t="s">
        <v>97</v>
      </c>
      <c r="AC66" s="114"/>
      <c r="AP66" s="114" t="s">
        <v>97</v>
      </c>
      <c r="AQ66" s="114"/>
      <c r="BD66" s="116" t="s">
        <v>97</v>
      </c>
      <c r="BE66" s="116"/>
      <c r="BR66" s="114" t="s">
        <v>97</v>
      </c>
      <c r="BS66" s="114"/>
      <c r="CF66" s="114" t="s">
        <v>97</v>
      </c>
      <c r="CG66" s="114"/>
      <c r="CT66" s="114" t="s">
        <v>97</v>
      </c>
      <c r="CU66" s="114"/>
      <c r="DH66" s="115" t="s">
        <v>98</v>
      </c>
      <c r="DI66" s="115"/>
      <c r="DV66" s="114" t="s">
        <v>98</v>
      </c>
      <c r="DW66" s="114"/>
    </row>
    <row r="67" spans="1:127">
      <c r="B67" s="31" t="s">
        <v>99</v>
      </c>
    </row>
    <row r="68" spans="1:127">
      <c r="B68" s="2" t="s">
        <v>100</v>
      </c>
    </row>
    <row r="69" spans="1:127">
      <c r="A69" s="21"/>
    </row>
    <row r="70" spans="1:127">
      <c r="B70" s="21" t="s">
        <v>101</v>
      </c>
    </row>
    <row r="71" spans="1:127">
      <c r="B71" s="21" t="s">
        <v>102</v>
      </c>
    </row>
    <row r="72" spans="1:127">
      <c r="B72" s="31" t="s">
        <v>103</v>
      </c>
    </row>
    <row r="74" spans="1:127">
      <c r="A74" s="84" t="s">
        <v>104</v>
      </c>
    </row>
  </sheetData>
  <sortState xmlns:xlrd2="http://schemas.microsoft.com/office/spreadsheetml/2017/richdata2" ref="A5:FL64">
    <sortCondition ref="A64"/>
  </sortState>
  <mergeCells count="18">
    <mergeCell ref="DV66:DW66"/>
    <mergeCell ref="DV65:DW65"/>
    <mergeCell ref="AB66:AC66"/>
    <mergeCell ref="N66:O66"/>
    <mergeCell ref="N65:O65"/>
    <mergeCell ref="AB65:AC65"/>
    <mergeCell ref="AP65:AQ65"/>
    <mergeCell ref="AP66:AQ66"/>
    <mergeCell ref="BD65:BE65"/>
    <mergeCell ref="DH66:DI66"/>
    <mergeCell ref="CT66:CU66"/>
    <mergeCell ref="CF66:CG66"/>
    <mergeCell ref="BR66:BS66"/>
    <mergeCell ref="BD66:BE66"/>
    <mergeCell ref="BR65:BS65"/>
    <mergeCell ref="CF65:CG65"/>
    <mergeCell ref="CT65:CU65"/>
    <mergeCell ref="DH65:DI65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861523-2EC8-4F72-8ABC-4466F04DF6BF}"/>
</file>

<file path=customXml/itemProps2.xml><?xml version="1.0" encoding="utf-8"?>
<ds:datastoreItem xmlns:ds="http://schemas.openxmlformats.org/officeDocument/2006/customXml" ds:itemID="{B075C6FA-E696-48AC-8F46-839726D817A5}"/>
</file>

<file path=customXml/itemProps3.xml><?xml version="1.0" encoding="utf-8"?>
<ds:datastoreItem xmlns:ds="http://schemas.openxmlformats.org/officeDocument/2006/customXml" ds:itemID="{1C3FDDE2-5F7A-4EDE-970F-D92510A30C7C}"/>
</file>

<file path=docMetadata/LabelInfo.xml><?xml version="1.0" encoding="utf-8"?>
<clbl:labelList xmlns:clbl="http://schemas.microsoft.com/office/2020/mipLabelMetadata">
  <clbl:label id="{00260771-a9fd-4aa8-a138-a40ac53a5467}" enabled="1" method="Standar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2000-03-02T15:04:17Z</dcterms:created>
  <dcterms:modified xsi:type="dcterms:W3CDTF">2024-09-06T17:37:48Z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2018-09-18T19:51:04.2146114Z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