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mc:AlternateContent xmlns:mc="http://schemas.openxmlformats.org/markup-compatibility/2006">
    <mc:Choice Requires="x15">
      <x15ac:absPath xmlns:x15ac="http://schemas.microsoft.com/office/spreadsheetml/2010/11/ac" url="https://appriver3651005261-my.sharepoint.com/personal/athanasia_platis_sreb_org/Documents/InEdit_Tables/"/>
    </mc:Choice>
  </mc:AlternateContent>
  <xr:revisionPtr revIDLastSave="918" documentId="8_{BC978EC0-9945-4833-B6DF-09770719E8D4}" xr6:coauthVersionLast="47" xr6:coauthVersionMax="47" xr10:uidLastSave="{FBE524C4-C0A0-4295-98EE-90676E7FA5E9}"/>
  <bookViews>
    <workbookView xWindow="-28920" yWindow="-120" windowWidth="29040" windowHeight="15840" tabRatio="725" xr2:uid="{00000000-000D-0000-FFFF-FFFF00000000}"/>
  </bookViews>
  <sheets>
    <sheet name="TABLE 59" sheetId="12" r:id="rId1"/>
    <sheet name="Total 1st Prof" sheetId="4" r:id="rId2"/>
    <sheet name="Public" sheetId="5" r:id="rId3"/>
    <sheet name="Gender" sheetId="1" r:id="rId4"/>
    <sheet name="all race" sheetId="10" r:id="rId5"/>
    <sheet name="black" sheetId="7" r:id="rId6"/>
    <sheet name="Hispanic &amp; Non-resident" sheetId="6" r:id="rId7"/>
    <sheet name="Women as a percent of total" sheetId="11" r:id="rId8"/>
  </sheets>
  <externalReferences>
    <externalReference r:id="rId9"/>
  </externalReferences>
  <definedNames>
    <definedName name="__123Graph_A" localSheetId="0" hidden="1">Gender!#REF!</definedName>
    <definedName name="__123Graph_A" hidden="1">Gender!#REF!</definedName>
    <definedName name="__123Graph_LBL_A" localSheetId="0" hidden="1">Gender!#REF!</definedName>
    <definedName name="__123Graph_LBL_A" hidden="1">Gender!#REF!</definedName>
    <definedName name="__123Graph_X" localSheetId="0" hidden="1">Gender!#REF!</definedName>
    <definedName name="__123Graph_X" hidden="1">Gender!#REF!</definedName>
    <definedName name="_1__123Graph_APROF" localSheetId="0" hidden="1">Gender!#REF!</definedName>
    <definedName name="_1__123Graph_APROF" hidden="1">Gender!#REF!</definedName>
    <definedName name="_2__123Graph_APROF" localSheetId="0" hidden="1">Gender!#REF!</definedName>
    <definedName name="_2__123Graph_APROF" hidden="1">Gender!#REF!</definedName>
    <definedName name="_3__123Graph_LBL_APROF" localSheetId="0" hidden="1">Gender!#REF!</definedName>
    <definedName name="_3__123Graph_LBL_APROF" hidden="1">Gender!#REF!</definedName>
    <definedName name="_4__123Graph_LBL_APROF" localSheetId="0" hidden="1">Gender!#REF!</definedName>
    <definedName name="_4__123Graph_LBL_APROF" hidden="1">Gender!#REF!</definedName>
    <definedName name="_5__123Graph_XPROF" localSheetId="0" hidden="1">Gender!#REF!</definedName>
    <definedName name="_5__123Graph_XPROF" hidden="1">Gender!#REF!</definedName>
    <definedName name="_6__123Graph_XPROF" localSheetId="0" hidden="1">Gender!#REF!</definedName>
    <definedName name="_6__123Graph_XPROF" hidden="1">Gender!#REF!</definedName>
    <definedName name="_xlnm._FilterDatabase" localSheetId="0" hidden="1">'TABLE 59'!$A$8:$R$67</definedName>
    <definedName name="DATA" localSheetId="4">[1]Gender!#REF!</definedName>
    <definedName name="DATA" localSheetId="0">Gender!#REF!</definedName>
    <definedName name="DATA">Gender!#REF!</definedName>
    <definedName name="_xlnm.Print_Area" localSheetId="0">'TABLE 59'!$A$1:$P$72</definedName>
    <definedName name="TABLE" localSheetId="0">'TABLE 59'!$A$1:$F$71</definedName>
    <definedName name="TAB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9" i="12" l="1"/>
  <c r="N60" i="12"/>
  <c r="N61" i="12"/>
  <c r="N62" i="12"/>
  <c r="N63" i="12"/>
  <c r="N64" i="12"/>
  <c r="N65" i="12"/>
  <c r="N66" i="12"/>
  <c r="N67" i="12"/>
  <c r="N58" i="12"/>
  <c r="N45" i="12"/>
  <c r="N46" i="12"/>
  <c r="N47" i="12"/>
  <c r="N48" i="12"/>
  <c r="N49" i="12"/>
  <c r="N50" i="12"/>
  <c r="N51" i="12"/>
  <c r="N52" i="12"/>
  <c r="N53" i="12"/>
  <c r="N54" i="12"/>
  <c r="N55" i="12"/>
  <c r="N56" i="12"/>
  <c r="N44" i="12"/>
  <c r="N31" i="12"/>
  <c r="N32" i="12"/>
  <c r="N33" i="12"/>
  <c r="N34" i="12"/>
  <c r="N35" i="12"/>
  <c r="N36" i="12"/>
  <c r="N37" i="12"/>
  <c r="N38" i="12"/>
  <c r="N39" i="12"/>
  <c r="N40" i="12"/>
  <c r="N41" i="12"/>
  <c r="N42" i="12"/>
  <c r="N30" i="12"/>
  <c r="N12" i="12"/>
  <c r="N13" i="12"/>
  <c r="N14" i="12"/>
  <c r="N15" i="12"/>
  <c r="N16" i="12"/>
  <c r="N17" i="12"/>
  <c r="N18" i="12"/>
  <c r="N19" i="12"/>
  <c r="N20" i="12"/>
  <c r="N21" i="12"/>
  <c r="N22" i="12"/>
  <c r="N23" i="12"/>
  <c r="N24" i="12"/>
  <c r="N25" i="12"/>
  <c r="N26" i="12"/>
  <c r="N27" i="12"/>
  <c r="N11" i="12"/>
  <c r="N9" i="12"/>
  <c r="N8" i="12"/>
  <c r="CG23" i="7"/>
  <c r="CG52" i="7"/>
  <c r="CG38" i="7"/>
  <c r="CG5" i="7"/>
  <c r="CG4" i="7" s="1"/>
  <c r="CG6" i="7"/>
  <c r="L10" i="12"/>
  <c r="L11" i="12"/>
  <c r="L12" i="12"/>
  <c r="L13" i="12"/>
  <c r="L14" i="12"/>
  <c r="L15" i="12"/>
  <c r="L16" i="12"/>
  <c r="L17" i="12"/>
  <c r="L18" i="12"/>
  <c r="L19" i="12"/>
  <c r="L20" i="12"/>
  <c r="L21" i="12"/>
  <c r="L22" i="12"/>
  <c r="L23" i="12"/>
  <c r="L24" i="12"/>
  <c r="L25" i="12"/>
  <c r="L26" i="12"/>
  <c r="L27" i="12"/>
  <c r="L28"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9" i="12"/>
  <c r="L8" i="12"/>
  <c r="J51" i="12"/>
  <c r="J50" i="12"/>
  <c r="J49" i="12"/>
  <c r="J48" i="12"/>
  <c r="H55" i="12"/>
  <c r="F31" i="12"/>
  <c r="F32" i="12"/>
  <c r="F33" i="12"/>
  <c r="F34" i="12"/>
  <c r="F35" i="12"/>
  <c r="F36" i="12"/>
  <c r="F37" i="12"/>
  <c r="F38" i="12"/>
  <c r="F39" i="12"/>
  <c r="F40" i="12"/>
  <c r="F41" i="12"/>
  <c r="F30" i="12"/>
  <c r="F29" i="12"/>
  <c r="E65" i="12"/>
  <c r="E66" i="12"/>
  <c r="E67" i="12"/>
  <c r="D41" i="12"/>
  <c r="AZ3" i="11"/>
  <c r="AZ4" i="11"/>
  <c r="AZ6" i="11"/>
  <c r="AZ7" i="11"/>
  <c r="AZ8" i="11"/>
  <c r="AZ9" i="11"/>
  <c r="AZ10" i="11"/>
  <c r="AZ11" i="11"/>
  <c r="AZ12" i="11"/>
  <c r="AZ13" i="11"/>
  <c r="AZ14" i="11"/>
  <c r="AZ15" i="11"/>
  <c r="AZ16" i="11"/>
  <c r="AZ17" i="11"/>
  <c r="AZ18" i="11"/>
  <c r="AZ19" i="11"/>
  <c r="AZ20" i="11"/>
  <c r="AZ21" i="11"/>
  <c r="AZ22" i="11"/>
  <c r="AZ24" i="11"/>
  <c r="AZ25" i="11"/>
  <c r="AZ26" i="11"/>
  <c r="AZ27" i="11"/>
  <c r="AZ28" i="11"/>
  <c r="AZ29" i="11"/>
  <c r="AZ30" i="11"/>
  <c r="AZ31" i="11"/>
  <c r="AZ32" i="11"/>
  <c r="AZ33" i="11"/>
  <c r="AZ34" i="11"/>
  <c r="AZ35" i="11"/>
  <c r="AZ36" i="11"/>
  <c r="AZ37" i="11"/>
  <c r="AZ39" i="11"/>
  <c r="AZ40" i="11"/>
  <c r="AZ41" i="11"/>
  <c r="AZ42" i="11"/>
  <c r="AZ43" i="11"/>
  <c r="AZ44" i="11"/>
  <c r="AZ45" i="11"/>
  <c r="AZ46" i="11"/>
  <c r="AZ47" i="11"/>
  <c r="AZ48" i="11"/>
  <c r="AZ49" i="11"/>
  <c r="AZ50" i="11"/>
  <c r="AZ51" i="11"/>
  <c r="AZ53" i="11"/>
  <c r="AZ54" i="11"/>
  <c r="AZ55" i="11"/>
  <c r="AZ56" i="11"/>
  <c r="AZ57" i="11"/>
  <c r="AZ58" i="11"/>
  <c r="AZ59" i="11"/>
  <c r="AZ60" i="11"/>
  <c r="AZ61" i="11"/>
  <c r="AZ62" i="11"/>
  <c r="AZ52" i="1"/>
  <c r="AZ38" i="1"/>
  <c r="AZ23" i="1"/>
  <c r="AZ5" i="1"/>
  <c r="AZ4" i="1" s="1"/>
  <c r="AZ53" i="1" s="1"/>
  <c r="AZ6" i="1"/>
  <c r="P67" i="12"/>
  <c r="P66" i="12"/>
  <c r="P63" i="12"/>
  <c r="P64" i="12"/>
  <c r="P65" i="12"/>
  <c r="P62" i="12"/>
  <c r="P59" i="12"/>
  <c r="P60" i="12"/>
  <c r="P61" i="12"/>
  <c r="P58" i="12"/>
  <c r="P55" i="12"/>
  <c r="P53" i="12"/>
  <c r="P54" i="12"/>
  <c r="P52" i="12"/>
  <c r="P49" i="12"/>
  <c r="P50" i="12"/>
  <c r="P51" i="12"/>
  <c r="P48" i="12"/>
  <c r="P45" i="12"/>
  <c r="P46" i="12"/>
  <c r="P47" i="12"/>
  <c r="P44" i="12"/>
  <c r="P41" i="12"/>
  <c r="P38" i="12"/>
  <c r="P39" i="12"/>
  <c r="P40" i="12"/>
  <c r="P37" i="12"/>
  <c r="P34" i="12"/>
  <c r="P35" i="12"/>
  <c r="P36" i="12"/>
  <c r="P33" i="12"/>
  <c r="P30" i="12"/>
  <c r="P31" i="12"/>
  <c r="P32" i="12"/>
  <c r="P29" i="12"/>
  <c r="P24" i="12"/>
  <c r="P25" i="12"/>
  <c r="P26" i="12"/>
  <c r="P23" i="12"/>
  <c r="P20" i="12"/>
  <c r="P21" i="12"/>
  <c r="P22" i="12"/>
  <c r="P19" i="12"/>
  <c r="P16" i="12"/>
  <c r="P17" i="12"/>
  <c r="P18" i="12"/>
  <c r="P15" i="12"/>
  <c r="P12" i="12"/>
  <c r="P13" i="12"/>
  <c r="P14" i="12"/>
  <c r="P11" i="12"/>
  <c r="O67" i="12"/>
  <c r="O66" i="12"/>
  <c r="O63" i="12"/>
  <c r="O64" i="12"/>
  <c r="O65" i="12"/>
  <c r="O62" i="12"/>
  <c r="O59" i="12"/>
  <c r="O60" i="12"/>
  <c r="O61" i="12"/>
  <c r="O58" i="12"/>
  <c r="O56" i="12"/>
  <c r="O55" i="12"/>
  <c r="O53" i="12"/>
  <c r="O54" i="12"/>
  <c r="O52" i="12"/>
  <c r="O49" i="12"/>
  <c r="O50" i="12"/>
  <c r="O51" i="12"/>
  <c r="O48" i="12"/>
  <c r="O45" i="12"/>
  <c r="O46" i="12"/>
  <c r="O47" i="12"/>
  <c r="O44" i="12"/>
  <c r="O42" i="12"/>
  <c r="O41" i="12"/>
  <c r="O38" i="12"/>
  <c r="O39" i="12"/>
  <c r="O40" i="12"/>
  <c r="O37" i="12"/>
  <c r="O34" i="12"/>
  <c r="O35" i="12"/>
  <c r="O36" i="12"/>
  <c r="O33" i="12"/>
  <c r="O31" i="12"/>
  <c r="O32" i="12"/>
  <c r="O29" i="12"/>
  <c r="O30" i="12"/>
  <c r="O27" i="12"/>
  <c r="O26" i="12"/>
  <c r="O24" i="12"/>
  <c r="O25" i="12"/>
  <c r="O23" i="12"/>
  <c r="O20" i="12"/>
  <c r="O21" i="12"/>
  <c r="O22" i="12"/>
  <c r="O19" i="12"/>
  <c r="O16" i="12"/>
  <c r="O17" i="12"/>
  <c r="O18" i="12"/>
  <c r="O15" i="12"/>
  <c r="O12" i="12"/>
  <c r="O13" i="12"/>
  <c r="O14" i="12"/>
  <c r="O11" i="12"/>
  <c r="O9" i="12"/>
  <c r="O8" i="12"/>
  <c r="AD52" i="6"/>
  <c r="AD38" i="6"/>
  <c r="AD23" i="6"/>
  <c r="AD5" i="6"/>
  <c r="M67" i="12"/>
  <c r="M66" i="12"/>
  <c r="M63" i="12"/>
  <c r="M64" i="12"/>
  <c r="M65" i="12"/>
  <c r="M62" i="12"/>
  <c r="M61" i="12"/>
  <c r="M59" i="12"/>
  <c r="M60" i="12"/>
  <c r="M58" i="12"/>
  <c r="M55" i="12"/>
  <c r="M53" i="12"/>
  <c r="M54" i="12"/>
  <c r="M52" i="12"/>
  <c r="M49" i="12"/>
  <c r="M50" i="12"/>
  <c r="M51" i="12"/>
  <c r="M48" i="12"/>
  <c r="M45" i="12"/>
  <c r="M46" i="12"/>
  <c r="M47" i="12"/>
  <c r="M44" i="12"/>
  <c r="M41" i="12"/>
  <c r="M38" i="12"/>
  <c r="M39" i="12"/>
  <c r="M40" i="12"/>
  <c r="M37" i="12"/>
  <c r="M34" i="12"/>
  <c r="M35" i="12"/>
  <c r="M36" i="12"/>
  <c r="M33" i="12"/>
  <c r="M30" i="12"/>
  <c r="M31" i="12"/>
  <c r="M32" i="12"/>
  <c r="M29" i="12"/>
  <c r="M26" i="12"/>
  <c r="M24" i="12"/>
  <c r="M25" i="12"/>
  <c r="M23" i="12"/>
  <c r="M20" i="12"/>
  <c r="M21" i="12"/>
  <c r="M22" i="12"/>
  <c r="M19" i="12"/>
  <c r="M16" i="12"/>
  <c r="M17" i="12"/>
  <c r="M18" i="12"/>
  <c r="M15" i="12"/>
  <c r="M12" i="12"/>
  <c r="M13" i="12"/>
  <c r="M14" i="12"/>
  <c r="M11" i="12"/>
  <c r="AI5" i="10"/>
  <c r="AI23" i="10"/>
  <c r="AI52" i="10"/>
  <c r="AI38" i="10"/>
  <c r="AI52" i="7"/>
  <c r="AI38" i="7"/>
  <c r="AI23" i="7"/>
  <c r="AJ23" i="7"/>
  <c r="AJ24" i="7"/>
  <c r="AI5" i="7"/>
  <c r="K67" i="12"/>
  <c r="K66" i="12"/>
  <c r="K63" i="12"/>
  <c r="K64" i="12"/>
  <c r="K65" i="12"/>
  <c r="K62" i="12"/>
  <c r="K59" i="12"/>
  <c r="K60" i="12"/>
  <c r="K61" i="12"/>
  <c r="K58" i="12"/>
  <c r="K55" i="12"/>
  <c r="K53" i="12"/>
  <c r="K54" i="12"/>
  <c r="K52" i="12"/>
  <c r="K49" i="12"/>
  <c r="K50" i="12"/>
  <c r="K51" i="12"/>
  <c r="K48" i="12"/>
  <c r="K45" i="12"/>
  <c r="K46" i="12"/>
  <c r="K47" i="12"/>
  <c r="K44" i="12"/>
  <c r="K41" i="12"/>
  <c r="K38" i="12"/>
  <c r="K39" i="12"/>
  <c r="K40" i="12"/>
  <c r="K37" i="12"/>
  <c r="K34" i="12"/>
  <c r="K35" i="12"/>
  <c r="K36" i="12"/>
  <c r="K33" i="12"/>
  <c r="K30" i="12"/>
  <c r="K31" i="12"/>
  <c r="K32" i="12"/>
  <c r="K29" i="12"/>
  <c r="K26" i="12"/>
  <c r="K24" i="12"/>
  <c r="K25" i="12"/>
  <c r="K23" i="12"/>
  <c r="K20" i="12"/>
  <c r="K21" i="12"/>
  <c r="K22" i="12"/>
  <c r="K19" i="12"/>
  <c r="K16" i="12"/>
  <c r="K17" i="12"/>
  <c r="K18" i="12"/>
  <c r="K15" i="12"/>
  <c r="K12" i="12"/>
  <c r="K13" i="12"/>
  <c r="K14" i="12"/>
  <c r="K11" i="12"/>
  <c r="J67" i="12"/>
  <c r="J66" i="12"/>
  <c r="J63" i="12"/>
  <c r="J64" i="12"/>
  <c r="J65" i="12"/>
  <c r="J62" i="12"/>
  <c r="J59" i="12"/>
  <c r="J60" i="12"/>
  <c r="J61" i="12"/>
  <c r="J58" i="12"/>
  <c r="J55" i="12"/>
  <c r="J53" i="12"/>
  <c r="J54" i="12"/>
  <c r="J52" i="12"/>
  <c r="J45" i="12"/>
  <c r="J46" i="12"/>
  <c r="J47" i="12"/>
  <c r="J44" i="12"/>
  <c r="J41" i="12"/>
  <c r="J38" i="12"/>
  <c r="J39" i="12"/>
  <c r="J40" i="12"/>
  <c r="J37" i="12"/>
  <c r="J34" i="12"/>
  <c r="J35" i="12"/>
  <c r="J36" i="12"/>
  <c r="J33" i="12"/>
  <c r="J30" i="12"/>
  <c r="J31" i="12"/>
  <c r="J32" i="12"/>
  <c r="J29" i="12"/>
  <c r="J26" i="12"/>
  <c r="J24" i="12"/>
  <c r="J25" i="12"/>
  <c r="J23" i="12"/>
  <c r="J20" i="12"/>
  <c r="J21" i="12"/>
  <c r="J22" i="12"/>
  <c r="J19" i="12"/>
  <c r="J16" i="12"/>
  <c r="J17" i="12"/>
  <c r="J18" i="12"/>
  <c r="J15" i="12"/>
  <c r="J12" i="12"/>
  <c r="J13" i="12"/>
  <c r="J14" i="12"/>
  <c r="J11" i="12"/>
  <c r="BG38" i="6"/>
  <c r="BG52" i="6"/>
  <c r="BG23" i="6"/>
  <c r="BG5" i="6"/>
  <c r="I67" i="12"/>
  <c r="I66" i="12"/>
  <c r="I63" i="12"/>
  <c r="I64" i="12"/>
  <c r="I65" i="12"/>
  <c r="I62" i="12"/>
  <c r="I59" i="12"/>
  <c r="I60" i="12"/>
  <c r="I61" i="12"/>
  <c r="I58" i="12"/>
  <c r="I55" i="12"/>
  <c r="I53" i="12"/>
  <c r="I54" i="12"/>
  <c r="I52" i="12"/>
  <c r="I49" i="12"/>
  <c r="I50" i="12"/>
  <c r="I51" i="12"/>
  <c r="I48" i="12"/>
  <c r="I45" i="12"/>
  <c r="I46" i="12"/>
  <c r="I47" i="12"/>
  <c r="I44" i="12"/>
  <c r="I41" i="12"/>
  <c r="I38" i="12"/>
  <c r="I39" i="12"/>
  <c r="I40" i="12"/>
  <c r="I37" i="12"/>
  <c r="I34" i="12"/>
  <c r="I35" i="12"/>
  <c r="I36" i="12"/>
  <c r="I33" i="12"/>
  <c r="I30" i="12"/>
  <c r="I31" i="12"/>
  <c r="I32" i="12"/>
  <c r="I29" i="12"/>
  <c r="I26" i="12"/>
  <c r="I24" i="12"/>
  <c r="I25" i="12"/>
  <c r="I23" i="12"/>
  <c r="I20" i="12"/>
  <c r="I21" i="12"/>
  <c r="I22" i="12"/>
  <c r="I19" i="12"/>
  <c r="I16" i="12"/>
  <c r="I17" i="12"/>
  <c r="I18" i="12"/>
  <c r="I15" i="12"/>
  <c r="I12" i="12"/>
  <c r="I13" i="12"/>
  <c r="I14" i="12"/>
  <c r="I11" i="12"/>
  <c r="H67" i="12"/>
  <c r="H66" i="12"/>
  <c r="H63" i="12"/>
  <c r="H64" i="12"/>
  <c r="H65" i="12"/>
  <c r="H62" i="12"/>
  <c r="H59" i="12"/>
  <c r="H60" i="12"/>
  <c r="H61" i="12"/>
  <c r="H58" i="12"/>
  <c r="H53" i="12"/>
  <c r="H54" i="12"/>
  <c r="H52" i="12"/>
  <c r="H49" i="12"/>
  <c r="H50" i="12"/>
  <c r="H51" i="12"/>
  <c r="H48" i="12"/>
  <c r="H45" i="12"/>
  <c r="H46" i="12"/>
  <c r="H47" i="12"/>
  <c r="H44" i="12"/>
  <c r="H41" i="12"/>
  <c r="H38" i="12"/>
  <c r="H39" i="12"/>
  <c r="H40" i="12"/>
  <c r="H37" i="12"/>
  <c r="H34" i="12"/>
  <c r="H35" i="12"/>
  <c r="H36" i="12"/>
  <c r="H33" i="12"/>
  <c r="H30" i="12"/>
  <c r="H31" i="12"/>
  <c r="H32" i="12"/>
  <c r="H29" i="12"/>
  <c r="H26" i="12"/>
  <c r="H24" i="12"/>
  <c r="H25" i="12"/>
  <c r="H23" i="12"/>
  <c r="H20" i="12"/>
  <c r="H21" i="12"/>
  <c r="H22" i="12"/>
  <c r="H19" i="12"/>
  <c r="H18" i="12"/>
  <c r="H16" i="12"/>
  <c r="H17" i="12"/>
  <c r="H15" i="12"/>
  <c r="H12" i="12"/>
  <c r="H13" i="12"/>
  <c r="H14" i="12"/>
  <c r="H11" i="12"/>
  <c r="CY23" i="1"/>
  <c r="CY5" i="1"/>
  <c r="CY52" i="1"/>
  <c r="CY38" i="1"/>
  <c r="G67" i="12"/>
  <c r="G66" i="12"/>
  <c r="G63" i="12"/>
  <c r="G64" i="12"/>
  <c r="G65" i="12"/>
  <c r="G62" i="12"/>
  <c r="G59" i="12"/>
  <c r="G60" i="12"/>
  <c r="G61" i="12"/>
  <c r="G58" i="12"/>
  <c r="G55" i="12"/>
  <c r="G53" i="12"/>
  <c r="G54" i="12"/>
  <c r="G52" i="12"/>
  <c r="G49" i="12"/>
  <c r="G50" i="12"/>
  <c r="G51" i="12"/>
  <c r="G48" i="12"/>
  <c r="G45" i="12"/>
  <c r="G46" i="12"/>
  <c r="G47" i="12"/>
  <c r="G44" i="12"/>
  <c r="G40" i="12"/>
  <c r="G41" i="12"/>
  <c r="G38" i="12"/>
  <c r="G39" i="12"/>
  <c r="G37" i="12"/>
  <c r="G34" i="12"/>
  <c r="G35" i="12"/>
  <c r="G36" i="12"/>
  <c r="G33" i="12"/>
  <c r="G30" i="12"/>
  <c r="G31" i="12"/>
  <c r="G32" i="12"/>
  <c r="G29" i="12"/>
  <c r="G26" i="12"/>
  <c r="G24" i="12"/>
  <c r="G25" i="12"/>
  <c r="G23" i="12"/>
  <c r="G20" i="12"/>
  <c r="G21" i="12"/>
  <c r="G22" i="12"/>
  <c r="G19" i="12"/>
  <c r="G16" i="12"/>
  <c r="G17" i="12"/>
  <c r="G18" i="12"/>
  <c r="G15" i="12"/>
  <c r="G12" i="12"/>
  <c r="G13" i="12"/>
  <c r="G14" i="12"/>
  <c r="G11" i="12"/>
  <c r="F67" i="12"/>
  <c r="F66" i="12"/>
  <c r="F63" i="12"/>
  <c r="F64" i="12"/>
  <c r="F65" i="12"/>
  <c r="F62" i="12"/>
  <c r="F59" i="12"/>
  <c r="F60" i="12"/>
  <c r="F61" i="12"/>
  <c r="F58" i="12"/>
  <c r="F55" i="12"/>
  <c r="F53" i="12"/>
  <c r="F54" i="12"/>
  <c r="F52" i="12"/>
  <c r="F49" i="12"/>
  <c r="F50" i="12"/>
  <c r="F51" i="12"/>
  <c r="F48" i="12"/>
  <c r="F45" i="12"/>
  <c r="F46" i="12"/>
  <c r="F47" i="12"/>
  <c r="F44" i="12"/>
  <c r="F26" i="12"/>
  <c r="F24" i="12"/>
  <c r="F25" i="12"/>
  <c r="F23" i="12"/>
  <c r="F20" i="12"/>
  <c r="F21" i="12"/>
  <c r="F22" i="12"/>
  <c r="F19" i="12"/>
  <c r="F16" i="12"/>
  <c r="F17" i="12"/>
  <c r="F18" i="12"/>
  <c r="F15" i="12"/>
  <c r="F12" i="12"/>
  <c r="F13" i="12"/>
  <c r="F14" i="12"/>
  <c r="F11" i="12"/>
  <c r="AD5" i="5"/>
  <c r="AD23" i="5"/>
  <c r="AD52" i="5"/>
  <c r="AD38" i="5"/>
  <c r="E63" i="12"/>
  <c r="E64" i="12"/>
  <c r="E62" i="12"/>
  <c r="E59" i="12"/>
  <c r="E60" i="12"/>
  <c r="E61" i="12"/>
  <c r="E58" i="12"/>
  <c r="E55" i="12"/>
  <c r="E53" i="12"/>
  <c r="E54" i="12"/>
  <c r="E52" i="12"/>
  <c r="E49" i="12"/>
  <c r="E50" i="12"/>
  <c r="E51" i="12"/>
  <c r="E48" i="12"/>
  <c r="E45" i="12"/>
  <c r="E46" i="12"/>
  <c r="E47" i="12"/>
  <c r="E44" i="12"/>
  <c r="E41" i="12"/>
  <c r="E38" i="12"/>
  <c r="E39" i="12"/>
  <c r="E40" i="12"/>
  <c r="E37" i="12"/>
  <c r="E34" i="12"/>
  <c r="E35" i="12"/>
  <c r="E36" i="12"/>
  <c r="E33" i="12"/>
  <c r="E30" i="12"/>
  <c r="E31" i="12"/>
  <c r="E32" i="12"/>
  <c r="E29" i="12"/>
  <c r="E26" i="12"/>
  <c r="E24" i="12"/>
  <c r="E25" i="12"/>
  <c r="E23" i="12"/>
  <c r="E20" i="12"/>
  <c r="E21" i="12"/>
  <c r="E22" i="12"/>
  <c r="E19" i="12"/>
  <c r="E16" i="12"/>
  <c r="E17" i="12"/>
  <c r="E18" i="12"/>
  <c r="E15" i="12"/>
  <c r="E12" i="12"/>
  <c r="E13" i="12"/>
  <c r="E14" i="12"/>
  <c r="E11" i="12"/>
  <c r="D67" i="12"/>
  <c r="D66" i="12"/>
  <c r="D63" i="12"/>
  <c r="D64" i="12"/>
  <c r="D65" i="12"/>
  <c r="D62" i="12"/>
  <c r="D59" i="12"/>
  <c r="D60" i="12"/>
  <c r="D61" i="12"/>
  <c r="D58" i="12"/>
  <c r="D55" i="12"/>
  <c r="D53" i="12"/>
  <c r="D54" i="12"/>
  <c r="D52" i="12"/>
  <c r="D49" i="12"/>
  <c r="D50" i="12"/>
  <c r="D51" i="12"/>
  <c r="D48" i="12"/>
  <c r="D45" i="12"/>
  <c r="D46" i="12"/>
  <c r="D47" i="12"/>
  <c r="D44" i="12"/>
  <c r="D38" i="12"/>
  <c r="D39" i="12"/>
  <c r="D40" i="12"/>
  <c r="D37" i="12"/>
  <c r="D34" i="12"/>
  <c r="D35" i="12"/>
  <c r="D36" i="12"/>
  <c r="D33" i="12"/>
  <c r="D30" i="12"/>
  <c r="D31" i="12"/>
  <c r="D32" i="12"/>
  <c r="D29" i="12"/>
  <c r="D26" i="12"/>
  <c r="D24" i="12"/>
  <c r="D25" i="12"/>
  <c r="D23" i="12"/>
  <c r="D20" i="12"/>
  <c r="D21" i="12"/>
  <c r="D22" i="12"/>
  <c r="D19" i="12"/>
  <c r="D16" i="12"/>
  <c r="D17" i="12"/>
  <c r="D18" i="12"/>
  <c r="D15" i="12"/>
  <c r="D12" i="12"/>
  <c r="D13" i="12"/>
  <c r="D14" i="12"/>
  <c r="D11" i="12"/>
  <c r="C67" i="12"/>
  <c r="C66" i="12"/>
  <c r="C63" i="12"/>
  <c r="C64" i="12"/>
  <c r="C65" i="12"/>
  <c r="C62" i="12"/>
  <c r="C59" i="12"/>
  <c r="C60" i="12"/>
  <c r="C61" i="12"/>
  <c r="C58" i="12"/>
  <c r="C55" i="12"/>
  <c r="C53" i="12"/>
  <c r="C54" i="12"/>
  <c r="C52" i="12"/>
  <c r="C49" i="12"/>
  <c r="C50" i="12"/>
  <c r="C51" i="12"/>
  <c r="C48" i="12"/>
  <c r="C45" i="12"/>
  <c r="C46" i="12"/>
  <c r="C47" i="12"/>
  <c r="C44" i="12"/>
  <c r="C41" i="12"/>
  <c r="C38" i="12"/>
  <c r="C39" i="12"/>
  <c r="C40" i="12"/>
  <c r="C37" i="12"/>
  <c r="C34" i="12"/>
  <c r="C35" i="12"/>
  <c r="C36" i="12"/>
  <c r="C33" i="12"/>
  <c r="C30" i="12"/>
  <c r="C31" i="12"/>
  <c r="C32" i="12"/>
  <c r="C29" i="12"/>
  <c r="C26" i="12"/>
  <c r="C24" i="12"/>
  <c r="C25" i="12"/>
  <c r="C23" i="12"/>
  <c r="C20" i="12"/>
  <c r="C21" i="12"/>
  <c r="C22" i="12"/>
  <c r="C19" i="12"/>
  <c r="C16" i="12"/>
  <c r="C17" i="12"/>
  <c r="C18" i="12"/>
  <c r="C15" i="12"/>
  <c r="C12" i="12"/>
  <c r="C13" i="12"/>
  <c r="C14" i="12"/>
  <c r="C11" i="12"/>
  <c r="BA52" i="4"/>
  <c r="BA38" i="4"/>
  <c r="BA23" i="4"/>
  <c r="BA5" i="4"/>
  <c r="CG53" i="7" l="1"/>
  <c r="CG24" i="7"/>
  <c r="CG39" i="7"/>
  <c r="P56" i="12"/>
  <c r="M56" i="12"/>
  <c r="P42" i="12"/>
  <c r="M42" i="12"/>
  <c r="P27" i="12"/>
  <c r="M27" i="12"/>
  <c r="P9" i="12"/>
  <c r="M9" i="12"/>
  <c r="AZ24" i="1"/>
  <c r="AZ39" i="1"/>
  <c r="CY4" i="1"/>
  <c r="J56" i="12"/>
  <c r="H56" i="12"/>
  <c r="F56" i="12"/>
  <c r="D56" i="12"/>
  <c r="C56" i="12"/>
  <c r="H42" i="12"/>
  <c r="F42" i="12"/>
  <c r="D42" i="12"/>
  <c r="C42" i="12"/>
  <c r="J42" i="12"/>
  <c r="H27" i="12"/>
  <c r="F27" i="12"/>
  <c r="D27" i="12"/>
  <c r="C27" i="12"/>
  <c r="J27" i="12"/>
  <c r="J9" i="12"/>
  <c r="H9" i="12"/>
  <c r="F9" i="12"/>
  <c r="D9" i="12"/>
  <c r="C9" i="12"/>
  <c r="AD4" i="6"/>
  <c r="AD53" i="6" s="1"/>
  <c r="AI4" i="10"/>
  <c r="AI4" i="7"/>
  <c r="AI53" i="7" s="1"/>
  <c r="BG4" i="6"/>
  <c r="CY53" i="1"/>
  <c r="CY24" i="1"/>
  <c r="CY6" i="1"/>
  <c r="CY39" i="1"/>
  <c r="AD4" i="5"/>
  <c r="AD6" i="5" s="1"/>
  <c r="BA4" i="4"/>
  <c r="CX52" i="1"/>
  <c r="CW52" i="1"/>
  <c r="CX38" i="1"/>
  <c r="CW38" i="1"/>
  <c r="CX23" i="1"/>
  <c r="CW23" i="1"/>
  <c r="CX5" i="1"/>
  <c r="CW5" i="1"/>
  <c r="CW4" i="1" s="1"/>
  <c r="AX6" i="11"/>
  <c r="AY6" i="11"/>
  <c r="AX7" i="11"/>
  <c r="AY7" i="11"/>
  <c r="AX8" i="11"/>
  <c r="AY8" i="11"/>
  <c r="AX9" i="11"/>
  <c r="AY9" i="11"/>
  <c r="AX10" i="11"/>
  <c r="AY10" i="11"/>
  <c r="AX11" i="11"/>
  <c r="AY11" i="11"/>
  <c r="AX12" i="11"/>
  <c r="AY12" i="11"/>
  <c r="AX13" i="11"/>
  <c r="AY13" i="11"/>
  <c r="AX14" i="11"/>
  <c r="AY14" i="11"/>
  <c r="AX15" i="11"/>
  <c r="AY15" i="11"/>
  <c r="AX16" i="11"/>
  <c r="AY16" i="11"/>
  <c r="AX17" i="11"/>
  <c r="AY17" i="11"/>
  <c r="AX18" i="11"/>
  <c r="AY18" i="11"/>
  <c r="AX19" i="11"/>
  <c r="AY19" i="11"/>
  <c r="AX20" i="11"/>
  <c r="AY20" i="11"/>
  <c r="AX21" i="11"/>
  <c r="AY21" i="11"/>
  <c r="AX24" i="11"/>
  <c r="AY24" i="11"/>
  <c r="AX25" i="11"/>
  <c r="AY25" i="11"/>
  <c r="AX26" i="11"/>
  <c r="AY26" i="11"/>
  <c r="AX27" i="11"/>
  <c r="AY27" i="11"/>
  <c r="AX28" i="11"/>
  <c r="AY28" i="11"/>
  <c r="AX29" i="11"/>
  <c r="AY29" i="11"/>
  <c r="AX30" i="11"/>
  <c r="AY30" i="11"/>
  <c r="AX31" i="11"/>
  <c r="AY31" i="11"/>
  <c r="AX32" i="11"/>
  <c r="AY32" i="11"/>
  <c r="AX33" i="11"/>
  <c r="AY33" i="11"/>
  <c r="AX34" i="11"/>
  <c r="AY34" i="11"/>
  <c r="AX35" i="11"/>
  <c r="AY35" i="11"/>
  <c r="AX36" i="11"/>
  <c r="AY36" i="11"/>
  <c r="AX39" i="11"/>
  <c r="AY39" i="11"/>
  <c r="AX40" i="11"/>
  <c r="AY40" i="11"/>
  <c r="AX41" i="11"/>
  <c r="AY41" i="11"/>
  <c r="AX42" i="11"/>
  <c r="AY42" i="11"/>
  <c r="AX43" i="11"/>
  <c r="AY43" i="11"/>
  <c r="AX44" i="11"/>
  <c r="AY44" i="11"/>
  <c r="AX45" i="11"/>
  <c r="AY45" i="11"/>
  <c r="AX46" i="11"/>
  <c r="AY46" i="11"/>
  <c r="AX47" i="11"/>
  <c r="AY47" i="11"/>
  <c r="AX48" i="11"/>
  <c r="AY48" i="11"/>
  <c r="AX49" i="11"/>
  <c r="AY49" i="11"/>
  <c r="AX50" i="11"/>
  <c r="AY50" i="11"/>
  <c r="AX53" i="11"/>
  <c r="AY53" i="11"/>
  <c r="AX54" i="11"/>
  <c r="AY54" i="11"/>
  <c r="AX55" i="11"/>
  <c r="AY55" i="11"/>
  <c r="AX56" i="11"/>
  <c r="AY56" i="11"/>
  <c r="AX57" i="11"/>
  <c r="AY57" i="11"/>
  <c r="AX58" i="11"/>
  <c r="AY58" i="11"/>
  <c r="AX59" i="11"/>
  <c r="AY59" i="11"/>
  <c r="AX60" i="11"/>
  <c r="AY60" i="11"/>
  <c r="AX61" i="11"/>
  <c r="AY61" i="11"/>
  <c r="AX62" i="11"/>
  <c r="AY62" i="11"/>
  <c r="BF52" i="6"/>
  <c r="BE52" i="6"/>
  <c r="BF38" i="6"/>
  <c r="BE38" i="6"/>
  <c r="BF23" i="6"/>
  <c r="BE23" i="6"/>
  <c r="BF5" i="6"/>
  <c r="BE5" i="6"/>
  <c r="AC52" i="6"/>
  <c r="AB52" i="6"/>
  <c r="AC38" i="6"/>
  <c r="AB38" i="6"/>
  <c r="AC23" i="6"/>
  <c r="AB23" i="6"/>
  <c r="AC5" i="6"/>
  <c r="AB5" i="6"/>
  <c r="CF52" i="7"/>
  <c r="CE52" i="7"/>
  <c r="CF38" i="7"/>
  <c r="CE38" i="7"/>
  <c r="CF23" i="7"/>
  <c r="CE23" i="7"/>
  <c r="CF5" i="7"/>
  <c r="CE5" i="7"/>
  <c r="AH52" i="7"/>
  <c r="AG52" i="7"/>
  <c r="AH38" i="7"/>
  <c r="AG38" i="7"/>
  <c r="AH23" i="7"/>
  <c r="AG23" i="7"/>
  <c r="AH5" i="7"/>
  <c r="AG5" i="7"/>
  <c r="AH52" i="10"/>
  <c r="AG52" i="10"/>
  <c r="AH38" i="10"/>
  <c r="AG38" i="10"/>
  <c r="AH23" i="10"/>
  <c r="AG23" i="10"/>
  <c r="AH5" i="10"/>
  <c r="AG5" i="10"/>
  <c r="AY52" i="1"/>
  <c r="AX52" i="1"/>
  <c r="AY38" i="1"/>
  <c r="AX38" i="1"/>
  <c r="AY23" i="1"/>
  <c r="AX23" i="1"/>
  <c r="AY5" i="1"/>
  <c r="AX5" i="1"/>
  <c r="AC52" i="5"/>
  <c r="AB52" i="5"/>
  <c r="AC38" i="5"/>
  <c r="AB38" i="5"/>
  <c r="AC23" i="5"/>
  <c r="AB23" i="5"/>
  <c r="AC5" i="5"/>
  <c r="AB5" i="5"/>
  <c r="AY52" i="4"/>
  <c r="AZ52" i="4"/>
  <c r="AY51" i="11" s="1"/>
  <c r="AY38" i="4"/>
  <c r="AZ38" i="4"/>
  <c r="AY37" i="11" s="1"/>
  <c r="AY23" i="4"/>
  <c r="AX22" i="11" s="1"/>
  <c r="AZ23" i="4"/>
  <c r="AY5" i="4"/>
  <c r="AX4" i="11" s="1"/>
  <c r="AZ5" i="4"/>
  <c r="AV6" i="11"/>
  <c r="AW6" i="11"/>
  <c r="AV7" i="11"/>
  <c r="AW7" i="11"/>
  <c r="AV8" i="11"/>
  <c r="AW8" i="11"/>
  <c r="AV9" i="11"/>
  <c r="AW9" i="11"/>
  <c r="AV10" i="11"/>
  <c r="AW10" i="11"/>
  <c r="AV11" i="11"/>
  <c r="AW11" i="11"/>
  <c r="AV12" i="11"/>
  <c r="AW12" i="11"/>
  <c r="AV13" i="11"/>
  <c r="AW13" i="11"/>
  <c r="AV14" i="11"/>
  <c r="AW14" i="11"/>
  <c r="AV15" i="11"/>
  <c r="AW15" i="11"/>
  <c r="AV16" i="11"/>
  <c r="AW16" i="11"/>
  <c r="AV17" i="11"/>
  <c r="AW17" i="11"/>
  <c r="AV18" i="11"/>
  <c r="AW18" i="11"/>
  <c r="AV19" i="11"/>
  <c r="AW19" i="11"/>
  <c r="AV20" i="11"/>
  <c r="AW20" i="11"/>
  <c r="AV21" i="11"/>
  <c r="AW21" i="11"/>
  <c r="AV24" i="11"/>
  <c r="AW24" i="11"/>
  <c r="AV25" i="11"/>
  <c r="AW25" i="11"/>
  <c r="AV26" i="11"/>
  <c r="AW26" i="11"/>
  <c r="AV27" i="11"/>
  <c r="AW27" i="11"/>
  <c r="AV28" i="11"/>
  <c r="AW28" i="11"/>
  <c r="AV29" i="11"/>
  <c r="AW29" i="11"/>
  <c r="AV30" i="11"/>
  <c r="AW30" i="11"/>
  <c r="AV31" i="11"/>
  <c r="AW31" i="11"/>
  <c r="AV32" i="11"/>
  <c r="AW32" i="11"/>
  <c r="AV33" i="11"/>
  <c r="AW33" i="11"/>
  <c r="AV34" i="11"/>
  <c r="AW34" i="11"/>
  <c r="AV35" i="11"/>
  <c r="AW35" i="11"/>
  <c r="AV36" i="11"/>
  <c r="AW36" i="11"/>
  <c r="AV39" i="11"/>
  <c r="AW39" i="11"/>
  <c r="AV40" i="11"/>
  <c r="AW40" i="11"/>
  <c r="AV41" i="11"/>
  <c r="AW41" i="11"/>
  <c r="AV42" i="11"/>
  <c r="AW42" i="11"/>
  <c r="AV43" i="11"/>
  <c r="AW43" i="11"/>
  <c r="AV44" i="11"/>
  <c r="AW44" i="11"/>
  <c r="AV45" i="11"/>
  <c r="AW45" i="11"/>
  <c r="AV46" i="11"/>
  <c r="AW46" i="11"/>
  <c r="AV47" i="11"/>
  <c r="AW47" i="11"/>
  <c r="AV48" i="11"/>
  <c r="AW48" i="11"/>
  <c r="AV49" i="11"/>
  <c r="AW49" i="11"/>
  <c r="AV50" i="11"/>
  <c r="AW50" i="11"/>
  <c r="AV53" i="11"/>
  <c r="AW53" i="11"/>
  <c r="AV54" i="11"/>
  <c r="AW54" i="11"/>
  <c r="AV55" i="11"/>
  <c r="AW55" i="11"/>
  <c r="AV56" i="11"/>
  <c r="AW56" i="11"/>
  <c r="AV57" i="11"/>
  <c r="AW57" i="11"/>
  <c r="AV58" i="11"/>
  <c r="AW58" i="11"/>
  <c r="AV59" i="11"/>
  <c r="AW59" i="11"/>
  <c r="AV60" i="11"/>
  <c r="AW60" i="11"/>
  <c r="AV61" i="11"/>
  <c r="AW61" i="11"/>
  <c r="AV62" i="11"/>
  <c r="AW62" i="11"/>
  <c r="BD52" i="6"/>
  <c r="BC52" i="6"/>
  <c r="BD38" i="6"/>
  <c r="BC38" i="6"/>
  <c r="BD23" i="6"/>
  <c r="BC23" i="6"/>
  <c r="BD5" i="6"/>
  <c r="BC5" i="6"/>
  <c r="AA52" i="6"/>
  <c r="Z52" i="6"/>
  <c r="AA38" i="6"/>
  <c r="Z38" i="6"/>
  <c r="AA23" i="6"/>
  <c r="Z23" i="6"/>
  <c r="AA5" i="6"/>
  <c r="Z5" i="6"/>
  <c r="CD52" i="7"/>
  <c r="CC52" i="7"/>
  <c r="CD38" i="7"/>
  <c r="CC38" i="7"/>
  <c r="CD23" i="7"/>
  <c r="CC23" i="7"/>
  <c r="CD5" i="7"/>
  <c r="CC5" i="7"/>
  <c r="AF52" i="7"/>
  <c r="AE52" i="7"/>
  <c r="AF38" i="7"/>
  <c r="AE38" i="7"/>
  <c r="AF23" i="7"/>
  <c r="AE23" i="7"/>
  <c r="AF5" i="7"/>
  <c r="AE5" i="7"/>
  <c r="AF52" i="10"/>
  <c r="AE52" i="10"/>
  <c r="AF38" i="10"/>
  <c r="AE38" i="10"/>
  <c r="AF23" i="10"/>
  <c r="AE23" i="10"/>
  <c r="AF5" i="10"/>
  <c r="AE5" i="10"/>
  <c r="CV52" i="1"/>
  <c r="CU52" i="1"/>
  <c r="CV38" i="1"/>
  <c r="CU38" i="1"/>
  <c r="CV23" i="1"/>
  <c r="CU23" i="1"/>
  <c r="CV5" i="1"/>
  <c r="CU5" i="1"/>
  <c r="AW52" i="1"/>
  <c r="AV52" i="1"/>
  <c r="AW38" i="1"/>
  <c r="AV38" i="1"/>
  <c r="AW23" i="1"/>
  <c r="AV23" i="1"/>
  <c r="AW5" i="1"/>
  <c r="AV5" i="1"/>
  <c r="AA52" i="5"/>
  <c r="Z52" i="5"/>
  <c r="AA38" i="5"/>
  <c r="Z38" i="5"/>
  <c r="AA23" i="5"/>
  <c r="Z23" i="5"/>
  <c r="AA5" i="5"/>
  <c r="Z5" i="5"/>
  <c r="AX52" i="4"/>
  <c r="AW52" i="4"/>
  <c r="AX38" i="4"/>
  <c r="AW38" i="4"/>
  <c r="AX23" i="4"/>
  <c r="AW22" i="11" s="1"/>
  <c r="AW23" i="4"/>
  <c r="AX5" i="4"/>
  <c r="AW5" i="4"/>
  <c r="M8" i="12" l="1"/>
  <c r="P8" i="12"/>
  <c r="H8" i="12"/>
  <c r="F8" i="12"/>
  <c r="D8" i="12"/>
  <c r="C8" i="12"/>
  <c r="AD6" i="6"/>
  <c r="AD39" i="6"/>
  <c r="AD24" i="6"/>
  <c r="BG53" i="6"/>
  <c r="J8" i="12"/>
  <c r="AI39" i="10"/>
  <c r="AI6" i="10"/>
  <c r="AI24" i="10"/>
  <c r="AI53" i="10"/>
  <c r="AI6" i="7"/>
  <c r="AI24" i="7"/>
  <c r="AI39" i="7"/>
  <c r="BG39" i="6"/>
  <c r="BG6" i="6"/>
  <c r="BG24" i="6"/>
  <c r="AD39" i="5"/>
  <c r="AD53" i="5"/>
  <c r="AD24" i="5"/>
  <c r="BA39" i="4"/>
  <c r="C43" i="12" s="1"/>
  <c r="BA53" i="4"/>
  <c r="C57" i="12" s="1"/>
  <c r="BA6" i="4"/>
  <c r="C10" i="12" s="1"/>
  <c r="BA24" i="4"/>
  <c r="C28" i="12" s="1"/>
  <c r="AC4" i="5"/>
  <c r="AB4" i="5"/>
  <c r="AB24" i="5" s="1"/>
  <c r="BF4" i="6"/>
  <c r="BF39" i="6" s="1"/>
  <c r="BE4" i="6"/>
  <c r="BE39" i="6" s="1"/>
  <c r="CF4" i="7"/>
  <c r="CE4" i="7"/>
  <c r="CE39" i="7" s="1"/>
  <c r="AH4" i="10"/>
  <c r="AH39" i="10" s="1"/>
  <c r="AG4" i="10"/>
  <c r="AG53" i="10" s="1"/>
  <c r="CX4" i="1"/>
  <c r="CX24" i="1" s="1"/>
  <c r="AY22" i="11"/>
  <c r="AX37" i="11"/>
  <c r="CW24" i="1"/>
  <c r="AY4" i="1"/>
  <c r="AY24" i="1" s="1"/>
  <c r="AX4" i="1"/>
  <c r="AX53" i="1" s="1"/>
  <c r="CW39" i="1"/>
  <c r="CW6" i="1"/>
  <c r="CW53" i="1"/>
  <c r="AY4" i="11"/>
  <c r="AX51" i="11"/>
  <c r="AB4" i="6"/>
  <c r="AB39" i="6" s="1"/>
  <c r="AC4" i="6"/>
  <c r="AG4" i="7"/>
  <c r="AG6" i="7" s="1"/>
  <c r="AH4" i="7"/>
  <c r="AG24" i="10"/>
  <c r="AH24" i="10"/>
  <c r="AG39" i="10"/>
  <c r="AY39" i="1"/>
  <c r="AY6" i="1"/>
  <c r="AW37" i="11"/>
  <c r="AY4" i="4"/>
  <c r="AZ4" i="4"/>
  <c r="CV4" i="1"/>
  <c r="CV39" i="1" s="1"/>
  <c r="AV37" i="11"/>
  <c r="Z4" i="6"/>
  <c r="Z24" i="6" s="1"/>
  <c r="AV22" i="11"/>
  <c r="BD4" i="6"/>
  <c r="BD39" i="6" s="1"/>
  <c r="BC4" i="6"/>
  <c r="BC24" i="6" s="1"/>
  <c r="AA4" i="6"/>
  <c r="AA24" i="6" s="1"/>
  <c r="CD4" i="7"/>
  <c r="CC4" i="7"/>
  <c r="CC6" i="7" s="1"/>
  <c r="AF4" i="7"/>
  <c r="AF53" i="7" s="1"/>
  <c r="AE4" i="7"/>
  <c r="AE53" i="7" s="1"/>
  <c r="AF4" i="10"/>
  <c r="AF53" i="10" s="1"/>
  <c r="AE4" i="10"/>
  <c r="AW51" i="11"/>
  <c r="CV6" i="1"/>
  <c r="AW4" i="11"/>
  <c r="AV51" i="11"/>
  <c r="CU4" i="1"/>
  <c r="CU24" i="1" s="1"/>
  <c r="AW4" i="1"/>
  <c r="AW24" i="1" s="1"/>
  <c r="AV4" i="1"/>
  <c r="AV24" i="1" s="1"/>
  <c r="AA4" i="5"/>
  <c r="Z4" i="5"/>
  <c r="Z53" i="5" s="1"/>
  <c r="AW4" i="4"/>
  <c r="AV4" i="11"/>
  <c r="Z53" i="6"/>
  <c r="AE53" i="10"/>
  <c r="AE24" i="10"/>
  <c r="AE39" i="10"/>
  <c r="AE6" i="10"/>
  <c r="CU39" i="1"/>
  <c r="CV24" i="1"/>
  <c r="AW6" i="1"/>
  <c r="AW39" i="1"/>
  <c r="AX4" i="4"/>
  <c r="AW53" i="4"/>
  <c r="AW24" i="4"/>
  <c r="AW39" i="4"/>
  <c r="AW6" i="4"/>
  <c r="AT6" i="11"/>
  <c r="AU6" i="11"/>
  <c r="AT7" i="11"/>
  <c r="AU7" i="11"/>
  <c r="AT8" i="11"/>
  <c r="AU8" i="11"/>
  <c r="AT9" i="11"/>
  <c r="AU9" i="11"/>
  <c r="AT10" i="11"/>
  <c r="AU10" i="11"/>
  <c r="AT11" i="11"/>
  <c r="AU11" i="11"/>
  <c r="AT12" i="11"/>
  <c r="AU12" i="11"/>
  <c r="AT13" i="11"/>
  <c r="AU13" i="11"/>
  <c r="AT14" i="11"/>
  <c r="AU14" i="11"/>
  <c r="AT15" i="11"/>
  <c r="AU15" i="11"/>
  <c r="AT16" i="11"/>
  <c r="AU16" i="11"/>
  <c r="AT17" i="11"/>
  <c r="AU17" i="11"/>
  <c r="AT18" i="11"/>
  <c r="AU18" i="11"/>
  <c r="AT19" i="11"/>
  <c r="AU19" i="11"/>
  <c r="AT20" i="11"/>
  <c r="AU20" i="11"/>
  <c r="AT21" i="11"/>
  <c r="AU21" i="11"/>
  <c r="AT24" i="11"/>
  <c r="AU24" i="11"/>
  <c r="AT25" i="11"/>
  <c r="AU25" i="11"/>
  <c r="AT26" i="11"/>
  <c r="AU26" i="11"/>
  <c r="AT27" i="11"/>
  <c r="AU27" i="11"/>
  <c r="AT28" i="11"/>
  <c r="AU28" i="11"/>
  <c r="AT29" i="11"/>
  <c r="AU29" i="11"/>
  <c r="AT30" i="11"/>
  <c r="AU30" i="11"/>
  <c r="AT31" i="11"/>
  <c r="AU31" i="11"/>
  <c r="AT32" i="11"/>
  <c r="AU32" i="11"/>
  <c r="AT33" i="11"/>
  <c r="AU33" i="11"/>
  <c r="AT34" i="11"/>
  <c r="AU34" i="11"/>
  <c r="AT35" i="11"/>
  <c r="AU35" i="11"/>
  <c r="AT36" i="11"/>
  <c r="AU36" i="11"/>
  <c r="AT39" i="11"/>
  <c r="AU39" i="11"/>
  <c r="AT40" i="11"/>
  <c r="AU40" i="11"/>
  <c r="AT41" i="11"/>
  <c r="AU41" i="11"/>
  <c r="AT42" i="11"/>
  <c r="AU42" i="11"/>
  <c r="AT43" i="11"/>
  <c r="AU43" i="11"/>
  <c r="AT44" i="11"/>
  <c r="AU44" i="11"/>
  <c r="AT45" i="11"/>
  <c r="AU45" i="11"/>
  <c r="AT46" i="11"/>
  <c r="AU46" i="11"/>
  <c r="AT47" i="11"/>
  <c r="AU47" i="11"/>
  <c r="AT48" i="11"/>
  <c r="AU48" i="11"/>
  <c r="AT49" i="11"/>
  <c r="AU49" i="11"/>
  <c r="AT50" i="11"/>
  <c r="AU50" i="11"/>
  <c r="AT53" i="11"/>
  <c r="AU53" i="11"/>
  <c r="AT54" i="11"/>
  <c r="AU54" i="11"/>
  <c r="AT55" i="11"/>
  <c r="AU55" i="11"/>
  <c r="AT56" i="11"/>
  <c r="AU56" i="11"/>
  <c r="AT57" i="11"/>
  <c r="AU57" i="11"/>
  <c r="AT58" i="11"/>
  <c r="AU58" i="11"/>
  <c r="AT59" i="11"/>
  <c r="AU59" i="11"/>
  <c r="AT60" i="11"/>
  <c r="AU60" i="11"/>
  <c r="AT61" i="11"/>
  <c r="AU61" i="11"/>
  <c r="AT62" i="11"/>
  <c r="AU62" i="11"/>
  <c r="X23" i="6"/>
  <c r="Y23" i="6"/>
  <c r="X38" i="6"/>
  <c r="Y38" i="6"/>
  <c r="X52" i="6"/>
  <c r="Y52" i="6"/>
  <c r="X5" i="6"/>
  <c r="Y5" i="6"/>
  <c r="BA52" i="6"/>
  <c r="BB52" i="6"/>
  <c r="I56" i="12" s="1"/>
  <c r="BA38" i="6"/>
  <c r="BB38" i="6"/>
  <c r="I42" i="12" s="1"/>
  <c r="BA23" i="6"/>
  <c r="BB23" i="6"/>
  <c r="I27" i="12" s="1"/>
  <c r="BA5" i="6"/>
  <c r="BB5" i="6"/>
  <c r="I9" i="12" s="1"/>
  <c r="CB38" i="7"/>
  <c r="CB52" i="7"/>
  <c r="CA52" i="7"/>
  <c r="CA38" i="7"/>
  <c r="CA23" i="7"/>
  <c r="CB23" i="7"/>
  <c r="CA5" i="7"/>
  <c r="CB5" i="7"/>
  <c r="AC52" i="7"/>
  <c r="AD52" i="7"/>
  <c r="K56" i="12" s="1"/>
  <c r="AC38" i="7"/>
  <c r="AD38" i="7"/>
  <c r="K42" i="12" s="1"/>
  <c r="AC23" i="7"/>
  <c r="AD23" i="7"/>
  <c r="K27" i="12" s="1"/>
  <c r="AC5" i="7"/>
  <c r="AD5" i="7"/>
  <c r="K9" i="12" s="1"/>
  <c r="AC5" i="10"/>
  <c r="AD5" i="10"/>
  <c r="AD4" i="10" s="1"/>
  <c r="AC23" i="10"/>
  <c r="AD23" i="10"/>
  <c r="AC38" i="10"/>
  <c r="AD38" i="10"/>
  <c r="AC52" i="10"/>
  <c r="AD52" i="10"/>
  <c r="CS23" i="1"/>
  <c r="CT23" i="1"/>
  <c r="G27" i="12" s="1"/>
  <c r="CS38" i="1"/>
  <c r="CT38" i="1"/>
  <c r="G42" i="12" s="1"/>
  <c r="CS52" i="1"/>
  <c r="CT52" i="1"/>
  <c r="G56" i="12" s="1"/>
  <c r="CS5" i="1"/>
  <c r="CT5" i="1"/>
  <c r="AT5" i="1"/>
  <c r="AU5" i="1"/>
  <c r="AT23" i="1"/>
  <c r="AU23" i="1"/>
  <c r="AT38" i="1"/>
  <c r="AU38" i="1"/>
  <c r="AT52" i="1"/>
  <c r="AU52" i="1"/>
  <c r="X5" i="5"/>
  <c r="Y5" i="5"/>
  <c r="E9" i="12" s="1"/>
  <c r="X23" i="5"/>
  <c r="Y23" i="5"/>
  <c r="E27" i="12" s="1"/>
  <c r="X38" i="5"/>
  <c r="Y38" i="5"/>
  <c r="E42" i="12" s="1"/>
  <c r="X52" i="5"/>
  <c r="E56" i="12" s="1"/>
  <c r="Y52" i="5"/>
  <c r="W5" i="5"/>
  <c r="AU23" i="4"/>
  <c r="AV23" i="4"/>
  <c r="AU38" i="4"/>
  <c r="AV38" i="4"/>
  <c r="AU52" i="4"/>
  <c r="AV52" i="4"/>
  <c r="AU5" i="4"/>
  <c r="AV5" i="4"/>
  <c r="AU4" i="11" l="1"/>
  <c r="G9" i="12"/>
  <c r="AA6" i="6"/>
  <c r="AA39" i="6"/>
  <c r="Z39" i="6"/>
  <c r="AC24" i="6"/>
  <c r="BE6" i="6"/>
  <c r="BE53" i="6"/>
  <c r="BC6" i="6"/>
  <c r="CF53" i="7"/>
  <c r="AH24" i="7"/>
  <c r="AC6" i="5"/>
  <c r="AH53" i="7"/>
  <c r="AH39" i="7"/>
  <c r="AC39" i="5"/>
  <c r="AC53" i="5"/>
  <c r="AC24" i="5"/>
  <c r="AB53" i="5"/>
  <c r="AB6" i="5"/>
  <c r="AB39" i="5"/>
  <c r="BF24" i="6"/>
  <c r="BF53" i="6"/>
  <c r="BF6" i="6"/>
  <c r="BE24" i="6"/>
  <c r="AC6" i="6"/>
  <c r="AC53" i="6"/>
  <c r="AC39" i="6"/>
  <c r="AB6" i="6"/>
  <c r="AB24" i="6"/>
  <c r="AB53" i="6"/>
  <c r="CE24" i="7"/>
  <c r="CE53" i="7"/>
  <c r="CF6" i="7"/>
  <c r="CF24" i="7"/>
  <c r="CF39" i="7"/>
  <c r="CE6" i="7"/>
  <c r="AG24" i="7"/>
  <c r="AG39" i="7"/>
  <c r="AG53" i="7"/>
  <c r="AH53" i="10"/>
  <c r="AH6" i="10"/>
  <c r="AG6" i="10"/>
  <c r="CX6" i="1"/>
  <c r="CX53" i="1"/>
  <c r="CX39" i="1"/>
  <c r="AY53" i="1"/>
  <c r="AX6" i="1"/>
  <c r="AX39" i="1"/>
  <c r="AX24" i="1"/>
  <c r="AZ53" i="4"/>
  <c r="AY3" i="11"/>
  <c r="AY53" i="4"/>
  <c r="AX3" i="11"/>
  <c r="Z6" i="6"/>
  <c r="BD6" i="6"/>
  <c r="BD53" i="6"/>
  <c r="AF6" i="7"/>
  <c r="AF24" i="7"/>
  <c r="AF39" i="7"/>
  <c r="AH6" i="7"/>
  <c r="AE6" i="7"/>
  <c r="AE39" i="7"/>
  <c r="AE24" i="7"/>
  <c r="AF6" i="10"/>
  <c r="AW53" i="1"/>
  <c r="AT22" i="11"/>
  <c r="AT51" i="11"/>
  <c r="AV39" i="1"/>
  <c r="AV6" i="1"/>
  <c r="AT4" i="11"/>
  <c r="Z6" i="5"/>
  <c r="Y4" i="5"/>
  <c r="E8" i="12" s="1"/>
  <c r="AY24" i="4"/>
  <c r="AY6" i="4"/>
  <c r="AY39" i="4"/>
  <c r="AZ6" i="4"/>
  <c r="AZ39" i="4"/>
  <c r="AZ24" i="4"/>
  <c r="AA39" i="5"/>
  <c r="AT4" i="1"/>
  <c r="AT53" i="1" s="1"/>
  <c r="AA6" i="5"/>
  <c r="AF39" i="10"/>
  <c r="BC53" i="6"/>
  <c r="AX6" i="4"/>
  <c r="AA53" i="5"/>
  <c r="AF24" i="10"/>
  <c r="BC39" i="6"/>
  <c r="CD6" i="7"/>
  <c r="Z39" i="5"/>
  <c r="CU6" i="1"/>
  <c r="CC39" i="7"/>
  <c r="CU53" i="1"/>
  <c r="AA53" i="6"/>
  <c r="AA24" i="5"/>
  <c r="CC24" i="7"/>
  <c r="AU4" i="1"/>
  <c r="AU53" i="1" s="1"/>
  <c r="Z24" i="5"/>
  <c r="CC53" i="7"/>
  <c r="AV3" i="11"/>
  <c r="BD24" i="6"/>
  <c r="CV53" i="1"/>
  <c r="CD24" i="7"/>
  <c r="CD39" i="7"/>
  <c r="CD53" i="7"/>
  <c r="AV53" i="1"/>
  <c r="AX39" i="4"/>
  <c r="AW3" i="11"/>
  <c r="AX24" i="4"/>
  <c r="AX53" i="4"/>
  <c r="AU37" i="11"/>
  <c r="X4" i="6"/>
  <c r="X4" i="5"/>
  <c r="X24" i="5" s="1"/>
  <c r="AU51" i="11"/>
  <c r="CS4" i="1"/>
  <c r="CS6" i="1" s="1"/>
  <c r="BA4" i="6"/>
  <c r="BA24" i="6" s="1"/>
  <c r="AU22" i="11"/>
  <c r="AC4" i="10"/>
  <c r="AC53" i="10" s="1"/>
  <c r="CA4" i="7"/>
  <c r="AT37" i="11"/>
  <c r="Y4" i="6"/>
  <c r="BB4" i="6"/>
  <c r="I8" i="12" s="1"/>
  <c r="CB4" i="7"/>
  <c r="AC4" i="7"/>
  <c r="AC6" i="7" s="1"/>
  <c r="AD4" i="7"/>
  <c r="K8" i="12" s="1"/>
  <c r="AD53" i="10"/>
  <c r="AD24" i="10"/>
  <c r="AD6" i="10"/>
  <c r="AD39" i="10"/>
  <c r="CT4" i="1"/>
  <c r="G8" i="12" s="1"/>
  <c r="Y53" i="5"/>
  <c r="Y6" i="5"/>
  <c r="AV4" i="4"/>
  <c r="AU4" i="4"/>
  <c r="AU24" i="4" s="1"/>
  <c r="X53" i="6" l="1"/>
  <c r="CA24" i="7"/>
  <c r="Y24" i="5"/>
  <c r="Y39" i="5"/>
  <c r="AC39" i="10"/>
  <c r="AC6" i="10"/>
  <c r="X6" i="6"/>
  <c r="BA53" i="6"/>
  <c r="CA39" i="7"/>
  <c r="AC24" i="10"/>
  <c r="AT6" i="1"/>
  <c r="AT39" i="1"/>
  <c r="AT24" i="1"/>
  <c r="CS39" i="1"/>
  <c r="AU24" i="1"/>
  <c r="AU39" i="1"/>
  <c r="AU6" i="1"/>
  <c r="X6" i="5"/>
  <c r="AC53" i="7"/>
  <c r="Y24" i="6"/>
  <c r="X39" i="6"/>
  <c r="X24" i="6"/>
  <c r="X39" i="5"/>
  <c r="BA6" i="6"/>
  <c r="CA6" i="7"/>
  <c r="CA53" i="7"/>
  <c r="X53" i="5"/>
  <c r="AU3" i="11"/>
  <c r="CS53" i="1"/>
  <c r="AT3" i="11"/>
  <c r="CS24" i="1"/>
  <c r="AD53" i="7"/>
  <c r="BA39" i="6"/>
  <c r="Y6" i="6"/>
  <c r="Y39" i="6"/>
  <c r="Y53" i="6"/>
  <c r="BB6" i="6"/>
  <c r="BB53" i="6"/>
  <c r="BB39" i="6"/>
  <c r="BB24" i="6"/>
  <c r="CB6" i="7"/>
  <c r="CB53" i="7"/>
  <c r="CB39" i="7"/>
  <c r="CB24" i="7"/>
  <c r="AD24" i="7"/>
  <c r="AC39" i="7"/>
  <c r="AD6" i="7"/>
  <c r="AD39" i="7"/>
  <c r="AC24" i="7"/>
  <c r="CT6" i="1"/>
  <c r="CT24" i="1"/>
  <c r="CT39" i="1"/>
  <c r="CT53" i="1"/>
  <c r="AV6" i="4"/>
  <c r="AV24" i="4"/>
  <c r="AU39" i="4"/>
  <c r="AV39" i="4"/>
  <c r="AU6" i="4"/>
  <c r="AU53" i="4"/>
  <c r="AV53" i="4"/>
  <c r="AS6" i="11" l="1"/>
  <c r="AS7" i="11"/>
  <c r="AS8" i="11"/>
  <c r="AS9" i="11"/>
  <c r="AS10" i="11"/>
  <c r="AS11" i="11"/>
  <c r="AS12" i="11"/>
  <c r="AS13" i="11"/>
  <c r="AS14" i="11"/>
  <c r="AS15" i="11"/>
  <c r="AS16" i="11"/>
  <c r="AS17" i="11"/>
  <c r="AS18" i="11"/>
  <c r="AS19" i="11"/>
  <c r="AS20" i="11"/>
  <c r="AS21" i="11"/>
  <c r="AS24" i="11"/>
  <c r="AS25" i="11"/>
  <c r="AS26" i="11"/>
  <c r="AS27" i="11"/>
  <c r="AS28" i="11"/>
  <c r="AS29" i="11"/>
  <c r="AS30" i="11"/>
  <c r="AS31" i="11"/>
  <c r="AS32" i="11"/>
  <c r="AS33" i="11"/>
  <c r="AS34" i="11"/>
  <c r="AS35" i="11"/>
  <c r="AS36" i="11"/>
  <c r="AS39" i="11"/>
  <c r="AS40" i="11"/>
  <c r="AS41" i="11"/>
  <c r="AS42" i="11"/>
  <c r="AS43" i="11"/>
  <c r="AS44" i="11"/>
  <c r="AS45" i="11"/>
  <c r="AS46" i="11"/>
  <c r="AS47" i="11"/>
  <c r="AS48" i="11"/>
  <c r="AS49" i="11"/>
  <c r="AS50" i="11"/>
  <c r="AS53" i="11"/>
  <c r="AS54" i="11"/>
  <c r="AS55" i="11"/>
  <c r="AS56" i="11"/>
  <c r="AS57" i="11"/>
  <c r="AS58" i="11"/>
  <c r="AS59" i="11"/>
  <c r="AS60" i="11"/>
  <c r="AS61" i="11"/>
  <c r="AS62" i="11"/>
  <c r="AT52" i="4" l="1"/>
  <c r="AT38" i="4"/>
  <c r="AT23" i="4"/>
  <c r="AT5" i="4"/>
  <c r="W52" i="5"/>
  <c r="W38" i="5"/>
  <c r="W23" i="5"/>
  <c r="W4" i="5" s="1"/>
  <c r="W6" i="5" s="1"/>
  <c r="CR52" i="1"/>
  <c r="AS51" i="11" s="1"/>
  <c r="CR38" i="1"/>
  <c r="CR23" i="1"/>
  <c r="CR5" i="1"/>
  <c r="AS4" i="11" s="1"/>
  <c r="AR52" i="1"/>
  <c r="AS52" i="1"/>
  <c r="AR38" i="1"/>
  <c r="AS38" i="1"/>
  <c r="AR23" i="1"/>
  <c r="AS23" i="1"/>
  <c r="AR5" i="1"/>
  <c r="AS5" i="1"/>
  <c r="BA5" i="1"/>
  <c r="BB5" i="1"/>
  <c r="BC5" i="1"/>
  <c r="AB52" i="10"/>
  <c r="AB38" i="10"/>
  <c r="AB23" i="10"/>
  <c r="AB5" i="10"/>
  <c r="BZ52" i="7"/>
  <c r="BZ38" i="7"/>
  <c r="BZ23" i="7"/>
  <c r="BZ5" i="7"/>
  <c r="AB52" i="7"/>
  <c r="AB38" i="7"/>
  <c r="AB23" i="7"/>
  <c r="AB5" i="7"/>
  <c r="AZ52" i="6"/>
  <c r="AZ38" i="6"/>
  <c r="AZ23" i="6"/>
  <c r="AZ5" i="6"/>
  <c r="W52" i="6"/>
  <c r="W38" i="6"/>
  <c r="W23" i="6"/>
  <c r="W5" i="6"/>
  <c r="AS22" i="11" l="1"/>
  <c r="AS37" i="11"/>
  <c r="AT4" i="4"/>
  <c r="W24" i="5"/>
  <c r="CR4" i="1"/>
  <c r="AS4" i="1"/>
  <c r="AS6" i="1" s="1"/>
  <c r="AR4" i="1"/>
  <c r="AR39" i="1" s="1"/>
  <c r="AB4" i="10"/>
  <c r="AB24" i="10" s="1"/>
  <c r="BZ4" i="7"/>
  <c r="AB4" i="7"/>
  <c r="AZ4" i="6"/>
  <c r="AZ6" i="6" s="1"/>
  <c r="W4" i="6"/>
  <c r="AR53" i="11"/>
  <c r="AR54" i="11"/>
  <c r="AR55" i="11"/>
  <c r="AR56" i="11"/>
  <c r="AR57" i="11"/>
  <c r="AR58" i="11"/>
  <c r="AR59" i="11"/>
  <c r="AR60" i="11"/>
  <c r="AR61" i="11"/>
  <c r="AR62" i="11"/>
  <c r="AR39" i="11"/>
  <c r="AR40" i="11"/>
  <c r="AR41" i="11"/>
  <c r="AR42" i="11"/>
  <c r="AR43" i="11"/>
  <c r="AR44" i="11"/>
  <c r="AR45" i="11"/>
  <c r="AR46" i="11"/>
  <c r="AR47" i="11"/>
  <c r="AR48" i="11"/>
  <c r="AR49" i="11"/>
  <c r="AR50" i="11"/>
  <c r="AR24" i="11"/>
  <c r="AR25" i="11"/>
  <c r="AR26" i="11"/>
  <c r="AR27" i="11"/>
  <c r="AR28" i="11"/>
  <c r="AR29" i="11"/>
  <c r="AR30" i="11"/>
  <c r="AR31" i="11"/>
  <c r="AR32" i="11"/>
  <c r="AR33" i="11"/>
  <c r="AR34" i="11"/>
  <c r="AR35" i="11"/>
  <c r="AR36" i="11"/>
  <c r="AR7" i="11"/>
  <c r="AR8" i="11"/>
  <c r="AR9" i="11"/>
  <c r="AR10" i="11"/>
  <c r="AR11" i="11"/>
  <c r="AR12" i="11"/>
  <c r="AR13" i="11"/>
  <c r="AR14" i="11"/>
  <c r="AR15" i="11"/>
  <c r="AR16" i="11"/>
  <c r="AR17" i="11"/>
  <c r="AR18" i="11"/>
  <c r="AR19" i="11"/>
  <c r="AR20" i="11"/>
  <c r="AR21" i="11"/>
  <c r="AR6" i="11"/>
  <c r="V5" i="6"/>
  <c r="V23" i="6"/>
  <c r="V38" i="6"/>
  <c r="V52" i="6"/>
  <c r="AY52" i="6"/>
  <c r="AY38" i="6"/>
  <c r="AY23" i="6"/>
  <c r="AY5" i="6"/>
  <c r="BY5" i="7"/>
  <c r="BY23" i="7"/>
  <c r="BY38" i="7"/>
  <c r="BY52" i="7"/>
  <c r="BX52" i="7"/>
  <c r="AA5" i="7"/>
  <c r="AA23" i="7"/>
  <c r="AA38" i="7"/>
  <c r="AA52" i="7"/>
  <c r="AA52" i="10"/>
  <c r="AA38" i="10"/>
  <c r="AA23" i="10"/>
  <c r="AA5" i="10"/>
  <c r="CQ52" i="1"/>
  <c r="CQ38" i="1"/>
  <c r="CQ23" i="1"/>
  <c r="CQ5" i="1"/>
  <c r="AS52" i="4"/>
  <c r="AS38" i="4"/>
  <c r="AS23" i="4"/>
  <c r="AS5" i="4"/>
  <c r="V5" i="5"/>
  <c r="V23" i="5"/>
  <c r="V38" i="5"/>
  <c r="V52" i="5"/>
  <c r="AR37" i="11" l="1"/>
  <c r="AR51" i="11"/>
  <c r="AA4" i="7"/>
  <c r="AR4" i="11"/>
  <c r="BY4" i="7"/>
  <c r="BY24" i="7" s="1"/>
  <c r="AR22" i="11"/>
  <c r="BZ53" i="7"/>
  <c r="CR53" i="1"/>
  <c r="AS3" i="11"/>
  <c r="AB53" i="7"/>
  <c r="V4" i="5"/>
  <c r="AT24" i="4"/>
  <c r="AS4" i="4"/>
  <c r="AZ53" i="6"/>
  <c r="V4" i="6"/>
  <c r="AA4" i="10"/>
  <c r="AA6" i="10" s="1"/>
  <c r="AR53" i="1"/>
  <c r="AT6" i="4"/>
  <c r="AT53" i="4"/>
  <c r="AT39" i="4"/>
  <c r="W53" i="5"/>
  <c r="W39" i="5"/>
  <c r="CR6" i="1"/>
  <c r="CR39" i="1"/>
  <c r="CR24" i="1"/>
  <c r="AS24" i="1"/>
  <c r="AS39" i="1"/>
  <c r="AS53" i="1"/>
  <c r="AR6" i="1"/>
  <c r="AR24" i="1"/>
  <c r="AB6" i="10"/>
  <c r="AB53" i="10"/>
  <c r="AB39" i="10"/>
  <c r="BZ24" i="7"/>
  <c r="BZ6" i="7"/>
  <c r="BZ39" i="7"/>
  <c r="AB24" i="7"/>
  <c r="AB6" i="7"/>
  <c r="AB39" i="7"/>
  <c r="AZ24" i="6"/>
  <c r="AZ39" i="6"/>
  <c r="W39" i="6"/>
  <c r="W53" i="6"/>
  <c r="W6" i="6"/>
  <c r="W24" i="6"/>
  <c r="AY4" i="6"/>
  <c r="BY39" i="7"/>
  <c r="CQ4" i="1"/>
  <c r="BY53" i="7" l="1"/>
  <c r="CQ24" i="1"/>
  <c r="AY6" i="6"/>
  <c r="AS24" i="4"/>
  <c r="AA39" i="10"/>
  <c r="BY6" i="7"/>
  <c r="AA6" i="7"/>
  <c r="V6" i="6"/>
  <c r="AA53" i="10"/>
  <c r="AA24" i="10"/>
  <c r="AA24" i="7"/>
  <c r="AA53" i="7"/>
  <c r="AA39" i="7"/>
  <c r="V24" i="5"/>
  <c r="AS6" i="4"/>
  <c r="AS39" i="4"/>
  <c r="AS53" i="4"/>
  <c r="V53" i="6"/>
  <c r="V24" i="6"/>
  <c r="V39" i="6"/>
  <c r="CQ53" i="1"/>
  <c r="AR3" i="11"/>
  <c r="V6" i="5"/>
  <c r="V53" i="5"/>
  <c r="V39" i="5"/>
  <c r="CQ39" i="1"/>
  <c r="AY39" i="6"/>
  <c r="AY53" i="6"/>
  <c r="AY24" i="6"/>
  <c r="CQ6" i="1"/>
  <c r="AQ6" i="11" l="1"/>
  <c r="AQ7" i="11"/>
  <c r="AQ8" i="11"/>
  <c r="AQ9" i="11"/>
  <c r="AQ10" i="11"/>
  <c r="AQ11" i="11"/>
  <c r="AQ12" i="11"/>
  <c r="AQ13" i="11"/>
  <c r="AQ14" i="11"/>
  <c r="AQ15" i="11"/>
  <c r="AQ16" i="11"/>
  <c r="AQ17" i="11"/>
  <c r="AQ18" i="11"/>
  <c r="AQ19" i="11"/>
  <c r="AQ20" i="11"/>
  <c r="AQ21" i="11"/>
  <c r="AQ24" i="11"/>
  <c r="AQ25" i="11"/>
  <c r="AQ26" i="11"/>
  <c r="AQ27" i="11"/>
  <c r="AQ28" i="11"/>
  <c r="AQ29" i="11"/>
  <c r="AQ30" i="11"/>
  <c r="AQ31" i="11"/>
  <c r="AQ32" i="11"/>
  <c r="AQ33" i="11"/>
  <c r="AQ34" i="11"/>
  <c r="AQ35" i="11"/>
  <c r="AQ36" i="11"/>
  <c r="AQ39" i="11"/>
  <c r="AQ40" i="11"/>
  <c r="AQ41" i="11"/>
  <c r="AQ42" i="11"/>
  <c r="AQ43" i="11"/>
  <c r="AQ44" i="11"/>
  <c r="AQ45" i="11"/>
  <c r="AQ46" i="11"/>
  <c r="AQ47" i="11"/>
  <c r="AQ48" i="11"/>
  <c r="AQ49" i="11"/>
  <c r="AQ50" i="11"/>
  <c r="AQ53" i="11"/>
  <c r="AQ54" i="11"/>
  <c r="AQ55" i="11"/>
  <c r="AQ56" i="11"/>
  <c r="AQ57" i="11"/>
  <c r="AQ58" i="11"/>
  <c r="AQ59" i="11"/>
  <c r="AQ60" i="11"/>
  <c r="AQ61" i="11"/>
  <c r="AQ62" i="11"/>
  <c r="AX52" i="6"/>
  <c r="AX38" i="6"/>
  <c r="AX23" i="6"/>
  <c r="AX5" i="6"/>
  <c r="U52" i="6"/>
  <c r="U38" i="6"/>
  <c r="U23" i="6"/>
  <c r="U5" i="6"/>
  <c r="Z52" i="7"/>
  <c r="Z38" i="7"/>
  <c r="Z23" i="7"/>
  <c r="Z5" i="7"/>
  <c r="BX38" i="7"/>
  <c r="BX23" i="7"/>
  <c r="BX5" i="7"/>
  <c r="Z52" i="10"/>
  <c r="Z38" i="10"/>
  <c r="Z23" i="10"/>
  <c r="Z5" i="10"/>
  <c r="AQ52" i="1"/>
  <c r="AQ38" i="1"/>
  <c r="AQ23" i="1"/>
  <c r="AQ5" i="1"/>
  <c r="CP52" i="1"/>
  <c r="CP38" i="1"/>
  <c r="CP23" i="1"/>
  <c r="CP5" i="1"/>
  <c r="U52" i="5"/>
  <c r="U38" i="5"/>
  <c r="U23" i="5"/>
  <c r="U5" i="5"/>
  <c r="AR52" i="4"/>
  <c r="AR38" i="4"/>
  <c r="AR23" i="4"/>
  <c r="AQ22" i="11" s="1"/>
  <c r="AR5" i="4"/>
  <c r="AQ51" i="11" l="1"/>
  <c r="AQ37" i="11"/>
  <c r="Z4" i="7"/>
  <c r="Z6" i="7" s="1"/>
  <c r="Z4" i="10"/>
  <c r="Z6" i="10" s="1"/>
  <c r="AQ4" i="1"/>
  <c r="AQ6" i="1" s="1"/>
  <c r="AR4" i="4"/>
  <c r="AR6" i="4" s="1"/>
  <c r="AQ4" i="11"/>
  <c r="U4" i="5"/>
  <c r="U6" i="5" s="1"/>
  <c r="AX4" i="6"/>
  <c r="AX53" i="6" s="1"/>
  <c r="U4" i="6"/>
  <c r="U39" i="6" s="1"/>
  <c r="BX4" i="7"/>
  <c r="BX53" i="7" s="1"/>
  <c r="CP4" i="1"/>
  <c r="AW52" i="6"/>
  <c r="AW38" i="6"/>
  <c r="AW23" i="6"/>
  <c r="AW5" i="6"/>
  <c r="T52" i="6"/>
  <c r="T38" i="6"/>
  <c r="T23" i="6"/>
  <c r="T5" i="6"/>
  <c r="Y52" i="7"/>
  <c r="Y38" i="7"/>
  <c r="Y23" i="7"/>
  <c r="Y5" i="7"/>
  <c r="AP6" i="11"/>
  <c r="AP7" i="11"/>
  <c r="AP8" i="11"/>
  <c r="AP9" i="11"/>
  <c r="AP10" i="11"/>
  <c r="AP11" i="11"/>
  <c r="AP12" i="11"/>
  <c r="AP13" i="11"/>
  <c r="AP14" i="11"/>
  <c r="AP15" i="11"/>
  <c r="AP16" i="11"/>
  <c r="AP17" i="11"/>
  <c r="AP18" i="11"/>
  <c r="AP19" i="11"/>
  <c r="AP20" i="11"/>
  <c r="AP21" i="11"/>
  <c r="AP24" i="11"/>
  <c r="AP25" i="11"/>
  <c r="AP26" i="11"/>
  <c r="AP27" i="11"/>
  <c r="AP28" i="11"/>
  <c r="AP29" i="11"/>
  <c r="AP30" i="11"/>
  <c r="AP31" i="11"/>
  <c r="AP32" i="11"/>
  <c r="AP33" i="11"/>
  <c r="AP34" i="11"/>
  <c r="AP35" i="11"/>
  <c r="AP36" i="11"/>
  <c r="AP39" i="11"/>
  <c r="AP40" i="11"/>
  <c r="AP41" i="11"/>
  <c r="AP42" i="11"/>
  <c r="AP43" i="11"/>
  <c r="AP44" i="11"/>
  <c r="AP45" i="11"/>
  <c r="AP46" i="11"/>
  <c r="AP47" i="11"/>
  <c r="AP48" i="11"/>
  <c r="AP49" i="11"/>
  <c r="AP50" i="11"/>
  <c r="AP53" i="11"/>
  <c r="AP54" i="11"/>
  <c r="AP55" i="11"/>
  <c r="AP56" i="11"/>
  <c r="AP57" i="11"/>
  <c r="AP58" i="11"/>
  <c r="AP59" i="11"/>
  <c r="AP60" i="11"/>
  <c r="AP61" i="11"/>
  <c r="AP62" i="11"/>
  <c r="BW52" i="7"/>
  <c r="BW38" i="7"/>
  <c r="BW23" i="7"/>
  <c r="BW5" i="7"/>
  <c r="Y52" i="10"/>
  <c r="Y38" i="10"/>
  <c r="Y23" i="10"/>
  <c r="Y5" i="10"/>
  <c r="CO38" i="1"/>
  <c r="CO52" i="1"/>
  <c r="CO23" i="1"/>
  <c r="CO5" i="1"/>
  <c r="AP52" i="1"/>
  <c r="AP38" i="1"/>
  <c r="AP23" i="1"/>
  <c r="AP5" i="1"/>
  <c r="T52" i="5"/>
  <c r="T38" i="5"/>
  <c r="T23" i="5"/>
  <c r="T5" i="5"/>
  <c r="AQ52" i="4"/>
  <c r="AQ38" i="4"/>
  <c r="AQ23" i="4"/>
  <c r="AQ5" i="4"/>
  <c r="C6" i="11"/>
  <c r="D6" i="11"/>
  <c r="E6" i="11"/>
  <c r="F6" i="11"/>
  <c r="G6" i="11"/>
  <c r="H6" i="11"/>
  <c r="I6" i="11"/>
  <c r="J6" i="11"/>
  <c r="K6" i="11"/>
  <c r="L6" i="11"/>
  <c r="M6" i="11"/>
  <c r="N6" i="11"/>
  <c r="O6" i="11"/>
  <c r="P6" i="11"/>
  <c r="Q6" i="11"/>
  <c r="R6" i="11"/>
  <c r="S6" i="11"/>
  <c r="T6" i="11"/>
  <c r="U6" i="11"/>
  <c r="V6" i="11"/>
  <c r="W6" i="11"/>
  <c r="X6" i="11"/>
  <c r="Y6" i="11"/>
  <c r="Z6" i="11"/>
  <c r="AA6" i="11"/>
  <c r="AB6" i="11"/>
  <c r="AC6" i="11"/>
  <c r="AD6" i="11"/>
  <c r="AE6" i="11"/>
  <c r="AF6" i="11"/>
  <c r="AG6" i="11"/>
  <c r="AH6" i="11"/>
  <c r="AI6" i="11"/>
  <c r="AJ6" i="11"/>
  <c r="AK6" i="11"/>
  <c r="AL6" i="11"/>
  <c r="AM6" i="11"/>
  <c r="AN6" i="11"/>
  <c r="AO6" i="11"/>
  <c r="C7" i="11"/>
  <c r="D7" i="11"/>
  <c r="E7" i="11"/>
  <c r="F7" i="11"/>
  <c r="G7"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C9" i="11"/>
  <c r="D9" i="11"/>
  <c r="E9" i="11"/>
  <c r="F9" i="11"/>
  <c r="G9" i="11"/>
  <c r="H9" i="11"/>
  <c r="I9" i="11"/>
  <c r="J9" i="11"/>
  <c r="K9" i="11"/>
  <c r="L9" i="11"/>
  <c r="M9" i="11"/>
  <c r="N9" i="11"/>
  <c r="O9" i="11"/>
  <c r="P9" i="11"/>
  <c r="Q9" i="11"/>
  <c r="R9" i="11"/>
  <c r="S9" i="11"/>
  <c r="T9" i="11"/>
  <c r="U9" i="11"/>
  <c r="V9" i="11"/>
  <c r="W9" i="11"/>
  <c r="X9" i="11"/>
  <c r="Y9" i="11"/>
  <c r="Z9" i="11"/>
  <c r="AA9" i="11"/>
  <c r="AB9" i="11"/>
  <c r="AC9" i="11"/>
  <c r="AD9" i="11"/>
  <c r="AE9" i="11"/>
  <c r="AF9" i="11"/>
  <c r="AG9" i="11"/>
  <c r="AH9" i="11"/>
  <c r="AI9" i="11"/>
  <c r="AJ9" i="11"/>
  <c r="AK9" i="11"/>
  <c r="AL9" i="11"/>
  <c r="AM9" i="11"/>
  <c r="AN9" i="11"/>
  <c r="AO9" i="11"/>
  <c r="C10" i="11"/>
  <c r="D10" i="11"/>
  <c r="E10" i="11"/>
  <c r="F10" i="11"/>
  <c r="G10"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C11" i="11"/>
  <c r="D11" i="11"/>
  <c r="E11" i="11"/>
  <c r="F11" i="11"/>
  <c r="G11" i="11"/>
  <c r="H11" i="11"/>
  <c r="I11" i="11"/>
  <c r="J11" i="11"/>
  <c r="K11" i="11"/>
  <c r="L11" i="11"/>
  <c r="M11" i="11"/>
  <c r="N11" i="11"/>
  <c r="O11" i="11"/>
  <c r="P11" i="11"/>
  <c r="Q11" i="11"/>
  <c r="R11" i="11"/>
  <c r="S11" i="11"/>
  <c r="T11" i="11"/>
  <c r="U11" i="11"/>
  <c r="V11" i="11"/>
  <c r="W11" i="11"/>
  <c r="X11" i="11"/>
  <c r="Y11" i="11"/>
  <c r="Z11" i="11"/>
  <c r="AA11" i="11"/>
  <c r="AB11" i="11"/>
  <c r="AC11" i="11"/>
  <c r="AD11" i="11"/>
  <c r="AE11" i="11"/>
  <c r="AF11" i="11"/>
  <c r="AG11" i="11"/>
  <c r="AH11" i="11"/>
  <c r="AI11" i="11"/>
  <c r="AJ11" i="11"/>
  <c r="AK11" i="11"/>
  <c r="AL11" i="11"/>
  <c r="AM11" i="11"/>
  <c r="AN11" i="11"/>
  <c r="AO11" i="11"/>
  <c r="C12" i="11"/>
  <c r="D12" i="11"/>
  <c r="E12" i="11"/>
  <c r="F12" i="11"/>
  <c r="G12" i="11"/>
  <c r="H12" i="11"/>
  <c r="I12" i="11"/>
  <c r="J12" i="11"/>
  <c r="K12" i="11"/>
  <c r="L12" i="11"/>
  <c r="M12" i="11"/>
  <c r="N12" i="11"/>
  <c r="O12" i="11"/>
  <c r="P12" i="11"/>
  <c r="Q12" i="11"/>
  <c r="R12" i="11"/>
  <c r="S12" i="11"/>
  <c r="T12" i="11"/>
  <c r="U12" i="11"/>
  <c r="V12" i="11"/>
  <c r="W12" i="11"/>
  <c r="X12" i="11"/>
  <c r="Y12" i="11"/>
  <c r="Z12" i="11"/>
  <c r="AA12" i="11"/>
  <c r="AB12" i="11"/>
  <c r="AC12" i="11"/>
  <c r="AD12" i="11"/>
  <c r="AE12" i="11"/>
  <c r="AF12" i="11"/>
  <c r="AG12" i="11"/>
  <c r="AH12" i="11"/>
  <c r="AI12" i="11"/>
  <c r="AJ12" i="11"/>
  <c r="AK12" i="11"/>
  <c r="AL12" i="11"/>
  <c r="AM12" i="11"/>
  <c r="AN12" i="11"/>
  <c r="AO12" i="11"/>
  <c r="C13" i="11"/>
  <c r="D13" i="11"/>
  <c r="E13" i="11"/>
  <c r="F13" i="11"/>
  <c r="G13" i="11"/>
  <c r="H13" i="11"/>
  <c r="I13" i="11"/>
  <c r="J13" i="11"/>
  <c r="K13" i="11"/>
  <c r="L13" i="11"/>
  <c r="M13" i="11"/>
  <c r="N13" i="11"/>
  <c r="O13" i="11"/>
  <c r="P13" i="11"/>
  <c r="Q13" i="11"/>
  <c r="R13" i="11"/>
  <c r="S13" i="11"/>
  <c r="T13" i="11"/>
  <c r="U13" i="11"/>
  <c r="V13" i="11"/>
  <c r="W13" i="11"/>
  <c r="X13" i="11"/>
  <c r="Y13" i="11"/>
  <c r="Z13" i="11"/>
  <c r="AA13" i="11"/>
  <c r="AB13" i="11"/>
  <c r="AC13" i="11"/>
  <c r="AD13" i="11"/>
  <c r="AE13" i="11"/>
  <c r="AF13" i="11"/>
  <c r="AG13" i="11"/>
  <c r="AH13" i="11"/>
  <c r="AI13" i="11"/>
  <c r="AJ13" i="11"/>
  <c r="AK13" i="11"/>
  <c r="AL13" i="11"/>
  <c r="AM13" i="11"/>
  <c r="AN13" i="11"/>
  <c r="AO13"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C18" i="11"/>
  <c r="D18" i="11"/>
  <c r="E18" i="11"/>
  <c r="F18" i="11"/>
  <c r="G18" i="11"/>
  <c r="H18" i="11"/>
  <c r="I18" i="11"/>
  <c r="J18" i="11"/>
  <c r="K18" i="11"/>
  <c r="L18" i="11"/>
  <c r="M18" i="11"/>
  <c r="N18" i="11"/>
  <c r="O18" i="11"/>
  <c r="P18" i="11"/>
  <c r="Q18" i="11"/>
  <c r="R18" i="11"/>
  <c r="S18" i="11"/>
  <c r="T18" i="11"/>
  <c r="U18" i="11"/>
  <c r="V18" i="11"/>
  <c r="W18" i="11"/>
  <c r="X18" i="11"/>
  <c r="Y18" i="11"/>
  <c r="Z18" i="11"/>
  <c r="AA18" i="11"/>
  <c r="AB18" i="11"/>
  <c r="AC18" i="11"/>
  <c r="AD18" i="11"/>
  <c r="AE18" i="11"/>
  <c r="AF18" i="11"/>
  <c r="AG18" i="11"/>
  <c r="AH18" i="11"/>
  <c r="AI18" i="11"/>
  <c r="AJ18" i="11"/>
  <c r="AK18" i="11"/>
  <c r="AL18" i="11"/>
  <c r="AM18" i="11"/>
  <c r="AN18" i="11"/>
  <c r="AO18"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AE21" i="11"/>
  <c r="AF21" i="11"/>
  <c r="AG21" i="11"/>
  <c r="AH21" i="11"/>
  <c r="AI21" i="11"/>
  <c r="AJ21" i="11"/>
  <c r="AK21" i="11"/>
  <c r="AL21" i="11"/>
  <c r="AM21" i="11"/>
  <c r="AN21" i="11"/>
  <c r="AO21" i="11"/>
  <c r="C24" i="11"/>
  <c r="D24" i="11"/>
  <c r="E24" i="11"/>
  <c r="F24" i="11"/>
  <c r="G24" i="11"/>
  <c r="H24" i="11"/>
  <c r="I24" i="11"/>
  <c r="J24" i="11"/>
  <c r="K24" i="11"/>
  <c r="L24" i="11"/>
  <c r="M24" i="11"/>
  <c r="N24" i="11"/>
  <c r="O24" i="11"/>
  <c r="P24" i="11"/>
  <c r="Q24" i="11"/>
  <c r="R24" i="11"/>
  <c r="S24" i="11"/>
  <c r="T24" i="11"/>
  <c r="U24" i="11"/>
  <c r="V24" i="11"/>
  <c r="W24" i="11"/>
  <c r="X24" i="11"/>
  <c r="Y24" i="11"/>
  <c r="Z24" i="11"/>
  <c r="AA24" i="11"/>
  <c r="AB24" i="11"/>
  <c r="AC24" i="11"/>
  <c r="AD24" i="11"/>
  <c r="AE24" i="11"/>
  <c r="AF24" i="11"/>
  <c r="AG24" i="11"/>
  <c r="AH24" i="11"/>
  <c r="AI24" i="11"/>
  <c r="AJ24" i="11"/>
  <c r="AK24" i="11"/>
  <c r="AL24" i="11"/>
  <c r="AM24" i="11"/>
  <c r="AN24" i="11"/>
  <c r="AO24"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C29" i="11"/>
  <c r="D29" i="11"/>
  <c r="E29" i="11"/>
  <c r="F29" i="11"/>
  <c r="G29" i="11"/>
  <c r="H29" i="11"/>
  <c r="I29" i="11"/>
  <c r="J29" i="11"/>
  <c r="K29" i="11"/>
  <c r="L29" i="11"/>
  <c r="M29" i="11"/>
  <c r="N29" i="11"/>
  <c r="O29" i="11"/>
  <c r="P29" i="11"/>
  <c r="Q29" i="11"/>
  <c r="R29" i="11"/>
  <c r="S29" i="11"/>
  <c r="T29" i="11"/>
  <c r="U29" i="11"/>
  <c r="V29" i="11"/>
  <c r="W29" i="11"/>
  <c r="X29" i="11"/>
  <c r="Y29" i="11"/>
  <c r="Z29" i="11"/>
  <c r="AA29" i="11"/>
  <c r="AB29" i="11"/>
  <c r="AC29" i="11"/>
  <c r="AD29" i="11"/>
  <c r="AE29" i="11"/>
  <c r="AF29" i="11"/>
  <c r="AG29" i="11"/>
  <c r="AH29" i="11"/>
  <c r="AI29" i="11"/>
  <c r="AJ29" i="11"/>
  <c r="AK29" i="11"/>
  <c r="AL29" i="11"/>
  <c r="AM29" i="11"/>
  <c r="AN29" i="11"/>
  <c r="AO29" i="11"/>
  <c r="C30" i="11"/>
  <c r="D30" i="11"/>
  <c r="E30" i="11"/>
  <c r="F30" i="11"/>
  <c r="G30" i="11"/>
  <c r="H30" i="11"/>
  <c r="I30" i="11"/>
  <c r="J30" i="11"/>
  <c r="K30" i="11"/>
  <c r="L30" i="11"/>
  <c r="M30" i="11"/>
  <c r="N30" i="11"/>
  <c r="O30" i="11"/>
  <c r="P30" i="11"/>
  <c r="Q30" i="11"/>
  <c r="R30" i="11"/>
  <c r="S30" i="11"/>
  <c r="T30" i="11"/>
  <c r="U30" i="11"/>
  <c r="V30" i="11"/>
  <c r="W30" i="11"/>
  <c r="X30" i="11"/>
  <c r="Y30" i="11"/>
  <c r="Z30" i="11"/>
  <c r="AA30" i="11"/>
  <c r="AB30" i="11"/>
  <c r="AC30" i="11"/>
  <c r="AD30" i="11"/>
  <c r="AE30" i="11"/>
  <c r="AF30" i="11"/>
  <c r="AG30" i="11"/>
  <c r="AH30" i="11"/>
  <c r="AI30" i="11"/>
  <c r="AJ30" i="11"/>
  <c r="AK30" i="11"/>
  <c r="AL30" i="11"/>
  <c r="AM30" i="11"/>
  <c r="AN30" i="11"/>
  <c r="AO30" i="11"/>
  <c r="C31" i="11"/>
  <c r="D31" i="11"/>
  <c r="E31" i="11"/>
  <c r="F31" i="11"/>
  <c r="G31" i="11"/>
  <c r="H31" i="11"/>
  <c r="I31" i="11"/>
  <c r="J31" i="11"/>
  <c r="K31" i="11"/>
  <c r="L31" i="11"/>
  <c r="M31" i="11"/>
  <c r="N31" i="11"/>
  <c r="O31" i="11"/>
  <c r="P31" i="11"/>
  <c r="Q31" i="11"/>
  <c r="R31" i="11"/>
  <c r="S31" i="11"/>
  <c r="T31" i="11"/>
  <c r="U31" i="11"/>
  <c r="V31" i="11"/>
  <c r="W31" i="11"/>
  <c r="X31" i="11"/>
  <c r="Y31" i="11"/>
  <c r="Z31" i="11"/>
  <c r="AA31" i="11"/>
  <c r="AB31" i="11"/>
  <c r="AC31" i="11"/>
  <c r="AD31" i="11"/>
  <c r="AE31" i="11"/>
  <c r="AF31" i="11"/>
  <c r="AG31" i="11"/>
  <c r="AH31" i="11"/>
  <c r="AI31" i="11"/>
  <c r="AJ31" i="11"/>
  <c r="AK31" i="11"/>
  <c r="AL31" i="11"/>
  <c r="AM31" i="11"/>
  <c r="AN31" i="11"/>
  <c r="AO31" i="11"/>
  <c r="C32" i="11"/>
  <c r="D32" i="11"/>
  <c r="E32" i="11"/>
  <c r="F32" i="11"/>
  <c r="G32" i="11"/>
  <c r="H32" i="11"/>
  <c r="I32" i="11"/>
  <c r="J32" i="11"/>
  <c r="K32" i="11"/>
  <c r="L32" i="11"/>
  <c r="M32" i="11"/>
  <c r="N32" i="11"/>
  <c r="O32" i="11"/>
  <c r="P32" i="11"/>
  <c r="Q32" i="11"/>
  <c r="R32" i="11"/>
  <c r="S32" i="11"/>
  <c r="T32" i="11"/>
  <c r="U32" i="11"/>
  <c r="V32" i="11"/>
  <c r="W32" i="11"/>
  <c r="X32" i="11"/>
  <c r="Y32" i="11"/>
  <c r="Z32" i="11"/>
  <c r="AA32" i="11"/>
  <c r="AB32" i="11"/>
  <c r="AC32" i="11"/>
  <c r="AD32" i="11"/>
  <c r="AE32" i="11"/>
  <c r="AF32" i="11"/>
  <c r="AG32" i="11"/>
  <c r="AH32" i="11"/>
  <c r="AI32" i="11"/>
  <c r="AJ32" i="11"/>
  <c r="AK32" i="11"/>
  <c r="AL32" i="11"/>
  <c r="AM32" i="11"/>
  <c r="AN32" i="11"/>
  <c r="AO32" i="11"/>
  <c r="C33" i="11"/>
  <c r="D33" i="11"/>
  <c r="E33" i="11"/>
  <c r="F33" i="11"/>
  <c r="G33" i="11"/>
  <c r="H33" i="11"/>
  <c r="I33" i="11"/>
  <c r="J33" i="11"/>
  <c r="K33" i="11"/>
  <c r="L33" i="11"/>
  <c r="M33" i="11"/>
  <c r="N33" i="11"/>
  <c r="O33" i="11"/>
  <c r="P33" i="11"/>
  <c r="Q33" i="11"/>
  <c r="R33" i="11"/>
  <c r="S33" i="11"/>
  <c r="T33" i="11"/>
  <c r="U33" i="11"/>
  <c r="V33" i="11"/>
  <c r="W33" i="11"/>
  <c r="X33" i="11"/>
  <c r="Y33" i="11"/>
  <c r="Z33" i="11"/>
  <c r="AA33" i="11"/>
  <c r="AB33" i="11"/>
  <c r="AC33" i="11"/>
  <c r="AD33" i="11"/>
  <c r="AE33" i="11"/>
  <c r="AF33" i="11"/>
  <c r="AG33" i="11"/>
  <c r="AH33" i="11"/>
  <c r="AI33" i="11"/>
  <c r="AJ33" i="11"/>
  <c r="AK33" i="11"/>
  <c r="AL33" i="11"/>
  <c r="AM33" i="11"/>
  <c r="AN33" i="11"/>
  <c r="AO33" i="11"/>
  <c r="C34" i="11"/>
  <c r="D34" i="11"/>
  <c r="E34" i="11"/>
  <c r="F34" i="11"/>
  <c r="G34" i="11"/>
  <c r="H34" i="11"/>
  <c r="I34" i="11"/>
  <c r="J34" i="11"/>
  <c r="K34" i="11"/>
  <c r="L34" i="11"/>
  <c r="M34" i="11"/>
  <c r="N34" i="11"/>
  <c r="O34" i="11"/>
  <c r="P34" i="11"/>
  <c r="Q34" i="11"/>
  <c r="R34" i="11"/>
  <c r="S34" i="11"/>
  <c r="T34" i="11"/>
  <c r="U34" i="11"/>
  <c r="V34" i="11"/>
  <c r="W34" i="11"/>
  <c r="X34" i="11"/>
  <c r="Y34" i="11"/>
  <c r="Z34" i="11"/>
  <c r="AA34" i="11"/>
  <c r="AB34" i="11"/>
  <c r="AC34" i="11"/>
  <c r="AD34" i="11"/>
  <c r="AE34" i="11"/>
  <c r="AF34" i="11"/>
  <c r="AG34" i="11"/>
  <c r="AH34" i="11"/>
  <c r="AI34" i="11"/>
  <c r="AJ34" i="11"/>
  <c r="AK34" i="11"/>
  <c r="AL34" i="11"/>
  <c r="AM34" i="11"/>
  <c r="AN34" i="11"/>
  <c r="AO34" i="11"/>
  <c r="C35" i="11"/>
  <c r="D35" i="11"/>
  <c r="E35" i="11"/>
  <c r="F35" i="11"/>
  <c r="G35" i="11"/>
  <c r="H35" i="11"/>
  <c r="I35" i="11"/>
  <c r="J35" i="11"/>
  <c r="K35" i="11"/>
  <c r="L35" i="11"/>
  <c r="M35" i="11"/>
  <c r="N35" i="11"/>
  <c r="O35" i="11"/>
  <c r="P35" i="11"/>
  <c r="Q35" i="11"/>
  <c r="R35" i="11"/>
  <c r="S35" i="11"/>
  <c r="T35" i="11"/>
  <c r="U35" i="11"/>
  <c r="V35" i="11"/>
  <c r="W35" i="11"/>
  <c r="X35" i="11"/>
  <c r="Y35" i="11"/>
  <c r="Z35" i="11"/>
  <c r="AA35" i="11"/>
  <c r="AB35" i="11"/>
  <c r="AC35" i="11"/>
  <c r="AD35" i="11"/>
  <c r="AE35" i="11"/>
  <c r="AF35" i="11"/>
  <c r="AG35" i="11"/>
  <c r="AH35" i="11"/>
  <c r="AI35" i="11"/>
  <c r="AJ35" i="11"/>
  <c r="AK35" i="11"/>
  <c r="AL35" i="11"/>
  <c r="AM35" i="11"/>
  <c r="AN35" i="11"/>
  <c r="AO35" i="11"/>
  <c r="C36" i="11"/>
  <c r="D36" i="11"/>
  <c r="E36" i="11"/>
  <c r="F36" i="11"/>
  <c r="G36" i="11"/>
  <c r="H36" i="11"/>
  <c r="I36" i="11"/>
  <c r="J36" i="11"/>
  <c r="K36" i="11"/>
  <c r="L36" i="11"/>
  <c r="M36" i="11"/>
  <c r="N36" i="11"/>
  <c r="O36" i="11"/>
  <c r="P36" i="11"/>
  <c r="Q36" i="11"/>
  <c r="R36" i="11"/>
  <c r="S36" i="11"/>
  <c r="T36" i="11"/>
  <c r="U36" i="11"/>
  <c r="V36" i="11"/>
  <c r="W36" i="11"/>
  <c r="X36" i="11"/>
  <c r="Y36" i="11"/>
  <c r="Z36" i="11"/>
  <c r="AA36" i="11"/>
  <c r="AB36" i="11"/>
  <c r="AC36" i="11"/>
  <c r="AD36" i="11"/>
  <c r="AE36" i="11"/>
  <c r="AF36" i="11"/>
  <c r="AG36" i="11"/>
  <c r="AH36" i="11"/>
  <c r="AI36" i="11"/>
  <c r="AJ36" i="11"/>
  <c r="AK36" i="11"/>
  <c r="AL36" i="11"/>
  <c r="AM36" i="11"/>
  <c r="AN36" i="11"/>
  <c r="AO36" i="11"/>
  <c r="C39" i="11"/>
  <c r="D39" i="11"/>
  <c r="E39" i="11"/>
  <c r="F39" i="11"/>
  <c r="G39" i="11"/>
  <c r="H39" i="11"/>
  <c r="I39" i="11"/>
  <c r="J39" i="11"/>
  <c r="K39" i="11"/>
  <c r="L39" i="11"/>
  <c r="M39" i="11"/>
  <c r="N39" i="11"/>
  <c r="O39" i="11"/>
  <c r="P39" i="1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C40" i="11"/>
  <c r="D40" i="11"/>
  <c r="E40" i="11"/>
  <c r="F40" i="11"/>
  <c r="G40" i="11"/>
  <c r="H40" i="11"/>
  <c r="I40" i="11"/>
  <c r="J40" i="11"/>
  <c r="K40" i="11"/>
  <c r="L40" i="11"/>
  <c r="M40" i="11"/>
  <c r="N40" i="11"/>
  <c r="O40" i="11"/>
  <c r="P40" i="11"/>
  <c r="Q40" i="11"/>
  <c r="R40" i="11"/>
  <c r="S40" i="11"/>
  <c r="T40" i="11"/>
  <c r="U40" i="11"/>
  <c r="V40" i="11"/>
  <c r="W40" i="11"/>
  <c r="X40" i="11"/>
  <c r="Y40" i="11"/>
  <c r="Z40" i="11"/>
  <c r="AA40" i="11"/>
  <c r="AB40" i="11"/>
  <c r="AC40" i="11"/>
  <c r="AD40" i="11"/>
  <c r="AE40" i="11"/>
  <c r="AF40" i="11"/>
  <c r="AG40" i="11"/>
  <c r="AH40" i="11"/>
  <c r="AI40" i="11"/>
  <c r="AJ40" i="11"/>
  <c r="AK40" i="11"/>
  <c r="AL40" i="11"/>
  <c r="AM40" i="11"/>
  <c r="AN40" i="11"/>
  <c r="AO40" i="11"/>
  <c r="C41" i="11"/>
  <c r="D41" i="11"/>
  <c r="E41" i="11"/>
  <c r="F41" i="11"/>
  <c r="G41"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C42" i="11"/>
  <c r="D42" i="11"/>
  <c r="E42" i="11"/>
  <c r="F42" i="11"/>
  <c r="G42"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C43" i="11"/>
  <c r="D43" i="11"/>
  <c r="E43" i="11"/>
  <c r="F43" i="11"/>
  <c r="G43" i="11"/>
  <c r="H43" i="11"/>
  <c r="I43" i="11"/>
  <c r="J43" i="11"/>
  <c r="K43" i="11"/>
  <c r="L43" i="11"/>
  <c r="M43" i="11"/>
  <c r="N43" i="11"/>
  <c r="O43" i="11"/>
  <c r="P43" i="11"/>
  <c r="Q43" i="11"/>
  <c r="R43" i="11"/>
  <c r="S43" i="11"/>
  <c r="T43" i="11"/>
  <c r="U43" i="11"/>
  <c r="V43" i="11"/>
  <c r="W43" i="11"/>
  <c r="X43" i="11"/>
  <c r="Y43" i="11"/>
  <c r="Z43" i="11"/>
  <c r="AA43" i="11"/>
  <c r="AB43" i="11"/>
  <c r="AC43" i="11"/>
  <c r="AD43" i="11"/>
  <c r="AE43" i="11"/>
  <c r="AF43" i="11"/>
  <c r="AG43" i="11"/>
  <c r="AH43" i="11"/>
  <c r="AI43" i="11"/>
  <c r="AJ43" i="11"/>
  <c r="AK43" i="11"/>
  <c r="AL43" i="11"/>
  <c r="AM43" i="11"/>
  <c r="AN43" i="11"/>
  <c r="AO43" i="11"/>
  <c r="C44" i="11"/>
  <c r="D44" i="11"/>
  <c r="E44" i="11"/>
  <c r="F44" i="11"/>
  <c r="G44" i="11"/>
  <c r="H44" i="11"/>
  <c r="I44" i="11"/>
  <c r="J44" i="11"/>
  <c r="K44" i="11"/>
  <c r="L44" i="11"/>
  <c r="M44" i="11"/>
  <c r="N44" i="11"/>
  <c r="O44" i="11"/>
  <c r="P44" i="11"/>
  <c r="Q44" i="11"/>
  <c r="R44" i="11"/>
  <c r="S44" i="11"/>
  <c r="T44" i="11"/>
  <c r="U44" i="11"/>
  <c r="V44" i="11"/>
  <c r="W44" i="11"/>
  <c r="X44" i="11"/>
  <c r="Y44" i="11"/>
  <c r="Z44" i="11"/>
  <c r="AA44" i="11"/>
  <c r="AB44" i="11"/>
  <c r="AC44" i="11"/>
  <c r="AD44" i="11"/>
  <c r="AE44" i="11"/>
  <c r="AF44" i="11"/>
  <c r="AG44" i="11"/>
  <c r="AH44" i="11"/>
  <c r="AI44" i="11"/>
  <c r="AJ44" i="11"/>
  <c r="AK44" i="11"/>
  <c r="AL44" i="11"/>
  <c r="AM44" i="11"/>
  <c r="AN44" i="11"/>
  <c r="AO44" i="11"/>
  <c r="C45" i="11"/>
  <c r="D45" i="11"/>
  <c r="E45" i="11"/>
  <c r="F45" i="11"/>
  <c r="G45" i="11"/>
  <c r="H45" i="11"/>
  <c r="I45" i="11"/>
  <c r="J45" i="11"/>
  <c r="K45" i="11"/>
  <c r="L45" i="11"/>
  <c r="M45" i="11"/>
  <c r="N45" i="11"/>
  <c r="O45" i="11"/>
  <c r="P45" i="11"/>
  <c r="Q45" i="11"/>
  <c r="R45" i="11"/>
  <c r="S45" i="11"/>
  <c r="T45" i="11"/>
  <c r="U45" i="11"/>
  <c r="V45" i="11"/>
  <c r="W45" i="11"/>
  <c r="X45" i="11"/>
  <c r="Y45" i="11"/>
  <c r="Z45" i="11"/>
  <c r="AA45" i="11"/>
  <c r="AB45" i="11"/>
  <c r="AC45" i="11"/>
  <c r="AD45" i="11"/>
  <c r="AE45" i="11"/>
  <c r="AF45" i="11"/>
  <c r="AG45" i="11"/>
  <c r="AH45" i="11"/>
  <c r="AI45" i="11"/>
  <c r="AJ45" i="11"/>
  <c r="AK45" i="11"/>
  <c r="AL45" i="11"/>
  <c r="AM45" i="11"/>
  <c r="AN45" i="11"/>
  <c r="AO45" i="11"/>
  <c r="C46" i="11"/>
  <c r="D46" i="11"/>
  <c r="E46" i="11"/>
  <c r="F46" i="11"/>
  <c r="G46" i="11"/>
  <c r="H46" i="11"/>
  <c r="I46" i="11"/>
  <c r="J46" i="11"/>
  <c r="K46" i="11"/>
  <c r="L46" i="11"/>
  <c r="M46" i="11"/>
  <c r="N46" i="11"/>
  <c r="O46" i="11"/>
  <c r="P46" i="11"/>
  <c r="Q46" i="11"/>
  <c r="R46" i="11"/>
  <c r="S46" i="11"/>
  <c r="T46" i="11"/>
  <c r="U46" i="11"/>
  <c r="V46" i="11"/>
  <c r="W46" i="11"/>
  <c r="X46" i="11"/>
  <c r="Y46" i="11"/>
  <c r="Z46" i="11"/>
  <c r="AA46" i="11"/>
  <c r="AB46" i="11"/>
  <c r="AC46" i="11"/>
  <c r="AD46" i="11"/>
  <c r="AE46" i="11"/>
  <c r="AF46" i="11"/>
  <c r="AG46" i="11"/>
  <c r="AH46" i="11"/>
  <c r="AI46" i="11"/>
  <c r="AJ46" i="11"/>
  <c r="AK46" i="11"/>
  <c r="AL46" i="11"/>
  <c r="AM46" i="11"/>
  <c r="AN46" i="11"/>
  <c r="AO46" i="11"/>
  <c r="C47" i="11"/>
  <c r="D47" i="11"/>
  <c r="E47" i="11"/>
  <c r="F47" i="11"/>
  <c r="G47" i="11"/>
  <c r="H47" i="11"/>
  <c r="I47" i="11"/>
  <c r="J47" i="11"/>
  <c r="K47" i="11"/>
  <c r="L47" i="11"/>
  <c r="M47" i="11"/>
  <c r="N47" i="11"/>
  <c r="O47" i="11"/>
  <c r="P47" i="11"/>
  <c r="Q47" i="11"/>
  <c r="R47" i="11"/>
  <c r="S47" i="11"/>
  <c r="T47" i="11"/>
  <c r="U47" i="11"/>
  <c r="V47" i="11"/>
  <c r="W47" i="11"/>
  <c r="X47" i="11"/>
  <c r="Y47" i="11"/>
  <c r="Z47" i="11"/>
  <c r="AA47" i="11"/>
  <c r="AB47" i="11"/>
  <c r="AC47" i="11"/>
  <c r="AD47" i="11"/>
  <c r="AE47" i="11"/>
  <c r="AF47" i="11"/>
  <c r="AG47" i="11"/>
  <c r="AH47" i="11"/>
  <c r="AI47" i="11"/>
  <c r="AJ47" i="11"/>
  <c r="AK47" i="11"/>
  <c r="AL47" i="11"/>
  <c r="AM47" i="11"/>
  <c r="AN47" i="11"/>
  <c r="AO47" i="11"/>
  <c r="C48" i="11"/>
  <c r="D48" i="11"/>
  <c r="E48" i="11"/>
  <c r="F48" i="11"/>
  <c r="G48" i="11"/>
  <c r="H48" i="11"/>
  <c r="I48" i="11"/>
  <c r="J48" i="11"/>
  <c r="K48" i="11"/>
  <c r="L48" i="11"/>
  <c r="M48" i="11"/>
  <c r="N48" i="11"/>
  <c r="O48" i="11"/>
  <c r="P48" i="11"/>
  <c r="Q48" i="11"/>
  <c r="R48" i="11"/>
  <c r="S48" i="11"/>
  <c r="T48" i="11"/>
  <c r="U48" i="11"/>
  <c r="V48" i="11"/>
  <c r="W48" i="11"/>
  <c r="X48" i="11"/>
  <c r="Y48" i="11"/>
  <c r="Z48" i="11"/>
  <c r="AA48" i="11"/>
  <c r="AB48" i="11"/>
  <c r="AC48" i="11"/>
  <c r="AD48" i="11"/>
  <c r="AE48" i="11"/>
  <c r="AF48" i="11"/>
  <c r="AG48" i="11"/>
  <c r="AH48" i="11"/>
  <c r="AI48" i="11"/>
  <c r="AJ48" i="11"/>
  <c r="AK48" i="11"/>
  <c r="AL48" i="11"/>
  <c r="AM48" i="11"/>
  <c r="AN48" i="11"/>
  <c r="AO48" i="11"/>
  <c r="C49" i="11"/>
  <c r="D49" i="11"/>
  <c r="E49" i="11"/>
  <c r="F49" i="11"/>
  <c r="G49"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G49" i="11"/>
  <c r="AH49" i="11"/>
  <c r="AI49" i="11"/>
  <c r="AJ49" i="11"/>
  <c r="AK49" i="11"/>
  <c r="AL49" i="11"/>
  <c r="AM49" i="11"/>
  <c r="AN49" i="11"/>
  <c r="AO49" i="11"/>
  <c r="C50" i="11"/>
  <c r="D50" i="11"/>
  <c r="E50" i="11"/>
  <c r="F50" i="11"/>
  <c r="G50" i="11"/>
  <c r="H50" i="11"/>
  <c r="I50" i="11"/>
  <c r="J50" i="11"/>
  <c r="K50" i="11"/>
  <c r="L50" i="11"/>
  <c r="M50" i="11"/>
  <c r="N50" i="11"/>
  <c r="O50" i="11"/>
  <c r="P50" i="11"/>
  <c r="Q50" i="11"/>
  <c r="R50" i="11"/>
  <c r="S50" i="11"/>
  <c r="T50" i="11"/>
  <c r="U50" i="11"/>
  <c r="V50" i="11"/>
  <c r="W50" i="11"/>
  <c r="X50" i="11"/>
  <c r="Y50" i="11"/>
  <c r="Z50" i="11"/>
  <c r="AA50" i="11"/>
  <c r="AB50" i="11"/>
  <c r="AC50" i="11"/>
  <c r="AD50" i="11"/>
  <c r="AE50" i="11"/>
  <c r="AF50" i="11"/>
  <c r="AG50" i="11"/>
  <c r="AH50" i="11"/>
  <c r="AI50" i="11"/>
  <c r="AJ50" i="11"/>
  <c r="AK50" i="11"/>
  <c r="AL50" i="11"/>
  <c r="AM50" i="11"/>
  <c r="AN50" i="11"/>
  <c r="AO50" i="11"/>
  <c r="C53" i="11"/>
  <c r="D53" i="11"/>
  <c r="E53" i="11"/>
  <c r="F53" i="11"/>
  <c r="G53" i="11"/>
  <c r="H53" i="11"/>
  <c r="I53" i="11"/>
  <c r="J53" i="11"/>
  <c r="K53" i="11"/>
  <c r="L53" i="11"/>
  <c r="M53" i="11"/>
  <c r="N53" i="11"/>
  <c r="O53" i="11"/>
  <c r="P53" i="11"/>
  <c r="Q53" i="11"/>
  <c r="R53" i="11"/>
  <c r="S53" i="11"/>
  <c r="T53" i="11"/>
  <c r="U53" i="11"/>
  <c r="V53" i="11"/>
  <c r="W53" i="11"/>
  <c r="X53" i="11"/>
  <c r="Y53" i="11"/>
  <c r="Z53" i="11"/>
  <c r="AA53" i="11"/>
  <c r="AB53" i="11"/>
  <c r="AC53" i="11"/>
  <c r="AD53" i="11"/>
  <c r="AE53" i="11"/>
  <c r="AF53" i="11"/>
  <c r="AG53" i="11"/>
  <c r="AH53" i="11"/>
  <c r="AI53" i="11"/>
  <c r="AJ53" i="11"/>
  <c r="AK53" i="11"/>
  <c r="AL53" i="11"/>
  <c r="AM53" i="11"/>
  <c r="AN53" i="11"/>
  <c r="AO53" i="11"/>
  <c r="C54" i="11"/>
  <c r="D54" i="11"/>
  <c r="E54" i="11"/>
  <c r="F54" i="11"/>
  <c r="G54" i="11"/>
  <c r="H54" i="11"/>
  <c r="I54" i="11"/>
  <c r="J54" i="11"/>
  <c r="K54" i="11"/>
  <c r="L54" i="11"/>
  <c r="M54" i="11"/>
  <c r="N54" i="11"/>
  <c r="O54" i="11"/>
  <c r="P54" i="11"/>
  <c r="Q54" i="11"/>
  <c r="R54" i="11"/>
  <c r="S54" i="11"/>
  <c r="T54" i="11"/>
  <c r="U54" i="11"/>
  <c r="V54" i="11"/>
  <c r="W54" i="11"/>
  <c r="X54" i="11"/>
  <c r="Y54" i="11"/>
  <c r="Z54" i="11"/>
  <c r="AA54" i="11"/>
  <c r="AB54" i="11"/>
  <c r="AC54" i="11"/>
  <c r="AD54" i="11"/>
  <c r="AE54" i="11"/>
  <c r="AF54" i="11"/>
  <c r="AG54" i="11"/>
  <c r="AH54" i="11"/>
  <c r="AI54" i="11"/>
  <c r="AJ54" i="11"/>
  <c r="AK54" i="11"/>
  <c r="AL54" i="11"/>
  <c r="AM54" i="11"/>
  <c r="AN54" i="11"/>
  <c r="AO54" i="11"/>
  <c r="C55" i="11"/>
  <c r="D55" i="11"/>
  <c r="E55" i="11"/>
  <c r="F55" i="11"/>
  <c r="G55" i="11"/>
  <c r="H55" i="11"/>
  <c r="I55" i="11"/>
  <c r="J55" i="11"/>
  <c r="K55" i="11"/>
  <c r="L55" i="11"/>
  <c r="M55" i="11"/>
  <c r="N55" i="11"/>
  <c r="O55" i="11"/>
  <c r="P55" i="11"/>
  <c r="Q55" i="11"/>
  <c r="R55" i="11"/>
  <c r="S55" i="11"/>
  <c r="T55" i="11"/>
  <c r="U55" i="11"/>
  <c r="V55" i="11"/>
  <c r="W55" i="11"/>
  <c r="X55" i="11"/>
  <c r="Y55" i="11"/>
  <c r="Z55" i="11"/>
  <c r="AA55" i="11"/>
  <c r="AB55" i="11"/>
  <c r="AC55" i="11"/>
  <c r="AD55" i="11"/>
  <c r="AE55" i="11"/>
  <c r="AF55" i="11"/>
  <c r="AG55" i="11"/>
  <c r="AH55" i="11"/>
  <c r="AI55" i="11"/>
  <c r="AJ55" i="11"/>
  <c r="AK55" i="11"/>
  <c r="AL55" i="11"/>
  <c r="AM55" i="11"/>
  <c r="AN55" i="11"/>
  <c r="AO55" i="11"/>
  <c r="C56" i="11"/>
  <c r="D56" i="11"/>
  <c r="E56" i="11"/>
  <c r="F56" i="11"/>
  <c r="G56" i="11"/>
  <c r="H56" i="11"/>
  <c r="I56" i="11"/>
  <c r="J56" i="11"/>
  <c r="K56" i="11"/>
  <c r="L56" i="11"/>
  <c r="M56" i="11"/>
  <c r="N56" i="11"/>
  <c r="O56" i="11"/>
  <c r="P56" i="11"/>
  <c r="Q56" i="11"/>
  <c r="R56" i="11"/>
  <c r="S56" i="11"/>
  <c r="T56" i="11"/>
  <c r="U56" i="11"/>
  <c r="V56" i="11"/>
  <c r="W56" i="11"/>
  <c r="X56" i="11"/>
  <c r="Y56" i="11"/>
  <c r="Z56" i="11"/>
  <c r="AA56" i="11"/>
  <c r="AB56" i="11"/>
  <c r="AC56" i="11"/>
  <c r="AD56" i="11"/>
  <c r="AE56" i="11"/>
  <c r="AF56" i="11"/>
  <c r="AG56" i="11"/>
  <c r="AH56" i="11"/>
  <c r="AI56" i="11"/>
  <c r="AJ56" i="11"/>
  <c r="AK56" i="11"/>
  <c r="AL56" i="11"/>
  <c r="AM56" i="11"/>
  <c r="AN56" i="11"/>
  <c r="AO56" i="11"/>
  <c r="C57" i="11"/>
  <c r="D57" i="11"/>
  <c r="E57" i="11"/>
  <c r="F57" i="11"/>
  <c r="G57" i="11"/>
  <c r="H57" i="11"/>
  <c r="I57" i="11"/>
  <c r="J57" i="11"/>
  <c r="K57" i="11"/>
  <c r="L57" i="11"/>
  <c r="M57" i="11"/>
  <c r="N57" i="11"/>
  <c r="O57" i="11"/>
  <c r="P57" i="11"/>
  <c r="Q57" i="11"/>
  <c r="R57" i="11"/>
  <c r="S57" i="11"/>
  <c r="T57" i="11"/>
  <c r="U57" i="11"/>
  <c r="V57" i="11"/>
  <c r="W57" i="11"/>
  <c r="X57" i="11"/>
  <c r="Y57" i="11"/>
  <c r="Z57" i="11"/>
  <c r="AA57" i="11"/>
  <c r="AB57" i="11"/>
  <c r="AC57" i="11"/>
  <c r="AD57" i="11"/>
  <c r="AE57" i="11"/>
  <c r="AF57" i="11"/>
  <c r="AG57" i="11"/>
  <c r="AH57" i="11"/>
  <c r="AI57" i="11"/>
  <c r="AJ57" i="11"/>
  <c r="AK57" i="11"/>
  <c r="AL57" i="11"/>
  <c r="AM57" i="11"/>
  <c r="AN57" i="11"/>
  <c r="AO57" i="11"/>
  <c r="C58" i="11"/>
  <c r="D58" i="11"/>
  <c r="E58" i="11"/>
  <c r="F58" i="11"/>
  <c r="G58" i="11"/>
  <c r="H58" i="11"/>
  <c r="I58" i="11"/>
  <c r="J58" i="11"/>
  <c r="K58" i="11"/>
  <c r="L58" i="11"/>
  <c r="M58" i="11"/>
  <c r="N58" i="11"/>
  <c r="O58" i="11"/>
  <c r="P58" i="11"/>
  <c r="Q58" i="11"/>
  <c r="R58" i="11"/>
  <c r="S58" i="11"/>
  <c r="T58" i="11"/>
  <c r="U58" i="11"/>
  <c r="V58" i="11"/>
  <c r="W58" i="11"/>
  <c r="X58" i="11"/>
  <c r="Y58" i="11"/>
  <c r="Z58" i="11"/>
  <c r="AA58" i="11"/>
  <c r="AB58" i="11"/>
  <c r="AC58" i="11"/>
  <c r="AD58" i="11"/>
  <c r="AE58" i="11"/>
  <c r="AF58" i="11"/>
  <c r="AG58" i="11"/>
  <c r="AH58" i="11"/>
  <c r="AI58" i="11"/>
  <c r="AJ58" i="11"/>
  <c r="AK58" i="11"/>
  <c r="AL58" i="11"/>
  <c r="AM58" i="11"/>
  <c r="AN58" i="11"/>
  <c r="AO58" i="11"/>
  <c r="C59" i="11"/>
  <c r="D59" i="11"/>
  <c r="E59" i="11"/>
  <c r="F59" i="11"/>
  <c r="G59" i="11"/>
  <c r="H59" i="11"/>
  <c r="I59" i="11"/>
  <c r="J59" i="11"/>
  <c r="K59" i="11"/>
  <c r="L59" i="11"/>
  <c r="M59" i="11"/>
  <c r="N59" i="11"/>
  <c r="O59" i="11"/>
  <c r="P59" i="11"/>
  <c r="Q59" i="11"/>
  <c r="R59" i="11"/>
  <c r="S59" i="11"/>
  <c r="T59" i="11"/>
  <c r="U59" i="11"/>
  <c r="V59" i="11"/>
  <c r="W59" i="11"/>
  <c r="X59" i="11"/>
  <c r="Y59" i="11"/>
  <c r="Z59" i="11"/>
  <c r="AA59" i="11"/>
  <c r="AB59" i="11"/>
  <c r="AC59" i="11"/>
  <c r="AD59" i="11"/>
  <c r="AE59" i="11"/>
  <c r="AF59" i="11"/>
  <c r="AG59" i="11"/>
  <c r="AH59" i="11"/>
  <c r="AI59" i="11"/>
  <c r="AJ59" i="11"/>
  <c r="AK59" i="11"/>
  <c r="AL59" i="11"/>
  <c r="AM59" i="11"/>
  <c r="AN59" i="11"/>
  <c r="AO59" i="11"/>
  <c r="C60" i="11"/>
  <c r="D60" i="11"/>
  <c r="E60" i="11"/>
  <c r="F60" i="11"/>
  <c r="G60" i="11"/>
  <c r="H60" i="11"/>
  <c r="I60" i="11"/>
  <c r="J60" i="11"/>
  <c r="K60" i="11"/>
  <c r="L60" i="11"/>
  <c r="M60" i="11"/>
  <c r="N60" i="11"/>
  <c r="O60" i="11"/>
  <c r="P60" i="11"/>
  <c r="Q60" i="11"/>
  <c r="R60" i="11"/>
  <c r="S60" i="11"/>
  <c r="T60" i="11"/>
  <c r="U60" i="11"/>
  <c r="V60" i="11"/>
  <c r="W60" i="11"/>
  <c r="X60" i="11"/>
  <c r="Y60" i="11"/>
  <c r="Z60" i="11"/>
  <c r="AA60" i="11"/>
  <c r="AB60" i="11"/>
  <c r="AC60" i="11"/>
  <c r="AD60" i="11"/>
  <c r="AE60" i="11"/>
  <c r="AF60" i="11"/>
  <c r="AG60" i="11"/>
  <c r="AH60" i="11"/>
  <c r="AI60" i="11"/>
  <c r="AJ60" i="11"/>
  <c r="AK60" i="11"/>
  <c r="AL60" i="11"/>
  <c r="AM60" i="11"/>
  <c r="AN60" i="11"/>
  <c r="AO60" i="11"/>
  <c r="C61" i="11"/>
  <c r="D61" i="11"/>
  <c r="E61" i="11"/>
  <c r="F61" i="11"/>
  <c r="G61" i="11"/>
  <c r="H61" i="11"/>
  <c r="I61" i="11"/>
  <c r="J61" i="11"/>
  <c r="K61" i="11"/>
  <c r="L61" i="11"/>
  <c r="M61" i="11"/>
  <c r="N61" i="11"/>
  <c r="O61" i="11"/>
  <c r="P61" i="11"/>
  <c r="Q61" i="11"/>
  <c r="R61" i="11"/>
  <c r="S61" i="11"/>
  <c r="T61" i="11"/>
  <c r="U61" i="11"/>
  <c r="V61" i="11"/>
  <c r="W61" i="11"/>
  <c r="X61" i="11"/>
  <c r="Y61" i="11"/>
  <c r="Z61" i="11"/>
  <c r="AA61" i="11"/>
  <c r="AB61" i="11"/>
  <c r="AC61" i="11"/>
  <c r="AD61" i="11"/>
  <c r="AE61" i="11"/>
  <c r="AF61" i="11"/>
  <c r="AG61" i="11"/>
  <c r="AH61" i="11"/>
  <c r="AI61" i="11"/>
  <c r="AJ61" i="11"/>
  <c r="AK61" i="11"/>
  <c r="AL61" i="11"/>
  <c r="AM61" i="11"/>
  <c r="AN61" i="11"/>
  <c r="AO61" i="11"/>
  <c r="C62" i="11"/>
  <c r="D62" i="11"/>
  <c r="E62" i="11"/>
  <c r="F62" i="11"/>
  <c r="G62" i="11"/>
  <c r="H62" i="11"/>
  <c r="I62" i="11"/>
  <c r="J62" i="11"/>
  <c r="K62" i="11"/>
  <c r="L62" i="11"/>
  <c r="M62" i="11"/>
  <c r="N62" i="11"/>
  <c r="O62" i="11"/>
  <c r="P62" i="11"/>
  <c r="Q62" i="11"/>
  <c r="R62" i="11"/>
  <c r="S62" i="11"/>
  <c r="T62" i="11"/>
  <c r="U62" i="11"/>
  <c r="V62" i="11"/>
  <c r="W62" i="11"/>
  <c r="X62" i="11"/>
  <c r="Y62" i="11"/>
  <c r="Z62" i="11"/>
  <c r="AA62" i="11"/>
  <c r="AB62" i="11"/>
  <c r="AC62" i="11"/>
  <c r="AD62" i="11"/>
  <c r="AE62" i="11"/>
  <c r="AF62" i="11"/>
  <c r="AG62" i="11"/>
  <c r="AH62" i="11"/>
  <c r="AI62" i="11"/>
  <c r="AJ62" i="11"/>
  <c r="AK62" i="11"/>
  <c r="AL62" i="11"/>
  <c r="AM62" i="11"/>
  <c r="AN62" i="11"/>
  <c r="AO62" i="11"/>
  <c r="B62" i="11"/>
  <c r="B61" i="11"/>
  <c r="B60" i="11"/>
  <c r="B59" i="11"/>
  <c r="B58" i="11"/>
  <c r="B57" i="11"/>
  <c r="B56" i="11"/>
  <c r="B55" i="11"/>
  <c r="B54" i="11"/>
  <c r="B53" i="11"/>
  <c r="B50" i="11"/>
  <c r="B49" i="11"/>
  <c r="B48" i="11"/>
  <c r="B47" i="11"/>
  <c r="B46" i="11"/>
  <c r="B45" i="11"/>
  <c r="B44" i="11"/>
  <c r="B43" i="11"/>
  <c r="B42" i="11"/>
  <c r="B41" i="11"/>
  <c r="B40" i="11"/>
  <c r="B39" i="11"/>
  <c r="B36" i="11"/>
  <c r="B35" i="11"/>
  <c r="B34" i="11"/>
  <c r="B33" i="11"/>
  <c r="B32" i="11"/>
  <c r="B31" i="11"/>
  <c r="B30" i="11"/>
  <c r="B29" i="11"/>
  <c r="B28" i="11"/>
  <c r="B27" i="11"/>
  <c r="B26" i="11"/>
  <c r="B25" i="11"/>
  <c r="B24" i="11"/>
  <c r="B21" i="11"/>
  <c r="B20" i="11"/>
  <c r="B19" i="11"/>
  <c r="B18" i="11"/>
  <c r="B17" i="11"/>
  <c r="B16" i="11"/>
  <c r="B15" i="11"/>
  <c r="B14" i="11"/>
  <c r="B13" i="11"/>
  <c r="B12" i="11"/>
  <c r="B11" i="11"/>
  <c r="B10" i="11"/>
  <c r="B9" i="11"/>
  <c r="B8" i="11"/>
  <c r="B7" i="11"/>
  <c r="B6" i="11"/>
  <c r="AV52" i="6"/>
  <c r="AU52" i="6"/>
  <c r="AT52" i="6"/>
  <c r="AS52" i="6"/>
  <c r="AR52" i="6"/>
  <c r="AQ52" i="6"/>
  <c r="AP52" i="6"/>
  <c r="AO52" i="6"/>
  <c r="AN52" i="6"/>
  <c r="AM52" i="6"/>
  <c r="AL52" i="6"/>
  <c r="AK52" i="6"/>
  <c r="AJ52" i="6"/>
  <c r="AI52" i="6"/>
  <c r="AH52" i="6"/>
  <c r="AG52" i="6"/>
  <c r="AF52" i="6"/>
  <c r="AE52" i="6"/>
  <c r="S52" i="6"/>
  <c r="R52" i="6"/>
  <c r="Q52" i="6"/>
  <c r="P52" i="6"/>
  <c r="O52" i="6"/>
  <c r="N52" i="6"/>
  <c r="M52" i="6"/>
  <c r="L52" i="6"/>
  <c r="K52" i="6"/>
  <c r="J52" i="6"/>
  <c r="I52" i="6"/>
  <c r="H52" i="6"/>
  <c r="G52" i="6"/>
  <c r="F52" i="6"/>
  <c r="E52" i="6"/>
  <c r="D52" i="6"/>
  <c r="C52" i="6"/>
  <c r="B52" i="6"/>
  <c r="AV38" i="6"/>
  <c r="AU38" i="6"/>
  <c r="AT38" i="6"/>
  <c r="AS38" i="6"/>
  <c r="AR38" i="6"/>
  <c r="AQ38" i="6"/>
  <c r="AP38" i="6"/>
  <c r="AO38" i="6"/>
  <c r="AN38" i="6"/>
  <c r="AM38" i="6"/>
  <c r="AL38" i="6"/>
  <c r="AK38" i="6"/>
  <c r="AJ38" i="6"/>
  <c r="AI38" i="6"/>
  <c r="AH38" i="6"/>
  <c r="AG38" i="6"/>
  <c r="AF38" i="6"/>
  <c r="AE38" i="6"/>
  <c r="S38" i="6"/>
  <c r="R38" i="6"/>
  <c r="Q38" i="6"/>
  <c r="P38" i="6"/>
  <c r="O38" i="6"/>
  <c r="N38" i="6"/>
  <c r="M38" i="6"/>
  <c r="L38" i="6"/>
  <c r="K38" i="6"/>
  <c r="J38" i="6"/>
  <c r="I38" i="6"/>
  <c r="H38" i="6"/>
  <c r="G38" i="6"/>
  <c r="F38" i="6"/>
  <c r="E38" i="6"/>
  <c r="D38" i="6"/>
  <c r="C38" i="6"/>
  <c r="B38" i="6"/>
  <c r="AV23" i="6"/>
  <c r="AU23" i="6"/>
  <c r="AT23" i="6"/>
  <c r="AS23" i="6"/>
  <c r="AR23" i="6"/>
  <c r="AQ23" i="6"/>
  <c r="AP23" i="6"/>
  <c r="AO23" i="6"/>
  <c r="AN23" i="6"/>
  <c r="AM23" i="6"/>
  <c r="AL23" i="6"/>
  <c r="AK23" i="6"/>
  <c r="AJ23" i="6"/>
  <c r="AI23" i="6"/>
  <c r="AH23" i="6"/>
  <c r="AG23" i="6"/>
  <c r="AF23" i="6"/>
  <c r="AE23" i="6"/>
  <c r="S23" i="6"/>
  <c r="R23" i="6"/>
  <c r="Q23" i="6"/>
  <c r="P23" i="6"/>
  <c r="O23" i="6"/>
  <c r="N23" i="6"/>
  <c r="M23" i="6"/>
  <c r="L23" i="6"/>
  <c r="K23" i="6"/>
  <c r="J23" i="6"/>
  <c r="I23" i="6"/>
  <c r="H23" i="6"/>
  <c r="G23" i="6"/>
  <c r="F23" i="6"/>
  <c r="E23" i="6"/>
  <c r="D23" i="6"/>
  <c r="C23" i="6"/>
  <c r="B23" i="6"/>
  <c r="AV5" i="6"/>
  <c r="AU5" i="6"/>
  <c r="AT5" i="6"/>
  <c r="AS5" i="6"/>
  <c r="AR5" i="6"/>
  <c r="AQ5" i="6"/>
  <c r="AP5" i="6"/>
  <c r="AP4" i="6" s="1"/>
  <c r="AO5" i="6"/>
  <c r="AN5" i="6"/>
  <c r="AM5" i="6"/>
  <c r="AL5" i="6"/>
  <c r="AK5" i="6"/>
  <c r="AJ5" i="6"/>
  <c r="AI5" i="6"/>
  <c r="AH5" i="6"/>
  <c r="AH4" i="6" s="1"/>
  <c r="AE5" i="6"/>
  <c r="S5" i="6"/>
  <c r="R5" i="6"/>
  <c r="Q5" i="6"/>
  <c r="P5" i="6"/>
  <c r="O5" i="6"/>
  <c r="N5" i="6"/>
  <c r="M5" i="6"/>
  <c r="L5" i="6"/>
  <c r="K5" i="6"/>
  <c r="J5" i="6"/>
  <c r="I5" i="6"/>
  <c r="H5" i="6"/>
  <c r="G5" i="6"/>
  <c r="F5" i="6"/>
  <c r="E5" i="6"/>
  <c r="B5" i="6"/>
  <c r="BV52" i="7"/>
  <c r="BU52" i="7"/>
  <c r="BT52" i="7"/>
  <c r="BS52" i="7"/>
  <c r="BR52" i="7"/>
  <c r="BQ52" i="7"/>
  <c r="BP52" i="7"/>
  <c r="BF52" i="7"/>
  <c r="BE52" i="7"/>
  <c r="BD52" i="7"/>
  <c r="BC52" i="7"/>
  <c r="BB52" i="7"/>
  <c r="BA52" i="7"/>
  <c r="AZ52" i="7"/>
  <c r="AY52" i="7"/>
  <c r="AX52" i="7"/>
  <c r="AW52" i="7"/>
  <c r="AV52" i="7"/>
  <c r="AU52" i="7"/>
  <c r="AT52" i="7"/>
  <c r="AS52" i="7"/>
  <c r="AR52" i="7"/>
  <c r="AQ52" i="7"/>
  <c r="AP52" i="7"/>
  <c r="AO52" i="7"/>
  <c r="AN52" i="7"/>
  <c r="AM52" i="7"/>
  <c r="AL52" i="7"/>
  <c r="AK52" i="7"/>
  <c r="AJ52" i="7"/>
  <c r="AJ53" i="7" s="1"/>
  <c r="X52" i="7"/>
  <c r="W52" i="7"/>
  <c r="V52" i="7"/>
  <c r="U52" i="7"/>
  <c r="T52" i="7"/>
  <c r="S52" i="7"/>
  <c r="R52" i="7"/>
  <c r="Q52" i="7"/>
  <c r="P52" i="7"/>
  <c r="O52" i="7"/>
  <c r="N52" i="7"/>
  <c r="M52" i="7"/>
  <c r="L52" i="7"/>
  <c r="K52" i="7"/>
  <c r="J52" i="7"/>
  <c r="I52" i="7"/>
  <c r="H52" i="7"/>
  <c r="G52" i="7"/>
  <c r="F52" i="7"/>
  <c r="E52" i="7"/>
  <c r="E53" i="7" s="1"/>
  <c r="D52" i="7"/>
  <c r="D53" i="7" s="1"/>
  <c r="C52" i="7"/>
  <c r="C53" i="7" s="1"/>
  <c r="B52" i="7"/>
  <c r="B53" i="7" s="1"/>
  <c r="BV38" i="7"/>
  <c r="BU38" i="7"/>
  <c r="BT38" i="7"/>
  <c r="BS38" i="7"/>
  <c r="BR38" i="7"/>
  <c r="BQ38" i="7"/>
  <c r="BP38" i="7"/>
  <c r="BF38" i="7"/>
  <c r="BE38" i="7"/>
  <c r="BD38" i="7"/>
  <c r="BC38" i="7"/>
  <c r="BB38" i="7"/>
  <c r="BA38" i="7"/>
  <c r="AZ38" i="7"/>
  <c r="AY38" i="7"/>
  <c r="AX38" i="7"/>
  <c r="AW38" i="7"/>
  <c r="AV38" i="7"/>
  <c r="AU38" i="7"/>
  <c r="AT38" i="7"/>
  <c r="AS38" i="7"/>
  <c r="AR38" i="7"/>
  <c r="AQ38" i="7"/>
  <c r="AP38" i="7"/>
  <c r="AO38" i="7"/>
  <c r="AN38" i="7"/>
  <c r="AM38" i="7"/>
  <c r="AL38" i="7"/>
  <c r="AK38" i="7"/>
  <c r="AJ38" i="7"/>
  <c r="AJ39" i="7" s="1"/>
  <c r="X38" i="7"/>
  <c r="W38" i="7"/>
  <c r="V38" i="7"/>
  <c r="U38" i="7"/>
  <c r="T38" i="7"/>
  <c r="S38" i="7"/>
  <c r="R38" i="7"/>
  <c r="Q38" i="7"/>
  <c r="P38" i="7"/>
  <c r="O38" i="7"/>
  <c r="N38" i="7"/>
  <c r="M38" i="7"/>
  <c r="L38" i="7"/>
  <c r="K38" i="7"/>
  <c r="J38" i="7"/>
  <c r="I38" i="7"/>
  <c r="H38" i="7"/>
  <c r="G38" i="7"/>
  <c r="F38" i="7"/>
  <c r="E38" i="7"/>
  <c r="E39" i="7" s="1"/>
  <c r="D38" i="7"/>
  <c r="D39" i="7" s="1"/>
  <c r="C38" i="7"/>
  <c r="C39" i="7" s="1"/>
  <c r="B38" i="7"/>
  <c r="B39" i="7" s="1"/>
  <c r="BV23" i="7"/>
  <c r="BU23" i="7"/>
  <c r="BT23" i="7"/>
  <c r="BS23" i="7"/>
  <c r="BR23" i="7"/>
  <c r="BQ23" i="7"/>
  <c r="BP23" i="7"/>
  <c r="BF23" i="7"/>
  <c r="BE23" i="7"/>
  <c r="BD23" i="7"/>
  <c r="BC23" i="7"/>
  <c r="BB23" i="7"/>
  <c r="BA23" i="7"/>
  <c r="AZ23" i="7"/>
  <c r="AY23" i="7"/>
  <c r="AX23" i="7"/>
  <c r="AW23" i="7"/>
  <c r="AV23" i="7"/>
  <c r="AU23" i="7"/>
  <c r="AT23" i="7"/>
  <c r="AS23" i="7"/>
  <c r="AR23" i="7"/>
  <c r="AQ23" i="7"/>
  <c r="AP23" i="7"/>
  <c r="AO23" i="7"/>
  <c r="AN23" i="7"/>
  <c r="AM23" i="7"/>
  <c r="AL23" i="7"/>
  <c r="AK23" i="7"/>
  <c r="X23" i="7"/>
  <c r="W23" i="7"/>
  <c r="V23" i="7"/>
  <c r="U23" i="7"/>
  <c r="T23" i="7"/>
  <c r="S23" i="7"/>
  <c r="R23" i="7"/>
  <c r="Q23" i="7"/>
  <c r="P23" i="7"/>
  <c r="O23" i="7"/>
  <c r="N23" i="7"/>
  <c r="M23" i="7"/>
  <c r="L23" i="7"/>
  <c r="K23" i="7"/>
  <c r="J23" i="7"/>
  <c r="I23" i="7"/>
  <c r="H23" i="7"/>
  <c r="G23" i="7"/>
  <c r="F23" i="7"/>
  <c r="E23" i="7"/>
  <c r="E24" i="7" s="1"/>
  <c r="D23" i="7"/>
  <c r="D24" i="7" s="1"/>
  <c r="C23" i="7"/>
  <c r="C24" i="7" s="1"/>
  <c r="B23" i="7"/>
  <c r="B24" i="7" s="1"/>
  <c r="AX4" i="7"/>
  <c r="AJ5" i="7"/>
  <c r="AJ6" i="7" s="1"/>
  <c r="E5" i="7"/>
  <c r="E6" i="7" s="1"/>
  <c r="D5" i="7"/>
  <c r="D6" i="7" s="1"/>
  <c r="C5" i="7"/>
  <c r="C6" i="7" s="1"/>
  <c r="B5" i="7"/>
  <c r="B6" i="7" s="1"/>
  <c r="BV5" i="7"/>
  <c r="BU5" i="7"/>
  <c r="BT5" i="7"/>
  <c r="BS5" i="7"/>
  <c r="BR5" i="7"/>
  <c r="BQ5" i="7"/>
  <c r="BP5" i="7"/>
  <c r="BF5" i="7"/>
  <c r="BE5" i="7"/>
  <c r="BD5" i="7"/>
  <c r="BC5" i="7"/>
  <c r="BB5" i="7"/>
  <c r="BA5" i="7"/>
  <c r="AZ5" i="7"/>
  <c r="AY5" i="7"/>
  <c r="AV5" i="7"/>
  <c r="AU5" i="7"/>
  <c r="AT5" i="7"/>
  <c r="AS5" i="7"/>
  <c r="AR5" i="7"/>
  <c r="AQ5" i="7"/>
  <c r="AP5" i="7"/>
  <c r="AO5" i="7"/>
  <c r="AN5" i="7"/>
  <c r="AK5" i="7"/>
  <c r="X5" i="7"/>
  <c r="W5" i="7"/>
  <c r="V5" i="7"/>
  <c r="U5" i="7"/>
  <c r="T5" i="7"/>
  <c r="S5" i="7"/>
  <c r="R5" i="7"/>
  <c r="Q5" i="7"/>
  <c r="P5" i="7"/>
  <c r="O5" i="7"/>
  <c r="N5" i="7"/>
  <c r="M5" i="7"/>
  <c r="L5" i="7"/>
  <c r="K5" i="7"/>
  <c r="J5" i="7"/>
  <c r="G5" i="7"/>
  <c r="K5" i="10"/>
  <c r="J5" i="10"/>
  <c r="G5" i="10"/>
  <c r="E5" i="10"/>
  <c r="E6" i="10" s="1"/>
  <c r="D5" i="10"/>
  <c r="D6" i="10" s="1"/>
  <c r="C5" i="10"/>
  <c r="C6" i="10" s="1"/>
  <c r="B5" i="10"/>
  <c r="B6" i="10" s="1"/>
  <c r="B52" i="10"/>
  <c r="B53" i="10" s="1"/>
  <c r="C52" i="10"/>
  <c r="C53" i="10" s="1"/>
  <c r="D52" i="10"/>
  <c r="D53" i="10" s="1"/>
  <c r="E52" i="10"/>
  <c r="E53" i="10" s="1"/>
  <c r="F52" i="10"/>
  <c r="G52" i="10"/>
  <c r="H52" i="10"/>
  <c r="I52" i="10"/>
  <c r="J52" i="10"/>
  <c r="K52" i="10"/>
  <c r="L52" i="10"/>
  <c r="M52" i="10"/>
  <c r="N52" i="10"/>
  <c r="O52" i="10"/>
  <c r="P52" i="10"/>
  <c r="Q52" i="10"/>
  <c r="R52" i="10"/>
  <c r="S52" i="10"/>
  <c r="T52" i="10"/>
  <c r="U52" i="10"/>
  <c r="V52" i="10"/>
  <c r="W52" i="10"/>
  <c r="X52" i="10"/>
  <c r="B38" i="10"/>
  <c r="B39" i="10" s="1"/>
  <c r="C38" i="10"/>
  <c r="C39" i="10" s="1"/>
  <c r="D38" i="10"/>
  <c r="E38" i="10"/>
  <c r="F38" i="10"/>
  <c r="G38" i="10"/>
  <c r="H38" i="10"/>
  <c r="I38" i="10"/>
  <c r="J38" i="10"/>
  <c r="K38" i="10"/>
  <c r="L38" i="10"/>
  <c r="M38" i="10"/>
  <c r="N38" i="10"/>
  <c r="O38" i="10"/>
  <c r="P38" i="10"/>
  <c r="Q38" i="10"/>
  <c r="R38" i="10"/>
  <c r="S38" i="10"/>
  <c r="T38" i="10"/>
  <c r="U38" i="10"/>
  <c r="V38" i="10"/>
  <c r="W38" i="10"/>
  <c r="X38" i="10"/>
  <c r="D39" i="10"/>
  <c r="E39" i="10"/>
  <c r="B23" i="10"/>
  <c r="B24" i="10" s="1"/>
  <c r="C23" i="10"/>
  <c r="C24" i="10" s="1"/>
  <c r="D23" i="10"/>
  <c r="E23" i="10"/>
  <c r="E24" i="10" s="1"/>
  <c r="F23" i="10"/>
  <c r="G23" i="10"/>
  <c r="H23" i="10"/>
  <c r="I23" i="10"/>
  <c r="J23" i="10"/>
  <c r="K23" i="10"/>
  <c r="L23" i="10"/>
  <c r="M23" i="10"/>
  <c r="N23" i="10"/>
  <c r="O23" i="10"/>
  <c r="P23" i="10"/>
  <c r="Q23" i="10"/>
  <c r="R23" i="10"/>
  <c r="S23" i="10"/>
  <c r="T23" i="10"/>
  <c r="U23" i="10"/>
  <c r="V23" i="10"/>
  <c r="W23" i="10"/>
  <c r="X23" i="10"/>
  <c r="D24" i="10"/>
  <c r="X5" i="10"/>
  <c r="W5" i="10"/>
  <c r="V5" i="10"/>
  <c r="U5" i="10"/>
  <c r="T5" i="10"/>
  <c r="S5" i="10"/>
  <c r="R5" i="10"/>
  <c r="Q5" i="10"/>
  <c r="P5" i="10"/>
  <c r="O5" i="10"/>
  <c r="N5" i="10"/>
  <c r="M5" i="10"/>
  <c r="L5" i="10"/>
  <c r="CN52" i="1"/>
  <c r="CM52" i="1"/>
  <c r="CL52" i="1"/>
  <c r="CK52" i="1"/>
  <c r="CJ52" i="1"/>
  <c r="CI52" i="1"/>
  <c r="CH52" i="1"/>
  <c r="CG52" i="1"/>
  <c r="CF52" i="1"/>
  <c r="CE52" i="1"/>
  <c r="CD52" i="1"/>
  <c r="CC52" i="1"/>
  <c r="CB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O52" i="1"/>
  <c r="AN52" i="1"/>
  <c r="AM52" i="1"/>
  <c r="AL52" i="1"/>
  <c r="AK52" i="1"/>
  <c r="AJ52" i="1"/>
  <c r="AI52" i="1"/>
  <c r="AH52" i="1"/>
  <c r="AG52" i="1"/>
  <c r="AF52" i="1"/>
  <c r="AE52" i="1"/>
  <c r="AD52" i="1"/>
  <c r="AC52" i="1"/>
  <c r="AB52" i="1"/>
  <c r="AA52" i="1"/>
  <c r="Z52" i="1"/>
  <c r="Y52" i="1"/>
  <c r="X52" i="1"/>
  <c r="W52" i="1"/>
  <c r="V52" i="1"/>
  <c r="U52" i="1"/>
  <c r="T52" i="1"/>
  <c r="S52" i="1"/>
  <c r="R52" i="1"/>
  <c r="Q52" i="1"/>
  <c r="P52" i="1"/>
  <c r="O52" i="1"/>
  <c r="N52" i="1"/>
  <c r="M52" i="1"/>
  <c r="L52" i="1"/>
  <c r="K52" i="1"/>
  <c r="J52" i="1"/>
  <c r="I52" i="1"/>
  <c r="H52" i="1"/>
  <c r="G52" i="1"/>
  <c r="F52" i="1"/>
  <c r="E52" i="1"/>
  <c r="D52" i="1"/>
  <c r="C52" i="1"/>
  <c r="B52" i="1"/>
  <c r="CN38" i="1"/>
  <c r="CM38" i="1"/>
  <c r="CL38" i="1"/>
  <c r="CK38" i="1"/>
  <c r="CJ38" i="1"/>
  <c r="AK37" i="11" s="1"/>
  <c r="CI38" i="1"/>
  <c r="AJ37" i="11" s="1"/>
  <c r="CH38" i="1"/>
  <c r="CG38" i="1"/>
  <c r="AH37" i="11" s="1"/>
  <c r="CF38" i="1"/>
  <c r="CE38" i="1"/>
  <c r="CD38" i="1"/>
  <c r="CC38" i="1"/>
  <c r="CB38" i="1"/>
  <c r="CA38" i="1"/>
  <c r="BZ38" i="1"/>
  <c r="BY38" i="1"/>
  <c r="Z37" i="11" s="1"/>
  <c r="BX38" i="1"/>
  <c r="BW38" i="1"/>
  <c r="BV38" i="1"/>
  <c r="BU38" i="1"/>
  <c r="BT38" i="1"/>
  <c r="BS38" i="1"/>
  <c r="BR38" i="1"/>
  <c r="BQ38" i="1"/>
  <c r="R37" i="11" s="1"/>
  <c r="BP38" i="1"/>
  <c r="BO38" i="1"/>
  <c r="BN38" i="1"/>
  <c r="BM38" i="1"/>
  <c r="N37" i="11" s="1"/>
  <c r="BL38" i="1"/>
  <c r="BK38" i="1"/>
  <c r="BJ38" i="1"/>
  <c r="BI38" i="1"/>
  <c r="J37" i="11" s="1"/>
  <c r="BH38" i="1"/>
  <c r="BG38" i="1"/>
  <c r="BF38" i="1"/>
  <c r="BE38" i="1"/>
  <c r="BD38" i="1"/>
  <c r="BC38" i="1"/>
  <c r="BB38" i="1"/>
  <c r="BA38" i="1"/>
  <c r="B37" i="11" s="1"/>
  <c r="AO38" i="1"/>
  <c r="AN38" i="1"/>
  <c r="AM38" i="1"/>
  <c r="AL38" i="1"/>
  <c r="AK38" i="1"/>
  <c r="AJ38" i="1"/>
  <c r="AI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B38" i="1"/>
  <c r="CN23" i="1"/>
  <c r="CM23" i="1"/>
  <c r="CL23" i="1"/>
  <c r="CK23" i="1"/>
  <c r="CJ23" i="1"/>
  <c r="CI23" i="1"/>
  <c r="CH23" i="1"/>
  <c r="CG23" i="1"/>
  <c r="CF23" i="1"/>
  <c r="CE23" i="1"/>
  <c r="CD23" i="1"/>
  <c r="CC23" i="1"/>
  <c r="CB23" i="1"/>
  <c r="CA23" i="1"/>
  <c r="BZ23" i="1"/>
  <c r="BY23" i="1"/>
  <c r="BX23" i="1"/>
  <c r="BW23" i="1"/>
  <c r="BV23" i="1"/>
  <c r="BU23" i="1"/>
  <c r="BT23" i="1"/>
  <c r="BS23" i="1"/>
  <c r="BR23" i="1"/>
  <c r="BQ23" i="1"/>
  <c r="BP23" i="1"/>
  <c r="BO23" i="1"/>
  <c r="BN23" i="1"/>
  <c r="BM23" i="1"/>
  <c r="BL23" i="1"/>
  <c r="BK23" i="1"/>
  <c r="BJ23" i="1"/>
  <c r="BI23" i="1"/>
  <c r="BH23" i="1"/>
  <c r="BG23" i="1"/>
  <c r="BF23" i="1"/>
  <c r="BE23" i="1"/>
  <c r="BD23" i="1"/>
  <c r="BC23" i="1"/>
  <c r="BB23" i="1"/>
  <c r="BA23" i="1"/>
  <c r="AO23" i="1"/>
  <c r="AN23" i="1"/>
  <c r="AM23" i="1"/>
  <c r="AL23"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3" i="1"/>
  <c r="D23" i="1"/>
  <c r="C23" i="1"/>
  <c r="B23" i="1"/>
  <c r="CN5" i="1"/>
  <c r="CM5" i="1"/>
  <c r="CM4" i="1" s="1"/>
  <c r="CL5" i="1"/>
  <c r="CL4" i="1" s="1"/>
  <c r="CK5" i="1"/>
  <c r="CJ5" i="1"/>
  <c r="CJ4" i="1" s="1"/>
  <c r="CI5" i="1"/>
  <c r="CI4" i="1" s="1"/>
  <c r="CH5" i="1"/>
  <c r="CG5" i="1"/>
  <c r="CG4" i="1" s="1"/>
  <c r="CF5" i="1"/>
  <c r="CE5" i="1"/>
  <c r="CE4" i="1" s="1"/>
  <c r="CD5" i="1"/>
  <c r="CD4" i="1" s="1"/>
  <c r="CC5" i="1"/>
  <c r="CB5" i="1"/>
  <c r="CA5" i="1"/>
  <c r="BZ5" i="1"/>
  <c r="BZ4" i="1" s="1"/>
  <c r="BY5" i="1"/>
  <c r="BY4" i="1" s="1"/>
  <c r="BX5" i="1"/>
  <c r="BW5" i="1"/>
  <c r="BW4" i="1" s="1"/>
  <c r="BV5" i="1"/>
  <c r="BV4" i="1" s="1"/>
  <c r="BU5" i="1"/>
  <c r="BU4" i="1" s="1"/>
  <c r="BT5" i="1"/>
  <c r="BS5" i="1"/>
  <c r="BS4" i="1" s="1"/>
  <c r="BR5" i="1"/>
  <c r="BR4" i="1" s="1"/>
  <c r="BQ5" i="1"/>
  <c r="BP5" i="1"/>
  <c r="BO5" i="1"/>
  <c r="BO4" i="1" s="1"/>
  <c r="BN5" i="1"/>
  <c r="BN4" i="1" s="1"/>
  <c r="BM5" i="1"/>
  <c r="BM4" i="1" s="1"/>
  <c r="BL5" i="1"/>
  <c r="BK5" i="1"/>
  <c r="BK4" i="1" s="1"/>
  <c r="BJ5" i="1"/>
  <c r="BJ4" i="1" s="1"/>
  <c r="BI5" i="1"/>
  <c r="BI4" i="1" s="1"/>
  <c r="BH5" i="1"/>
  <c r="BG5" i="1"/>
  <c r="BG4" i="1" s="1"/>
  <c r="BF5" i="1"/>
  <c r="BF4" i="1" s="1"/>
  <c r="BE5" i="1"/>
  <c r="BE4" i="1" s="1"/>
  <c r="BD5" i="1"/>
  <c r="AO5" i="1"/>
  <c r="AN5" i="1"/>
  <c r="AM5" i="1"/>
  <c r="AL5" i="1"/>
  <c r="AK5" i="1"/>
  <c r="AK4" i="1" s="1"/>
  <c r="AJ5" i="1"/>
  <c r="AI5" i="1"/>
  <c r="AH5" i="1"/>
  <c r="AG5" i="1"/>
  <c r="AF5" i="1"/>
  <c r="AE5" i="1"/>
  <c r="AD5" i="1"/>
  <c r="AC5" i="1"/>
  <c r="AC4" i="1" s="1"/>
  <c r="AB5" i="1"/>
  <c r="AA5" i="1"/>
  <c r="Z5" i="1"/>
  <c r="Y5" i="1"/>
  <c r="X5" i="1"/>
  <c r="W5" i="1"/>
  <c r="V5" i="1"/>
  <c r="U5" i="1"/>
  <c r="U4" i="1" s="1"/>
  <c r="T5" i="1"/>
  <c r="S5" i="1"/>
  <c r="R5" i="1"/>
  <c r="Q5" i="1"/>
  <c r="P5" i="1"/>
  <c r="O5" i="1"/>
  <c r="N5" i="1"/>
  <c r="M5" i="1"/>
  <c r="M4" i="1" s="1"/>
  <c r="L5" i="1"/>
  <c r="K5" i="1"/>
  <c r="J5" i="1"/>
  <c r="I5" i="1"/>
  <c r="H5" i="1"/>
  <c r="G5" i="1"/>
  <c r="F5" i="1"/>
  <c r="E5" i="1"/>
  <c r="E4" i="1" s="1"/>
  <c r="D5" i="1"/>
  <c r="C5" i="1"/>
  <c r="B5" i="1"/>
  <c r="CC4" i="1"/>
  <c r="CB4" i="1"/>
  <c r="BL4" i="1"/>
  <c r="B52" i="5"/>
  <c r="C52" i="5"/>
  <c r="D52" i="5"/>
  <c r="E52" i="5"/>
  <c r="F52" i="5"/>
  <c r="G52" i="5"/>
  <c r="H52" i="5"/>
  <c r="I52" i="5"/>
  <c r="J52" i="5"/>
  <c r="K52" i="5"/>
  <c r="L52" i="5"/>
  <c r="M52" i="5"/>
  <c r="N52" i="5"/>
  <c r="O52" i="5"/>
  <c r="P52" i="5"/>
  <c r="Q52" i="5"/>
  <c r="R52" i="5"/>
  <c r="S52" i="5"/>
  <c r="B38" i="5"/>
  <c r="C38" i="5"/>
  <c r="D38" i="5"/>
  <c r="E38" i="5"/>
  <c r="F38" i="5"/>
  <c r="G38" i="5"/>
  <c r="H38" i="5"/>
  <c r="I38" i="5"/>
  <c r="J38" i="5"/>
  <c r="K38" i="5"/>
  <c r="L38" i="5"/>
  <c r="M38" i="5"/>
  <c r="N38" i="5"/>
  <c r="O38" i="5"/>
  <c r="P38" i="5"/>
  <c r="Q38" i="5"/>
  <c r="R38" i="5"/>
  <c r="S38" i="5"/>
  <c r="B23" i="5"/>
  <c r="C23" i="5"/>
  <c r="D23" i="5"/>
  <c r="E23" i="5"/>
  <c r="F23" i="5"/>
  <c r="G23" i="5"/>
  <c r="H23" i="5"/>
  <c r="I23" i="5"/>
  <c r="J23" i="5"/>
  <c r="K23" i="5"/>
  <c r="L23" i="5"/>
  <c r="M23" i="5"/>
  <c r="N23" i="5"/>
  <c r="O23" i="5"/>
  <c r="P23" i="5"/>
  <c r="Q23" i="5"/>
  <c r="R23" i="5"/>
  <c r="S23" i="5"/>
  <c r="B5" i="5"/>
  <c r="C5" i="5"/>
  <c r="D5" i="5"/>
  <c r="E5" i="5"/>
  <c r="F5" i="5"/>
  <c r="G5" i="5"/>
  <c r="AE5" i="5" s="1"/>
  <c r="H5" i="5"/>
  <c r="I5" i="5"/>
  <c r="J5" i="5"/>
  <c r="K5" i="5"/>
  <c r="L5" i="5"/>
  <c r="M5" i="5"/>
  <c r="N5" i="5"/>
  <c r="O5" i="5"/>
  <c r="P5" i="5"/>
  <c r="Q5" i="5"/>
  <c r="R5" i="5"/>
  <c r="S5" i="5"/>
  <c r="AP5" i="4"/>
  <c r="AO5" i="4"/>
  <c r="AN5" i="4"/>
  <c r="AM5" i="4"/>
  <c r="AL5" i="4"/>
  <c r="AK5" i="4"/>
  <c r="AJ5" i="4"/>
  <c r="AI5" i="4"/>
  <c r="AH5" i="4"/>
  <c r="AG5" i="4"/>
  <c r="AF5" i="4"/>
  <c r="AE5" i="4"/>
  <c r="AD5" i="4"/>
  <c r="AC5" i="4"/>
  <c r="AB5" i="4"/>
  <c r="AA5" i="4"/>
  <c r="Z5" i="4"/>
  <c r="Y5" i="4"/>
  <c r="X5" i="4"/>
  <c r="W5" i="4"/>
  <c r="V5" i="4"/>
  <c r="U5" i="4"/>
  <c r="T5" i="4"/>
  <c r="S5" i="4"/>
  <c r="R5" i="4"/>
  <c r="Q5" i="4"/>
  <c r="P5" i="4"/>
  <c r="O5" i="4"/>
  <c r="N5" i="4"/>
  <c r="M5" i="4"/>
  <c r="L5" i="4"/>
  <c r="K5" i="4"/>
  <c r="J5" i="4"/>
  <c r="I5" i="4"/>
  <c r="H5" i="4"/>
  <c r="G5" i="4"/>
  <c r="F5" i="4"/>
  <c r="E5" i="4"/>
  <c r="D4" i="11" s="1"/>
  <c r="D5" i="4"/>
  <c r="C4" i="11" s="1"/>
  <c r="C5" i="4"/>
  <c r="B4" i="11" s="1"/>
  <c r="B52" i="4"/>
  <c r="B53" i="4" s="1"/>
  <c r="C52" i="4"/>
  <c r="D52" i="4"/>
  <c r="E52" i="4"/>
  <c r="F52" i="4"/>
  <c r="G52" i="4"/>
  <c r="H52" i="4"/>
  <c r="I52" i="4"/>
  <c r="J52" i="4"/>
  <c r="K52" i="4"/>
  <c r="L52" i="4"/>
  <c r="M52" i="4"/>
  <c r="N52" i="4"/>
  <c r="O52" i="4"/>
  <c r="P52" i="4"/>
  <c r="Q52" i="4"/>
  <c r="R52" i="4"/>
  <c r="S52" i="4"/>
  <c r="T52" i="4"/>
  <c r="U52" i="4"/>
  <c r="V52" i="4"/>
  <c r="W52" i="4"/>
  <c r="X52" i="4"/>
  <c r="Y52" i="4"/>
  <c r="Z52" i="4"/>
  <c r="AA52" i="4"/>
  <c r="AB52" i="4"/>
  <c r="AC52" i="4"/>
  <c r="AD52" i="4"/>
  <c r="AE52" i="4"/>
  <c r="AF52" i="4"/>
  <c r="AG52" i="4"/>
  <c r="AH52" i="4"/>
  <c r="AI52" i="4"/>
  <c r="AJ52" i="4"/>
  <c r="AK52" i="4"/>
  <c r="AL52" i="4"/>
  <c r="AM52" i="4"/>
  <c r="AN52" i="4"/>
  <c r="AO52" i="4"/>
  <c r="AP52" i="4"/>
  <c r="B38" i="4"/>
  <c r="B39" i="4" s="1"/>
  <c r="C38" i="4"/>
  <c r="D38" i="4"/>
  <c r="E38" i="4"/>
  <c r="F38" i="4"/>
  <c r="G38" i="4"/>
  <c r="H38" i="4"/>
  <c r="I38" i="4"/>
  <c r="J38" i="4"/>
  <c r="K38" i="4"/>
  <c r="L38" i="4"/>
  <c r="M38" i="4"/>
  <c r="N38" i="4"/>
  <c r="O38" i="4"/>
  <c r="P38" i="4"/>
  <c r="Q38" i="4"/>
  <c r="R38" i="4"/>
  <c r="S38" i="4"/>
  <c r="T38" i="4"/>
  <c r="U38" i="4"/>
  <c r="V38" i="4"/>
  <c r="W38" i="4"/>
  <c r="X38" i="4"/>
  <c r="Y38" i="4"/>
  <c r="Z38" i="4"/>
  <c r="AA38" i="4"/>
  <c r="AB38" i="4"/>
  <c r="AC38" i="4"/>
  <c r="AD38" i="4"/>
  <c r="AE38" i="4"/>
  <c r="AF38" i="4"/>
  <c r="AG38" i="4"/>
  <c r="AH38" i="4"/>
  <c r="AI38" i="4"/>
  <c r="AJ38" i="4"/>
  <c r="AK38" i="4"/>
  <c r="AL38" i="4"/>
  <c r="AM38" i="4"/>
  <c r="AN38" i="4"/>
  <c r="AO38" i="4"/>
  <c r="AP38" i="4"/>
  <c r="B23" i="4"/>
  <c r="B24" i="4" s="1"/>
  <c r="C23" i="4"/>
  <c r="D23" i="4"/>
  <c r="E23" i="4"/>
  <c r="F23" i="4"/>
  <c r="F4" i="4" s="1"/>
  <c r="G23" i="4"/>
  <c r="H23" i="4"/>
  <c r="I23" i="4"/>
  <c r="J23" i="4"/>
  <c r="K23" i="4"/>
  <c r="L23" i="4"/>
  <c r="M23" i="4"/>
  <c r="N23" i="4"/>
  <c r="N4" i="4" s="1"/>
  <c r="O23" i="4"/>
  <c r="P23" i="4"/>
  <c r="Q23" i="4"/>
  <c r="R23" i="4"/>
  <c r="S23" i="4"/>
  <c r="T23" i="4"/>
  <c r="U23" i="4"/>
  <c r="V23" i="4"/>
  <c r="V4" i="4" s="1"/>
  <c r="W23" i="4"/>
  <c r="X23" i="4"/>
  <c r="Y23" i="4"/>
  <c r="Z23" i="4"/>
  <c r="AA23" i="4"/>
  <c r="AB23" i="4"/>
  <c r="AC23" i="4"/>
  <c r="AD23" i="4"/>
  <c r="AD4" i="4" s="1"/>
  <c r="AE23" i="4"/>
  <c r="AF23" i="4"/>
  <c r="AG23" i="4"/>
  <c r="AH23" i="4"/>
  <c r="AI23" i="4"/>
  <c r="AJ23" i="4"/>
  <c r="AK23" i="4"/>
  <c r="AL23" i="4"/>
  <c r="AL4" i="4" s="1"/>
  <c r="AM23" i="4"/>
  <c r="AN23" i="4"/>
  <c r="AO23" i="4"/>
  <c r="AP23" i="4"/>
  <c r="O4" i="1" l="1"/>
  <c r="AD37" i="11"/>
  <c r="F37" i="11"/>
  <c r="D4" i="1"/>
  <c r="T4" i="1"/>
  <c r="AK4" i="11"/>
  <c r="AQ24" i="1"/>
  <c r="N4" i="1"/>
  <c r="AD4" i="1"/>
  <c r="AD6" i="1" s="1"/>
  <c r="BP4" i="1"/>
  <c r="BP39" i="1" s="1"/>
  <c r="V4" i="11"/>
  <c r="AD4" i="11"/>
  <c r="F4" i="1"/>
  <c r="V4" i="1"/>
  <c r="AL4" i="1"/>
  <c r="J22" i="11"/>
  <c r="L37" i="11"/>
  <c r="AJ4" i="11"/>
  <c r="U39" i="5"/>
  <c r="AH22" i="11"/>
  <c r="E4" i="11"/>
  <c r="M4" i="11"/>
  <c r="U4" i="11"/>
  <c r="AC4" i="11"/>
  <c r="E37" i="11"/>
  <c r="M37" i="11"/>
  <c r="K4" i="10"/>
  <c r="K24" i="10" s="1"/>
  <c r="AL4" i="6"/>
  <c r="AL39" i="6" s="1"/>
  <c r="AT4" i="6"/>
  <c r="G4" i="6"/>
  <c r="G24" i="6" s="1"/>
  <c r="R22" i="11"/>
  <c r="AM4" i="4"/>
  <c r="AE4" i="4"/>
  <c r="W4" i="4"/>
  <c r="W6" i="4" s="1"/>
  <c r="O4" i="4"/>
  <c r="O6" i="4" s="1"/>
  <c r="G4" i="4"/>
  <c r="N4" i="11"/>
  <c r="AI4" i="6"/>
  <c r="AI6" i="6" s="1"/>
  <c r="AQ4" i="6"/>
  <c r="AQ53" i="6" s="1"/>
  <c r="Z22" i="11"/>
  <c r="G4" i="1"/>
  <c r="G6" i="1" s="1"/>
  <c r="W4" i="1"/>
  <c r="W6" i="1" s="1"/>
  <c r="AE4" i="1"/>
  <c r="AE53" i="1" s="1"/>
  <c r="AM4" i="1"/>
  <c r="AF5" i="5"/>
  <c r="I22" i="11"/>
  <c r="Q22" i="11"/>
  <c r="Y22" i="11"/>
  <c r="AG22" i="11"/>
  <c r="AO22" i="11"/>
  <c r="U53" i="6"/>
  <c r="AG37" i="11"/>
  <c r="X4" i="10"/>
  <c r="X24" i="10" s="1"/>
  <c r="AR24" i="4"/>
  <c r="G4" i="11"/>
  <c r="O4" i="11"/>
  <c r="W4" i="11"/>
  <c r="AE4" i="11"/>
  <c r="AM4" i="11"/>
  <c r="F4" i="11"/>
  <c r="V37" i="11"/>
  <c r="AR53" i="4"/>
  <c r="Y37" i="11"/>
  <c r="Q37" i="11"/>
  <c r="P4" i="10"/>
  <c r="P24" i="10" s="1"/>
  <c r="AK4" i="4"/>
  <c r="AJ3" i="11" s="1"/>
  <c r="U4" i="4"/>
  <c r="E4" i="4"/>
  <c r="E6" i="4" s="1"/>
  <c r="S4" i="10"/>
  <c r="S24" i="10" s="1"/>
  <c r="AC37" i="11"/>
  <c r="U37" i="11"/>
  <c r="BD4" i="1"/>
  <c r="BD6" i="1" s="1"/>
  <c r="BT4" i="1"/>
  <c r="BT6" i="1" s="1"/>
  <c r="H4" i="1"/>
  <c r="H24" i="1" s="1"/>
  <c r="P4" i="1"/>
  <c r="P24" i="1" s="1"/>
  <c r="X4" i="1"/>
  <c r="X6" i="1" s="1"/>
  <c r="AF4" i="1"/>
  <c r="AF53" i="1" s="1"/>
  <c r="AN4" i="1"/>
  <c r="AN39" i="1" s="1"/>
  <c r="K22" i="11"/>
  <c r="S22" i="11"/>
  <c r="AA22" i="11"/>
  <c r="AI22" i="11"/>
  <c r="C37" i="11"/>
  <c r="K37" i="11"/>
  <c r="S37" i="11"/>
  <c r="AA37" i="11"/>
  <c r="AI37" i="11"/>
  <c r="L4" i="10"/>
  <c r="L24" i="10" s="1"/>
  <c r="T4" i="11"/>
  <c r="I37" i="11"/>
  <c r="AO37" i="11"/>
  <c r="AC4" i="4"/>
  <c r="M4" i="4"/>
  <c r="AQ39" i="1"/>
  <c r="AO4" i="1"/>
  <c r="AO39" i="1" s="1"/>
  <c r="AB4" i="11"/>
  <c r="L4" i="1"/>
  <c r="L39" i="1" s="1"/>
  <c r="AB4" i="1"/>
  <c r="AB6" i="1" s="1"/>
  <c r="D37" i="11"/>
  <c r="T37" i="11"/>
  <c r="AB37" i="11"/>
  <c r="D51" i="11"/>
  <c r="L51" i="11"/>
  <c r="T51" i="11"/>
  <c r="AB51" i="11"/>
  <c r="AJ51" i="11"/>
  <c r="K4" i="6"/>
  <c r="K6" i="6" s="1"/>
  <c r="S4" i="6"/>
  <c r="S24" i="6" s="1"/>
  <c r="L4" i="6"/>
  <c r="L39" i="6" s="1"/>
  <c r="AE4" i="6"/>
  <c r="AE6" i="6" s="1"/>
  <c r="AJ4" i="6"/>
  <c r="AJ24" i="6" s="1"/>
  <c r="AN4" i="6"/>
  <c r="AN6" i="6" s="1"/>
  <c r="AV4" i="6"/>
  <c r="AV39" i="6" s="1"/>
  <c r="I4" i="6"/>
  <c r="I6" i="6" s="1"/>
  <c r="Q4" i="6"/>
  <c r="Q24" i="6" s="1"/>
  <c r="AK4" i="6"/>
  <c r="AK53" i="6" s="1"/>
  <c r="AG4" i="11"/>
  <c r="Q51" i="11"/>
  <c r="AO51" i="11"/>
  <c r="Q4" i="1"/>
  <c r="Q53" i="1" s="1"/>
  <c r="R4" i="11"/>
  <c r="J4" i="1"/>
  <c r="J6" i="1" s="1"/>
  <c r="AI4" i="11"/>
  <c r="BQ4" i="1"/>
  <c r="K4" i="1"/>
  <c r="AA4" i="1"/>
  <c r="AA6" i="1" s="1"/>
  <c r="D22" i="11"/>
  <c r="BC4" i="1"/>
  <c r="BC6" i="1" s="1"/>
  <c r="T22" i="11"/>
  <c r="AB22" i="11"/>
  <c r="CH4" i="1"/>
  <c r="AJ4" i="1"/>
  <c r="E51" i="11"/>
  <c r="M51" i="11"/>
  <c r="U51" i="11"/>
  <c r="AC51" i="11"/>
  <c r="N4" i="10"/>
  <c r="N24" i="10" s="1"/>
  <c r="V4" i="10"/>
  <c r="V24" i="10" s="1"/>
  <c r="Z39" i="10"/>
  <c r="I4" i="11"/>
  <c r="AO4" i="11"/>
  <c r="I51" i="11"/>
  <c r="AG4" i="1"/>
  <c r="AG39" i="1" s="1"/>
  <c r="Z4" i="11"/>
  <c r="BH4" i="1"/>
  <c r="BH39" i="1" s="1"/>
  <c r="CF4" i="1"/>
  <c r="CF24" i="1" s="1"/>
  <c r="AH4" i="1"/>
  <c r="AH24" i="1" s="1"/>
  <c r="AA4" i="11"/>
  <c r="C22" i="11"/>
  <c r="BB4" i="1"/>
  <c r="BB6" i="1" s="1"/>
  <c r="C4" i="1"/>
  <c r="C53" i="1" s="1"/>
  <c r="S4" i="1"/>
  <c r="S6" i="1" s="1"/>
  <c r="AI4" i="1"/>
  <c r="AI39" i="1" s="1"/>
  <c r="L22" i="11"/>
  <c r="AJ22" i="11"/>
  <c r="L4" i="11"/>
  <c r="CA4" i="1"/>
  <c r="CA6" i="1" s="1"/>
  <c r="F51" i="11"/>
  <c r="N51" i="11"/>
  <c r="V51" i="11"/>
  <c r="AD51" i="11"/>
  <c r="AL51" i="11"/>
  <c r="Z53" i="10"/>
  <c r="Y4" i="11"/>
  <c r="AG51" i="11"/>
  <c r="I4" i="1"/>
  <c r="I6" i="1" s="1"/>
  <c r="AH4" i="11"/>
  <c r="BX4" i="1"/>
  <c r="BX39" i="1" s="1"/>
  <c r="R4" i="1"/>
  <c r="R53" i="1" s="1"/>
  <c r="K4" i="11"/>
  <c r="AG4" i="4"/>
  <c r="Q4" i="4"/>
  <c r="AI51" i="11"/>
  <c r="S51" i="11"/>
  <c r="O37" i="11"/>
  <c r="AM37" i="11"/>
  <c r="G51" i="11"/>
  <c r="AE51" i="11"/>
  <c r="Q4" i="11"/>
  <c r="Y51" i="11"/>
  <c r="CN4" i="1"/>
  <c r="CN39" i="1" s="1"/>
  <c r="Y4" i="1"/>
  <c r="Y53" i="1" s="1"/>
  <c r="J4" i="11"/>
  <c r="B22" i="11"/>
  <c r="BA4" i="1"/>
  <c r="BA6" i="1" s="1"/>
  <c r="B4" i="1"/>
  <c r="B6" i="1" s="1"/>
  <c r="Z4" i="1"/>
  <c r="Z6" i="1" s="1"/>
  <c r="S4" i="11"/>
  <c r="AO4" i="4"/>
  <c r="Y4" i="4"/>
  <c r="Y6" i="4" s="1"/>
  <c r="I4" i="4"/>
  <c r="I6" i="4" s="1"/>
  <c r="AA51" i="11"/>
  <c r="K51" i="11"/>
  <c r="C51" i="11"/>
  <c r="G37" i="11"/>
  <c r="W37" i="11"/>
  <c r="AE37" i="11"/>
  <c r="O51" i="11"/>
  <c r="W51" i="11"/>
  <c r="AM51" i="11"/>
  <c r="AH51" i="11"/>
  <c r="Z51" i="11"/>
  <c r="R51" i="11"/>
  <c r="J51" i="11"/>
  <c r="B51" i="11"/>
  <c r="H4" i="11"/>
  <c r="P4" i="11"/>
  <c r="X4" i="11"/>
  <c r="AF4" i="11"/>
  <c r="AN4" i="11"/>
  <c r="H22" i="11"/>
  <c r="P22" i="11"/>
  <c r="X22" i="11"/>
  <c r="AF22" i="11"/>
  <c r="AN22" i="11"/>
  <c r="H37" i="11"/>
  <c r="P37" i="11"/>
  <c r="X37" i="11"/>
  <c r="AF37" i="11"/>
  <c r="AN37" i="11"/>
  <c r="H51" i="11"/>
  <c r="P51" i="11"/>
  <c r="X51" i="11"/>
  <c r="AF51" i="11"/>
  <c r="AN51" i="11"/>
  <c r="R4" i="10"/>
  <c r="R24" i="10" s="1"/>
  <c r="J4" i="10"/>
  <c r="J24" i="10" s="1"/>
  <c r="BV4" i="7"/>
  <c r="BV24" i="7" s="1"/>
  <c r="E4" i="6"/>
  <c r="E39" i="6" s="1"/>
  <c r="M4" i="6"/>
  <c r="M53" i="6" s="1"/>
  <c r="AO4" i="7"/>
  <c r="AO6" i="7" s="1"/>
  <c r="P4" i="7"/>
  <c r="P39" i="7" s="1"/>
  <c r="BB4" i="7"/>
  <c r="BB6" i="7" s="1"/>
  <c r="T4" i="7"/>
  <c r="T53" i="7" s="1"/>
  <c r="V4" i="7"/>
  <c r="V39" i="7" s="1"/>
  <c r="AZ4" i="7"/>
  <c r="AZ39" i="7" s="1"/>
  <c r="BT4" i="7"/>
  <c r="N4" i="7"/>
  <c r="N53" i="7" s="1"/>
  <c r="BD4" i="7"/>
  <c r="BD53" i="7" s="1"/>
  <c r="BU4" i="7"/>
  <c r="N4" i="5"/>
  <c r="N6" i="5" s="1"/>
  <c r="F4" i="5"/>
  <c r="F6" i="5" s="1"/>
  <c r="M4" i="5"/>
  <c r="M6" i="5" s="1"/>
  <c r="E4" i="5"/>
  <c r="E6" i="5" s="1"/>
  <c r="U24" i="5"/>
  <c r="Z24" i="7"/>
  <c r="Z53" i="7"/>
  <c r="Z39" i="7"/>
  <c r="Z24" i="10"/>
  <c r="AQ53" i="1"/>
  <c r="AR39" i="4"/>
  <c r="AQ3" i="11"/>
  <c r="U53" i="5"/>
  <c r="AS4" i="6"/>
  <c r="AS24" i="6" s="1"/>
  <c r="AX39" i="6"/>
  <c r="AX6" i="6"/>
  <c r="AX24" i="6"/>
  <c r="U6" i="6"/>
  <c r="U24" i="6"/>
  <c r="L4" i="7"/>
  <c r="L6" i="7" s="1"/>
  <c r="AP4" i="7"/>
  <c r="AP53" i="7" s="1"/>
  <c r="BS4" i="7"/>
  <c r="BQ4" i="7"/>
  <c r="BQ39" i="7" s="1"/>
  <c r="M4" i="7"/>
  <c r="M39" i="7" s="1"/>
  <c r="U4" i="7"/>
  <c r="AQ4" i="7"/>
  <c r="AQ6" i="7" s="1"/>
  <c r="AU4" i="7"/>
  <c r="AU39" i="7" s="1"/>
  <c r="BF4" i="7"/>
  <c r="BF24" i="7" s="1"/>
  <c r="J4" i="7"/>
  <c r="J53" i="7" s="1"/>
  <c r="O4" i="7"/>
  <c r="O24" i="7" s="1"/>
  <c r="W4" i="7"/>
  <c r="R4" i="7"/>
  <c r="R24" i="7" s="1"/>
  <c r="BP4" i="7"/>
  <c r="BP24" i="7" s="1"/>
  <c r="X4" i="7"/>
  <c r="X39" i="7" s="1"/>
  <c r="BC4" i="7"/>
  <c r="BC53" i="7" s="1"/>
  <c r="BX6" i="7"/>
  <c r="BX39" i="7"/>
  <c r="BX24" i="7"/>
  <c r="AL37" i="11"/>
  <c r="CK4" i="1"/>
  <c r="CK53" i="1" s="1"/>
  <c r="AL4" i="11"/>
  <c r="CP39" i="1"/>
  <c r="CP53" i="1"/>
  <c r="CP6" i="1"/>
  <c r="CP24" i="1"/>
  <c r="AP37" i="11"/>
  <c r="AP4" i="11"/>
  <c r="AF4" i="4"/>
  <c r="AF6" i="4" s="1"/>
  <c r="AE22" i="11"/>
  <c r="L4" i="5"/>
  <c r="L6" i="5" s="1"/>
  <c r="U4" i="10"/>
  <c r="U24" i="10" s="1"/>
  <c r="F22" i="11"/>
  <c r="AP22" i="11"/>
  <c r="AR4" i="7"/>
  <c r="AR24" i="7" s="1"/>
  <c r="AC22" i="11"/>
  <c r="R4" i="5"/>
  <c r="R24" i="5" s="1"/>
  <c r="J4" i="5"/>
  <c r="J6" i="5" s="1"/>
  <c r="B4" i="5"/>
  <c r="B6" i="5" s="1"/>
  <c r="O4" i="10"/>
  <c r="O24" i="10" s="1"/>
  <c r="W4" i="10"/>
  <c r="W24" i="10" s="1"/>
  <c r="T4" i="10"/>
  <c r="Q4" i="7"/>
  <c r="Q6" i="7" s="1"/>
  <c r="AS4" i="7"/>
  <c r="AS39" i="7" s="1"/>
  <c r="AY4" i="7"/>
  <c r="AY24" i="7" s="1"/>
  <c r="X4" i="4"/>
  <c r="W22" i="11"/>
  <c r="D4" i="5"/>
  <c r="D6" i="5" s="1"/>
  <c r="AD22" i="11"/>
  <c r="K4" i="5"/>
  <c r="K6" i="5" s="1"/>
  <c r="N4" i="6"/>
  <c r="N6" i="6" s="1"/>
  <c r="AK22" i="11"/>
  <c r="E22" i="11"/>
  <c r="AJ4" i="4"/>
  <c r="AJ6" i="4" s="1"/>
  <c r="AB4" i="4"/>
  <c r="T4" i="4"/>
  <c r="T6" i="4" s="1"/>
  <c r="L4" i="4"/>
  <c r="D4" i="4"/>
  <c r="D6" i="4" s="1"/>
  <c r="Q4" i="5"/>
  <c r="Q6" i="5" s="1"/>
  <c r="I4" i="5"/>
  <c r="I6" i="5" s="1"/>
  <c r="AT4" i="7"/>
  <c r="AT24" i="7" s="1"/>
  <c r="O4" i="6"/>
  <c r="O6" i="6" s="1"/>
  <c r="AR4" i="6"/>
  <c r="AR53" i="6" s="1"/>
  <c r="AM4" i="6"/>
  <c r="AM24" i="6" s="1"/>
  <c r="AU4" i="6"/>
  <c r="AU53" i="6" s="1"/>
  <c r="H4" i="6"/>
  <c r="H39" i="6" s="1"/>
  <c r="P4" i="6"/>
  <c r="P53" i="6" s="1"/>
  <c r="AN4" i="4"/>
  <c r="AN6" i="4" s="1"/>
  <c r="H4" i="4"/>
  <c r="H6" i="4" s="1"/>
  <c r="AM22" i="11"/>
  <c r="G22" i="11"/>
  <c r="AL22" i="11"/>
  <c r="N22" i="11"/>
  <c r="C4" i="5"/>
  <c r="C6" i="5" s="1"/>
  <c r="U22" i="11"/>
  <c r="AI4" i="4"/>
  <c r="AI6" i="4" s="1"/>
  <c r="AA4" i="4"/>
  <c r="AA6" i="4" s="1"/>
  <c r="S4" i="4"/>
  <c r="S6" i="4" s="1"/>
  <c r="K4" i="4"/>
  <c r="K6" i="4" s="1"/>
  <c r="C4" i="4"/>
  <c r="P4" i="5"/>
  <c r="P6" i="5" s="1"/>
  <c r="H4" i="5"/>
  <c r="H24" i="5" s="1"/>
  <c r="Q4" i="10"/>
  <c r="Q24" i="10" s="1"/>
  <c r="K4" i="7"/>
  <c r="K24" i="7" s="1"/>
  <c r="S4" i="7"/>
  <c r="S24" i="7" s="1"/>
  <c r="BA4" i="7"/>
  <c r="BA6" i="7" s="1"/>
  <c r="BR4" i="7"/>
  <c r="AK51" i="11"/>
  <c r="P4" i="4"/>
  <c r="P6" i="4" s="1"/>
  <c r="O22" i="11"/>
  <c r="M4" i="10"/>
  <c r="M24" i="10" s="1"/>
  <c r="BE4" i="7"/>
  <c r="BE6" i="7" s="1"/>
  <c r="V22" i="11"/>
  <c r="S4" i="5"/>
  <c r="S6" i="5" s="1"/>
  <c r="F4" i="6"/>
  <c r="F6" i="6" s="1"/>
  <c r="M22" i="11"/>
  <c r="AP4" i="4"/>
  <c r="AP39" i="4" s="1"/>
  <c r="AH4" i="4"/>
  <c r="AH6" i="4" s="1"/>
  <c r="Z4" i="4"/>
  <c r="Z6" i="4" s="1"/>
  <c r="R4" i="4"/>
  <c r="R6" i="4" s="1"/>
  <c r="J4" i="4"/>
  <c r="J6" i="4" s="1"/>
  <c r="O4" i="5"/>
  <c r="O39" i="5" s="1"/>
  <c r="G4" i="5"/>
  <c r="AN4" i="7"/>
  <c r="AN39" i="7" s="1"/>
  <c r="AV4" i="7"/>
  <c r="AV39" i="7" s="1"/>
  <c r="AO4" i="6"/>
  <c r="AO53" i="6" s="1"/>
  <c r="J4" i="6"/>
  <c r="J6" i="6" s="1"/>
  <c r="R4" i="6"/>
  <c r="AP51" i="11"/>
  <c r="AW4" i="6"/>
  <c r="T4" i="6"/>
  <c r="Y4" i="7"/>
  <c r="BW4" i="7"/>
  <c r="Y4" i="10"/>
  <c r="Y53" i="10" s="1"/>
  <c r="CO4" i="1"/>
  <c r="AP4" i="1"/>
  <c r="AP6" i="1" s="1"/>
  <c r="T4" i="5"/>
  <c r="AQ4" i="4"/>
  <c r="Q53" i="6"/>
  <c r="AH53" i="6"/>
  <c r="AP53" i="6"/>
  <c r="AT53" i="6"/>
  <c r="L53" i="6"/>
  <c r="AH39" i="6"/>
  <c r="AP39" i="6"/>
  <c r="AT39" i="6"/>
  <c r="F39" i="6"/>
  <c r="AK39" i="6"/>
  <c r="E24" i="6"/>
  <c r="K24" i="6"/>
  <c r="O24" i="6"/>
  <c r="AH24" i="6"/>
  <c r="AL24" i="6"/>
  <c r="AP24" i="6"/>
  <c r="AT24" i="6"/>
  <c r="AK6" i="6"/>
  <c r="AK24" i="6"/>
  <c r="L6" i="6"/>
  <c r="AH6" i="6"/>
  <c r="AP6" i="6"/>
  <c r="AT6" i="6"/>
  <c r="Q6" i="6"/>
  <c r="B4" i="6"/>
  <c r="B6" i="6" s="1"/>
  <c r="AX39" i="7"/>
  <c r="AX24" i="7"/>
  <c r="AX53" i="7"/>
  <c r="BB24" i="7"/>
  <c r="AK4" i="7"/>
  <c r="AK6" i="7" s="1"/>
  <c r="G4" i="7"/>
  <c r="G6" i="7" s="1"/>
  <c r="J6" i="10"/>
  <c r="K53" i="10"/>
  <c r="X53" i="10"/>
  <c r="P53" i="10"/>
  <c r="O39" i="10"/>
  <c r="K39" i="10"/>
  <c r="X39" i="10"/>
  <c r="P39" i="10"/>
  <c r="J39" i="10"/>
  <c r="P6" i="10"/>
  <c r="X6" i="10"/>
  <c r="G4" i="10"/>
  <c r="G6" i="10" s="1"/>
  <c r="BY53" i="1"/>
  <c r="CA53" i="1"/>
  <c r="CC53" i="1"/>
  <c r="CE53" i="1"/>
  <c r="CG53" i="1"/>
  <c r="CJ53" i="1"/>
  <c r="CL53" i="1"/>
  <c r="BZ53" i="1"/>
  <c r="CB53" i="1"/>
  <c r="CD53" i="1"/>
  <c r="CH53" i="1"/>
  <c r="CI53" i="1"/>
  <c r="CM53" i="1"/>
  <c r="E53" i="1"/>
  <c r="K53" i="1"/>
  <c r="M53" i="1"/>
  <c r="O53" i="1"/>
  <c r="U53" i="1"/>
  <c r="W53" i="1"/>
  <c r="AC53" i="1"/>
  <c r="AG53" i="1"/>
  <c r="AJ53" i="1"/>
  <c r="AL53" i="1"/>
  <c r="BE53" i="1"/>
  <c r="BG53" i="1"/>
  <c r="BI53" i="1"/>
  <c r="BK53" i="1"/>
  <c r="BM53" i="1"/>
  <c r="BO53" i="1"/>
  <c r="BQ53" i="1"/>
  <c r="BS53" i="1"/>
  <c r="BU53" i="1"/>
  <c r="BW53" i="1"/>
  <c r="D53" i="1"/>
  <c r="F53" i="1"/>
  <c r="N53" i="1"/>
  <c r="T53" i="1"/>
  <c r="V53" i="1"/>
  <c r="X53" i="1"/>
  <c r="AK53" i="1"/>
  <c r="AM53" i="1"/>
  <c r="AO53" i="1"/>
  <c r="BF53" i="1"/>
  <c r="BJ53" i="1"/>
  <c r="BL53" i="1"/>
  <c r="BN53" i="1"/>
  <c r="BR53" i="1"/>
  <c r="BV53" i="1"/>
  <c r="E39" i="1"/>
  <c r="K39" i="1"/>
  <c r="M39" i="1"/>
  <c r="O39" i="1"/>
  <c r="U39" i="1"/>
  <c r="AC39" i="1"/>
  <c r="AJ39" i="1"/>
  <c r="AL39" i="1"/>
  <c r="BA39" i="1"/>
  <c r="BE39" i="1"/>
  <c r="BG39" i="1"/>
  <c r="BI39" i="1"/>
  <c r="BK39" i="1"/>
  <c r="BM39" i="1"/>
  <c r="BO39" i="1"/>
  <c r="BQ39" i="1"/>
  <c r="BS39" i="1"/>
  <c r="BU39" i="1"/>
  <c r="BW39" i="1"/>
  <c r="BY39" i="1"/>
  <c r="CC39" i="1"/>
  <c r="CE39" i="1"/>
  <c r="CG39" i="1"/>
  <c r="CJ39" i="1"/>
  <c r="CL39" i="1"/>
  <c r="D39" i="1"/>
  <c r="F39" i="1"/>
  <c r="N39" i="1"/>
  <c r="T39" i="1"/>
  <c r="V39" i="1"/>
  <c r="X39" i="1"/>
  <c r="AK39" i="1"/>
  <c r="AM39" i="1"/>
  <c r="BF39" i="1"/>
  <c r="BJ39" i="1"/>
  <c r="BL39" i="1"/>
  <c r="BN39" i="1"/>
  <c r="BR39" i="1"/>
  <c r="BV39" i="1"/>
  <c r="BZ39" i="1"/>
  <c r="CB39" i="1"/>
  <c r="CD39" i="1"/>
  <c r="CH39" i="1"/>
  <c r="CI39" i="1"/>
  <c r="CM39" i="1"/>
  <c r="E24" i="1"/>
  <c r="K24" i="1"/>
  <c r="M24" i="1"/>
  <c r="O24" i="1"/>
  <c r="U24" i="1"/>
  <c r="W24" i="1"/>
  <c r="AC24" i="1"/>
  <c r="AJ24" i="1"/>
  <c r="AL24" i="1"/>
  <c r="AN24" i="1"/>
  <c r="BE24" i="1"/>
  <c r="BG24" i="1"/>
  <c r="BI24" i="1"/>
  <c r="BK24" i="1"/>
  <c r="BM24" i="1"/>
  <c r="BO24" i="1"/>
  <c r="BQ24" i="1"/>
  <c r="BS24" i="1"/>
  <c r="BU24" i="1"/>
  <c r="BW24" i="1"/>
  <c r="BY24" i="1"/>
  <c r="CC24" i="1"/>
  <c r="CE24" i="1"/>
  <c r="CG24" i="1"/>
  <c r="CJ24" i="1"/>
  <c r="CL24" i="1"/>
  <c r="D24" i="1"/>
  <c r="F24" i="1"/>
  <c r="L24" i="1"/>
  <c r="N24" i="1"/>
  <c r="T24" i="1"/>
  <c r="V24" i="1"/>
  <c r="X24" i="1"/>
  <c r="Z24" i="1"/>
  <c r="AK24" i="1"/>
  <c r="AM24" i="1"/>
  <c r="AO24" i="1"/>
  <c r="BF24" i="1"/>
  <c r="BJ24" i="1"/>
  <c r="BL24" i="1"/>
  <c r="BN24" i="1"/>
  <c r="BR24" i="1"/>
  <c r="BT24" i="1"/>
  <c r="BV24" i="1"/>
  <c r="BZ24" i="1"/>
  <c r="CB24" i="1"/>
  <c r="CD24" i="1"/>
  <c r="CH24" i="1"/>
  <c r="CI24" i="1"/>
  <c r="CM24" i="1"/>
  <c r="E6" i="1"/>
  <c r="K6" i="1"/>
  <c r="M6" i="1"/>
  <c r="O6" i="1"/>
  <c r="Q6" i="1"/>
  <c r="U6" i="1"/>
  <c r="AC6" i="1"/>
  <c r="AJ6" i="1"/>
  <c r="AL6" i="1"/>
  <c r="BE6" i="1"/>
  <c r="BG6" i="1"/>
  <c r="BI6" i="1"/>
  <c r="BK6" i="1"/>
  <c r="BM6" i="1"/>
  <c r="BO6" i="1"/>
  <c r="BQ6" i="1"/>
  <c r="BS6" i="1"/>
  <c r="BU6" i="1"/>
  <c r="BW6" i="1"/>
  <c r="BY6" i="1"/>
  <c r="CC6" i="1"/>
  <c r="CE6" i="1"/>
  <c r="CG6" i="1"/>
  <c r="CJ6" i="1"/>
  <c r="CL6" i="1"/>
  <c r="D6" i="1"/>
  <c r="F6" i="1"/>
  <c r="N6" i="1"/>
  <c r="T6" i="1"/>
  <c r="V6" i="1"/>
  <c r="AH6" i="1"/>
  <c r="AK6" i="1"/>
  <c r="AM6" i="1"/>
  <c r="AO6" i="1"/>
  <c r="BF6" i="1"/>
  <c r="BJ6" i="1"/>
  <c r="BL6" i="1"/>
  <c r="BN6" i="1"/>
  <c r="BR6" i="1"/>
  <c r="BV6" i="1"/>
  <c r="BZ6" i="1"/>
  <c r="CB6" i="1"/>
  <c r="CD6" i="1"/>
  <c r="CH6" i="1"/>
  <c r="CI6" i="1"/>
  <c r="CM6" i="1"/>
  <c r="H53" i="5"/>
  <c r="M53" i="5"/>
  <c r="N39" i="5"/>
  <c r="S39" i="5"/>
  <c r="M39" i="5"/>
  <c r="AP53" i="4"/>
  <c r="AK53" i="4"/>
  <c r="C6" i="4"/>
  <c r="G6" i="4"/>
  <c r="M6" i="4"/>
  <c r="Q6" i="4"/>
  <c r="U6" i="4"/>
  <c r="AC6" i="4"/>
  <c r="AE6" i="4"/>
  <c r="AG6" i="4"/>
  <c r="AL6" i="4"/>
  <c r="F6" i="4"/>
  <c r="L6" i="4"/>
  <c r="N6" i="4"/>
  <c r="V6" i="4"/>
  <c r="X6" i="4"/>
  <c r="AB6" i="4"/>
  <c r="AD6" i="4"/>
  <c r="AM6" i="4"/>
  <c r="AL6" i="6" l="1"/>
  <c r="AL53" i="6"/>
  <c r="K53" i="6"/>
  <c r="S39" i="6"/>
  <c r="Q39" i="6"/>
  <c r="S6" i="6"/>
  <c r="K39" i="6"/>
  <c r="BV6" i="7"/>
  <c r="AP24" i="7"/>
  <c r="BV39" i="7"/>
  <c r="F53" i="5"/>
  <c r="F24" i="5"/>
  <c r="J39" i="5"/>
  <c r="AI24" i="6"/>
  <c r="G6" i="6"/>
  <c r="AQ6" i="6"/>
  <c r="G39" i="6"/>
  <c r="AI53" i="6"/>
  <c r="Y6" i="10"/>
  <c r="L6" i="10"/>
  <c r="H39" i="1"/>
  <c r="W39" i="1"/>
  <c r="BP53" i="1"/>
  <c r="BP6" i="1"/>
  <c r="BP24" i="1"/>
  <c r="B39" i="1"/>
  <c r="H53" i="1"/>
  <c r="J39" i="1"/>
  <c r="B53" i="1"/>
  <c r="AD24" i="1"/>
  <c r="L6" i="1"/>
  <c r="L53" i="1"/>
  <c r="G53" i="1"/>
  <c r="G39" i="1"/>
  <c r="G24" i="1"/>
  <c r="BT53" i="1"/>
  <c r="BT39" i="1"/>
  <c r="AD39" i="1"/>
  <c r="AD53" i="1"/>
  <c r="AE6" i="1"/>
  <c r="I39" i="1"/>
  <c r="I53" i="6"/>
  <c r="AK24" i="4"/>
  <c r="J24" i="5"/>
  <c r="C53" i="5"/>
  <c r="H6" i="1"/>
  <c r="B24" i="1"/>
  <c r="N6" i="10"/>
  <c r="L24" i="6"/>
  <c r="F53" i="6"/>
  <c r="G53" i="6"/>
  <c r="AE39" i="1"/>
  <c r="AE24" i="6"/>
  <c r="AQ39" i="6"/>
  <c r="H6" i="5"/>
  <c r="AF4" i="5"/>
  <c r="AK39" i="4"/>
  <c r="C39" i="5"/>
  <c r="CF6" i="1"/>
  <c r="Y6" i="1"/>
  <c r="BB24" i="1"/>
  <c r="BA24" i="1"/>
  <c r="CF39" i="1"/>
  <c r="AA39" i="1"/>
  <c r="AN53" i="1"/>
  <c r="CF53" i="1"/>
  <c r="N24" i="7"/>
  <c r="F24" i="6"/>
  <c r="AI39" i="6"/>
  <c r="M39" i="6"/>
  <c r="E53" i="6"/>
  <c r="G6" i="5"/>
  <c r="AE4" i="5"/>
  <c r="Q53" i="10"/>
  <c r="AK6" i="4"/>
  <c r="C24" i="5"/>
  <c r="F39" i="5"/>
  <c r="J53" i="5"/>
  <c r="BH6" i="1"/>
  <c r="AN6" i="1"/>
  <c r="J24" i="1"/>
  <c r="V39" i="10"/>
  <c r="E6" i="6"/>
  <c r="AQ24" i="6"/>
  <c r="M24" i="6"/>
  <c r="S24" i="5"/>
  <c r="H39" i="5"/>
  <c r="N53" i="5"/>
  <c r="P6" i="1"/>
  <c r="AE24" i="1"/>
  <c r="CN53" i="1"/>
  <c r="K6" i="10"/>
  <c r="AV6" i="6"/>
  <c r="AV24" i="6"/>
  <c r="BB53" i="7"/>
  <c r="X24" i="7"/>
  <c r="S53" i="10"/>
  <c r="C39" i="1"/>
  <c r="AJ39" i="6"/>
  <c r="M24" i="5"/>
  <c r="D53" i="5"/>
  <c r="C24" i="1"/>
  <c r="BD39" i="1"/>
  <c r="AB39" i="1"/>
  <c r="Q39" i="1"/>
  <c r="BD53" i="1"/>
  <c r="AB53" i="1"/>
  <c r="AJ53" i="6"/>
  <c r="AF24" i="1"/>
  <c r="C6" i="1"/>
  <c r="BD24" i="1"/>
  <c r="AB24" i="1"/>
  <c r="Q24" i="1"/>
  <c r="BB39" i="1"/>
  <c r="Z39" i="1"/>
  <c r="BB53" i="1"/>
  <c r="Z53" i="1"/>
  <c r="S6" i="10"/>
  <c r="AE39" i="6"/>
  <c r="AE53" i="6"/>
  <c r="BX6" i="1"/>
  <c r="S39" i="10"/>
  <c r="AJ6" i="6"/>
  <c r="R39" i="5"/>
  <c r="AA24" i="1"/>
  <c r="I24" i="1"/>
  <c r="AH39" i="1"/>
  <c r="P39" i="1"/>
  <c r="BC39" i="1"/>
  <c r="Y39" i="1"/>
  <c r="AH53" i="1"/>
  <c r="P53" i="1"/>
  <c r="AA53" i="1"/>
  <c r="I53" i="1"/>
  <c r="L39" i="10"/>
  <c r="J53" i="10"/>
  <c r="AN39" i="6"/>
  <c r="CO6" i="1"/>
  <c r="AF6" i="1"/>
  <c r="I39" i="5"/>
  <c r="BC24" i="1"/>
  <c r="Y24" i="1"/>
  <c r="AF39" i="1"/>
  <c r="BC53" i="1"/>
  <c r="L53" i="10"/>
  <c r="AN53" i="6"/>
  <c r="Y6" i="7"/>
  <c r="H6" i="6"/>
  <c r="H24" i="6"/>
  <c r="I39" i="6"/>
  <c r="AN24" i="6"/>
  <c r="H53" i="6"/>
  <c r="M6" i="6"/>
  <c r="AU24" i="6"/>
  <c r="AU6" i="6"/>
  <c r="I24" i="6"/>
  <c r="S53" i="6"/>
  <c r="AV53" i="6"/>
  <c r="O53" i="6"/>
  <c r="O39" i="6"/>
  <c r="N6" i="7"/>
  <c r="AP6" i="7"/>
  <c r="AO24" i="7"/>
  <c r="AP39" i="7"/>
  <c r="R24" i="1"/>
  <c r="S24" i="1"/>
  <c r="R39" i="1"/>
  <c r="S39" i="1"/>
  <c r="BH53" i="1"/>
  <c r="R53" i="10"/>
  <c r="R39" i="6"/>
  <c r="R6" i="1"/>
  <c r="CK24" i="1"/>
  <c r="CK39" i="1"/>
  <c r="V6" i="10"/>
  <c r="CN6" i="1"/>
  <c r="J53" i="1"/>
  <c r="BA53" i="1"/>
  <c r="R6" i="10"/>
  <c r="R39" i="10"/>
  <c r="M6" i="7"/>
  <c r="N39" i="7"/>
  <c r="BV53" i="7"/>
  <c r="AS39" i="6"/>
  <c r="N53" i="6"/>
  <c r="CK6" i="1"/>
  <c r="N53" i="10"/>
  <c r="R6" i="7"/>
  <c r="AY53" i="7"/>
  <c r="CA24" i="1"/>
  <c r="CA39" i="1"/>
  <c r="AI53" i="1"/>
  <c r="S53" i="1"/>
  <c r="BX53" i="1"/>
  <c r="Q6" i="10"/>
  <c r="P24" i="7"/>
  <c r="P6" i="7"/>
  <c r="AO53" i="7"/>
  <c r="AS6" i="6"/>
  <c r="AR39" i="6"/>
  <c r="R6" i="5"/>
  <c r="M24" i="7"/>
  <c r="W6" i="7"/>
  <c r="AO6" i="4"/>
  <c r="AP6" i="4"/>
  <c r="AG6" i="1"/>
  <c r="BX24" i="1"/>
  <c r="BH24" i="1"/>
  <c r="CN24" i="1"/>
  <c r="AG24" i="1"/>
  <c r="N39" i="10"/>
  <c r="V53" i="10"/>
  <c r="AO39" i="7"/>
  <c r="P53" i="7"/>
  <c r="R6" i="6"/>
  <c r="N39" i="6"/>
  <c r="AP39" i="1"/>
  <c r="BU39" i="7"/>
  <c r="AI6" i="1"/>
  <c r="AI24" i="1"/>
  <c r="R53" i="7"/>
  <c r="Q39" i="10"/>
  <c r="BD24" i="7"/>
  <c r="R24" i="6"/>
  <c r="AU39" i="6"/>
  <c r="R53" i="6"/>
  <c r="T24" i="7"/>
  <c r="X53" i="7"/>
  <c r="J6" i="7"/>
  <c r="J24" i="7"/>
  <c r="J39" i="7"/>
  <c r="BT24" i="7"/>
  <c r="BT53" i="7"/>
  <c r="BP53" i="7"/>
  <c r="V6" i="7"/>
  <c r="AV6" i="7"/>
  <c r="BD6" i="7"/>
  <c r="BB39" i="7"/>
  <c r="BT39" i="7"/>
  <c r="AT53" i="7"/>
  <c r="BP39" i="7"/>
  <c r="BD39" i="7"/>
  <c r="M53" i="7"/>
  <c r="BT6" i="7"/>
  <c r="BP6" i="7"/>
  <c r="AQ24" i="7"/>
  <c r="T6" i="7"/>
  <c r="BU53" i="7"/>
  <c r="T39" i="7"/>
  <c r="AU53" i="7"/>
  <c r="BF6" i="7"/>
  <c r="AZ53" i="7"/>
  <c r="V24" i="7"/>
  <c r="R39" i="7"/>
  <c r="AS53" i="7"/>
  <c r="U53" i="7"/>
  <c r="AZ24" i="7"/>
  <c r="AZ6" i="7"/>
  <c r="BU6" i="7"/>
  <c r="BU24" i="7"/>
  <c r="AU24" i="7"/>
  <c r="X6" i="7"/>
  <c r="BC39" i="7"/>
  <c r="L39" i="7"/>
  <c r="V53" i="7"/>
  <c r="BF53" i="7"/>
  <c r="BS39" i="7"/>
  <c r="AT6" i="7"/>
  <c r="AS24" i="7"/>
  <c r="L24" i="7"/>
  <c r="AN24" i="7"/>
  <c r="AQ39" i="7"/>
  <c r="Q24" i="5"/>
  <c r="B53" i="5"/>
  <c r="B24" i="5"/>
  <c r="E39" i="5"/>
  <c r="L39" i="5"/>
  <c r="L24" i="5"/>
  <c r="E53" i="5"/>
  <c r="E24" i="5"/>
  <c r="B39" i="5"/>
  <c r="N24" i="5"/>
  <c r="O24" i="5"/>
  <c r="O53" i="5"/>
  <c r="S53" i="5"/>
  <c r="R53" i="5"/>
  <c r="D39" i="5"/>
  <c r="D24" i="5"/>
  <c r="G39" i="5"/>
  <c r="K24" i="5"/>
  <c r="K53" i="5"/>
  <c r="G24" i="5"/>
  <c r="G53" i="5"/>
  <c r="K39" i="5"/>
  <c r="L53" i="5"/>
  <c r="P24" i="5"/>
  <c r="P39" i="5"/>
  <c r="P53" i="5"/>
  <c r="BS24" i="7"/>
  <c r="BS53" i="7"/>
  <c r="BS6" i="7"/>
  <c r="AS53" i="6"/>
  <c r="P6" i="6"/>
  <c r="P39" i="6"/>
  <c r="P24" i="6"/>
  <c r="U39" i="7"/>
  <c r="U24" i="7"/>
  <c r="U6" i="7"/>
  <c r="S39" i="7"/>
  <c r="S53" i="7"/>
  <c r="BQ6" i="7"/>
  <c r="S6" i="7"/>
  <c r="BQ24" i="7"/>
  <c r="W24" i="7"/>
  <c r="AU6" i="7"/>
  <c r="AY39" i="7"/>
  <c r="BF39" i="7"/>
  <c r="O39" i="7"/>
  <c r="O53" i="7"/>
  <c r="BC6" i="7"/>
  <c r="O6" i="7"/>
  <c r="BC24" i="7"/>
  <c r="AS6" i="7"/>
  <c r="AQ53" i="7"/>
  <c r="L53" i="7"/>
  <c r="AY6" i="7"/>
  <c r="AV53" i="7"/>
  <c r="BQ53" i="7"/>
  <c r="W39" i="7"/>
  <c r="W53" i="7"/>
  <c r="U39" i="10"/>
  <c r="U53" i="10"/>
  <c r="BE53" i="7"/>
  <c r="Y39" i="7"/>
  <c r="I53" i="5"/>
  <c r="AO39" i="6"/>
  <c r="AM53" i="6"/>
  <c r="O6" i="10"/>
  <c r="W39" i="10"/>
  <c r="W6" i="10"/>
  <c r="K6" i="7"/>
  <c r="BE24" i="7"/>
  <c r="AV24" i="7"/>
  <c r="Q24" i="7"/>
  <c r="AT39" i="7"/>
  <c r="BA53" i="7"/>
  <c r="BR53" i="7"/>
  <c r="AR53" i="7"/>
  <c r="AR6" i="6"/>
  <c r="N24" i="6"/>
  <c r="AO6" i="6"/>
  <c r="AM39" i="6"/>
  <c r="J39" i="6"/>
  <c r="AW24" i="6"/>
  <c r="BW53" i="7"/>
  <c r="T24" i="10"/>
  <c r="T53" i="10"/>
  <c r="AR6" i="7"/>
  <c r="BE39" i="7"/>
  <c r="J53" i="6"/>
  <c r="CO53" i="1"/>
  <c r="AP3" i="11"/>
  <c r="Q39" i="5"/>
  <c r="T6" i="10"/>
  <c r="M6" i="10"/>
  <c r="U6" i="10"/>
  <c r="AN6" i="7"/>
  <c r="BA39" i="7"/>
  <c r="BR39" i="7"/>
  <c r="AR39" i="7"/>
  <c r="K53" i="7"/>
  <c r="AO24" i="6"/>
  <c r="AM6" i="6"/>
  <c r="Y24" i="10"/>
  <c r="Q53" i="7"/>
  <c r="AR24" i="6"/>
  <c r="W53" i="10"/>
  <c r="Q39" i="7"/>
  <c r="T39" i="6"/>
  <c r="M53" i="10"/>
  <c r="BA24" i="7"/>
  <c r="BR24" i="7"/>
  <c r="K39" i="7"/>
  <c r="AN53" i="7"/>
  <c r="J24" i="6"/>
  <c r="AQ24" i="4"/>
  <c r="O6" i="5"/>
  <c r="AP24" i="4"/>
  <c r="I24" i="5"/>
  <c r="Q53" i="5"/>
  <c r="T39" i="10"/>
  <c r="M39" i="10"/>
  <c r="O53" i="10"/>
  <c r="BR6" i="7"/>
  <c r="T6" i="5"/>
  <c r="BW6" i="7"/>
  <c r="AO3" i="11"/>
  <c r="AW6" i="6"/>
  <c r="AW39" i="6"/>
  <c r="AW53" i="6"/>
  <c r="T6" i="6"/>
  <c r="T24" i="6"/>
  <c r="T53" i="6"/>
  <c r="Y24" i="7"/>
  <c r="Y53" i="7"/>
  <c r="BW24" i="7"/>
  <c r="BW39" i="7"/>
  <c r="Y39" i="10"/>
  <c r="CO24" i="1"/>
  <c r="CO39" i="1"/>
  <c r="AP24" i="1"/>
  <c r="AP53" i="1"/>
  <c r="T24" i="5"/>
  <c r="T39" i="5"/>
  <c r="T53" i="5"/>
  <c r="AQ6" i="4"/>
  <c r="AQ39" i="4"/>
  <c r="AQ53" i="4"/>
  <c r="B53" i="6"/>
  <c r="B39" i="6"/>
  <c r="B24" i="6"/>
  <c r="G53" i="7"/>
  <c r="AK53" i="7"/>
  <c r="G39" i="7"/>
  <c r="AK39" i="7"/>
  <c r="G24" i="7"/>
  <c r="AK24" i="7"/>
  <c r="G39" i="10"/>
  <c r="G53" i="10"/>
  <c r="G24" i="10"/>
  <c r="BM22" i="7" l="1"/>
  <c r="BM21" i="7"/>
  <c r="BM20" i="7"/>
  <c r="BM19" i="7"/>
  <c r="BM18" i="7"/>
  <c r="BM17" i="7"/>
  <c r="BM16" i="7"/>
  <c r="BM13" i="7"/>
  <c r="BM11" i="7"/>
  <c r="BM10" i="7"/>
  <c r="BM7" i="7"/>
  <c r="BM25" i="7"/>
  <c r="BM26" i="7"/>
  <c r="BM27" i="7"/>
  <c r="BM28" i="7"/>
  <c r="BM54" i="7"/>
  <c r="BM29" i="7"/>
  <c r="BM30" i="7"/>
  <c r="BM40" i="7"/>
  <c r="BM41" i="7"/>
  <c r="BM42" i="7"/>
  <c r="BM43" i="7"/>
  <c r="BM55" i="7"/>
  <c r="BM56" i="7"/>
  <c r="BM44" i="7"/>
  <c r="BM45" i="7"/>
  <c r="BM46" i="7"/>
  <c r="BM31" i="7"/>
  <c r="BM47" i="7"/>
  <c r="BM32" i="7"/>
  <c r="BM57" i="7"/>
  <c r="BM58" i="7"/>
  <c r="BM33" i="7"/>
  <c r="BM59" i="7"/>
  <c r="BM48" i="7"/>
  <c r="BM49" i="7"/>
  <c r="BM34" i="7"/>
  <c r="BM60" i="7"/>
  <c r="BM61" i="7"/>
  <c r="BM50" i="7"/>
  <c r="BM35" i="7"/>
  <c r="BM62" i="7"/>
  <c r="BM36" i="7"/>
  <c r="BM51" i="7"/>
  <c r="BM37" i="7"/>
  <c r="BM63" i="7"/>
  <c r="AG5" i="5"/>
  <c r="AH5" i="5"/>
  <c r="AI5" i="5"/>
  <c r="AJ5" i="5"/>
  <c r="AK5" i="5"/>
  <c r="AL5" i="5"/>
  <c r="AM5" i="5"/>
  <c r="BN7" i="7"/>
  <c r="BN10" i="7"/>
  <c r="BN11" i="7"/>
  <c r="BN13" i="7"/>
  <c r="BN16" i="7"/>
  <c r="BN17" i="7"/>
  <c r="BN18" i="7"/>
  <c r="BN19" i="7"/>
  <c r="BN20" i="7"/>
  <c r="BN21" i="7"/>
  <c r="BN22" i="7"/>
  <c r="BO7" i="7"/>
  <c r="BO10" i="7"/>
  <c r="BO11" i="7"/>
  <c r="BO13" i="7"/>
  <c r="BO16" i="7"/>
  <c r="BO17" i="7"/>
  <c r="BO18" i="7"/>
  <c r="BO19" i="7"/>
  <c r="BO20" i="7"/>
  <c r="BO21" i="7"/>
  <c r="BO22" i="7"/>
  <c r="BK22" i="7"/>
  <c r="BK21" i="7"/>
  <c r="BK20" i="7"/>
  <c r="BK19" i="7"/>
  <c r="BK18" i="7"/>
  <c r="BK17" i="7"/>
  <c r="BK16" i="7"/>
  <c r="BK13" i="7"/>
  <c r="BK11" i="7"/>
  <c r="BK10" i="7"/>
  <c r="BK7" i="7"/>
  <c r="BO25" i="7"/>
  <c r="BO26" i="7"/>
  <c r="BO27" i="7"/>
  <c r="BO28" i="7"/>
  <c r="BO54" i="7"/>
  <c r="BO29" i="7"/>
  <c r="BO30" i="7"/>
  <c r="BO40" i="7"/>
  <c r="BO41" i="7"/>
  <c r="BO42" i="7"/>
  <c r="BO43" i="7"/>
  <c r="BO55" i="7"/>
  <c r="BO56" i="7"/>
  <c r="BO44" i="7"/>
  <c r="BO45" i="7"/>
  <c r="BO46" i="7"/>
  <c r="BO31" i="7"/>
  <c r="BO47" i="7"/>
  <c r="BO32" i="7"/>
  <c r="BO57" i="7"/>
  <c r="BO58" i="7"/>
  <c r="BO33" i="7"/>
  <c r="BO59" i="7"/>
  <c r="BO48" i="7"/>
  <c r="BO49" i="7"/>
  <c r="BO34" i="7"/>
  <c r="BO60" i="7"/>
  <c r="BO61" i="7"/>
  <c r="BO50" i="7"/>
  <c r="BO35" i="7"/>
  <c r="BO62" i="7"/>
  <c r="BO36" i="7"/>
  <c r="BO51" i="7"/>
  <c r="BO37" i="7"/>
  <c r="BO63" i="7"/>
  <c r="BK63" i="7"/>
  <c r="BK25" i="7"/>
  <c r="BK26" i="7"/>
  <c r="BK27" i="7"/>
  <c r="BK28" i="7"/>
  <c r="BK54" i="7"/>
  <c r="BK29" i="7"/>
  <c r="BK30" i="7"/>
  <c r="BK40" i="7"/>
  <c r="BK41" i="7"/>
  <c r="BK42" i="7"/>
  <c r="BK43" i="7"/>
  <c r="BK55" i="7"/>
  <c r="BK56" i="7"/>
  <c r="BK44" i="7"/>
  <c r="BK45" i="7"/>
  <c r="BK46" i="7"/>
  <c r="BK31" i="7"/>
  <c r="BK47" i="7"/>
  <c r="BK32" i="7"/>
  <c r="BK57" i="7"/>
  <c r="BK58" i="7"/>
  <c r="BK33" i="7"/>
  <c r="BK59" i="7"/>
  <c r="BK48" i="7"/>
  <c r="BK49" i="7"/>
  <c r="BK34" i="7"/>
  <c r="BK60" i="7"/>
  <c r="BK61" i="7"/>
  <c r="BK50" i="7"/>
  <c r="BK35" i="7"/>
  <c r="BK62" i="7"/>
  <c r="BK36" i="7"/>
  <c r="BK51" i="7"/>
  <c r="BK37" i="7"/>
  <c r="BN25" i="7"/>
  <c r="BN26" i="7"/>
  <c r="BN27" i="7"/>
  <c r="BN28" i="7"/>
  <c r="BN54" i="7"/>
  <c r="BN29" i="7"/>
  <c r="BN30" i="7"/>
  <c r="BN40" i="7"/>
  <c r="BN41" i="7"/>
  <c r="BN42" i="7"/>
  <c r="BN43" i="7"/>
  <c r="BN55" i="7"/>
  <c r="BN56" i="7"/>
  <c r="BN44" i="7"/>
  <c r="BN45" i="7"/>
  <c r="BN46" i="7"/>
  <c r="BN31" i="7"/>
  <c r="BN47" i="7"/>
  <c r="BN32" i="7"/>
  <c r="BN57" i="7"/>
  <c r="BN58" i="7"/>
  <c r="BN33" i="7"/>
  <c r="BN59" i="7"/>
  <c r="BN48" i="7"/>
  <c r="BN49" i="7"/>
  <c r="BN34" i="7"/>
  <c r="BN60" i="7"/>
  <c r="BN61" i="7"/>
  <c r="BN50" i="7"/>
  <c r="BN35" i="7"/>
  <c r="BN62" i="7"/>
  <c r="BN36" i="7"/>
  <c r="BN51" i="7"/>
  <c r="BN37" i="7"/>
  <c r="BN63" i="7"/>
  <c r="BL7" i="7"/>
  <c r="BL10" i="7"/>
  <c r="BL11" i="7"/>
  <c r="BL13" i="7"/>
  <c r="BL16" i="7"/>
  <c r="BL17" i="7"/>
  <c r="BL18" i="7"/>
  <c r="BL19" i="7"/>
  <c r="BL20" i="7"/>
  <c r="BL21" i="7"/>
  <c r="BL22" i="7"/>
  <c r="BL25" i="7"/>
  <c r="BL26" i="7"/>
  <c r="BL27" i="7"/>
  <c r="BL28" i="7"/>
  <c r="BL54" i="7"/>
  <c r="BL29" i="7"/>
  <c r="BL30" i="7"/>
  <c r="BL40" i="7"/>
  <c r="BL41" i="7"/>
  <c r="BL42" i="7"/>
  <c r="BL43" i="7"/>
  <c r="BL55" i="7"/>
  <c r="BL56" i="7"/>
  <c r="BL44" i="7"/>
  <c r="BL45" i="7"/>
  <c r="BL46" i="7"/>
  <c r="BL31" i="7"/>
  <c r="BL47" i="7"/>
  <c r="BL32" i="7"/>
  <c r="BL57" i="7"/>
  <c r="BL58" i="7"/>
  <c r="BL33" i="7"/>
  <c r="BL59" i="7"/>
  <c r="BL48" i="7"/>
  <c r="BL49" i="7"/>
  <c r="BL34" i="7"/>
  <c r="BL60" i="7"/>
  <c r="BL61" i="7"/>
  <c r="BL50" i="7"/>
  <c r="BL35" i="7"/>
  <c r="BL62" i="7"/>
  <c r="BL36" i="7"/>
  <c r="BL51" i="7"/>
  <c r="BL37" i="7"/>
  <c r="BL63" i="7"/>
  <c r="BJ7" i="7"/>
  <c r="BJ10" i="7"/>
  <c r="BJ11" i="7"/>
  <c r="BJ13" i="7"/>
  <c r="BJ16" i="7"/>
  <c r="BJ17" i="7"/>
  <c r="BJ18" i="7"/>
  <c r="BJ19" i="7"/>
  <c r="BJ20" i="7"/>
  <c r="BJ21" i="7"/>
  <c r="BJ22" i="7"/>
  <c r="BJ25" i="7"/>
  <c r="BJ26" i="7"/>
  <c r="BJ27" i="7"/>
  <c r="BJ28" i="7"/>
  <c r="BJ54" i="7"/>
  <c r="BJ29" i="7"/>
  <c r="BJ30" i="7"/>
  <c r="BJ40" i="7"/>
  <c r="BJ41" i="7"/>
  <c r="BJ42" i="7"/>
  <c r="BJ43" i="7"/>
  <c r="BJ55" i="7"/>
  <c r="BJ56" i="7"/>
  <c r="BJ44" i="7"/>
  <c r="BJ45" i="7"/>
  <c r="BJ46" i="7"/>
  <c r="BJ31" i="7"/>
  <c r="BJ47" i="7"/>
  <c r="BJ32" i="7"/>
  <c r="BJ57" i="7"/>
  <c r="BJ58" i="7"/>
  <c r="BJ33" i="7"/>
  <c r="BJ59" i="7"/>
  <c r="BJ48" i="7"/>
  <c r="BJ49" i="7"/>
  <c r="BJ34" i="7"/>
  <c r="BJ60" i="7"/>
  <c r="BJ61" i="7"/>
  <c r="BJ50" i="7"/>
  <c r="BJ35" i="7"/>
  <c r="BJ62" i="7"/>
  <c r="BJ36" i="7"/>
  <c r="BJ51" i="7"/>
  <c r="BJ37" i="7"/>
  <c r="BJ63" i="7"/>
  <c r="BI7" i="7"/>
  <c r="BI10" i="7"/>
  <c r="BI11" i="7"/>
  <c r="BI13" i="7"/>
  <c r="BI16" i="7"/>
  <c r="BI17" i="7"/>
  <c r="BI18" i="7"/>
  <c r="BI19" i="7"/>
  <c r="BI20" i="7"/>
  <c r="BI21" i="7"/>
  <c r="BI22" i="7"/>
  <c r="BI25" i="7"/>
  <c r="BI26" i="7"/>
  <c r="BI27" i="7"/>
  <c r="BI28" i="7"/>
  <c r="BI54" i="7"/>
  <c r="BI29" i="7"/>
  <c r="BI30" i="7"/>
  <c r="BI40" i="7"/>
  <c r="BI41" i="7"/>
  <c r="BI42" i="7"/>
  <c r="BI43" i="7"/>
  <c r="BI55" i="7"/>
  <c r="BI56" i="7"/>
  <c r="BI44" i="7"/>
  <c r="BI45" i="7"/>
  <c r="BI46" i="7"/>
  <c r="BI31" i="7"/>
  <c r="BI47" i="7"/>
  <c r="BI32" i="7"/>
  <c r="BI57" i="7"/>
  <c r="BI58" i="7"/>
  <c r="BI33" i="7"/>
  <c r="BI59" i="7"/>
  <c r="BI48" i="7"/>
  <c r="BI49" i="7"/>
  <c r="BI34" i="7"/>
  <c r="BI60" i="7"/>
  <c r="BI61" i="7"/>
  <c r="BI50" i="7"/>
  <c r="BI35" i="7"/>
  <c r="BI62" i="7"/>
  <c r="BI36" i="7"/>
  <c r="BI51" i="7"/>
  <c r="BI37" i="7"/>
  <c r="BI63" i="7"/>
  <c r="BH7" i="7"/>
  <c r="BH10" i="7"/>
  <c r="BH11" i="7"/>
  <c r="BH13" i="7"/>
  <c r="BH16" i="7"/>
  <c r="BH17" i="7"/>
  <c r="BH18" i="7"/>
  <c r="BH19" i="7"/>
  <c r="BH20" i="7"/>
  <c r="BH21" i="7"/>
  <c r="BH22" i="7"/>
  <c r="BH25" i="7"/>
  <c r="BH26" i="7"/>
  <c r="BH27" i="7"/>
  <c r="BH28" i="7"/>
  <c r="BH54" i="7"/>
  <c r="BH29" i="7"/>
  <c r="BH30" i="7"/>
  <c r="BH40" i="7"/>
  <c r="BH41" i="7"/>
  <c r="BH42" i="7"/>
  <c r="BH43" i="7"/>
  <c r="BH55" i="7"/>
  <c r="BH56" i="7"/>
  <c r="BH44" i="7"/>
  <c r="BH45" i="7"/>
  <c r="BH46" i="7"/>
  <c r="BH31" i="7"/>
  <c r="BH47" i="7"/>
  <c r="BH32" i="7"/>
  <c r="BH57" i="7"/>
  <c r="BH58" i="7"/>
  <c r="BH33" i="7"/>
  <c r="BH59" i="7"/>
  <c r="BH48" i="7"/>
  <c r="BH49" i="7"/>
  <c r="BH34" i="7"/>
  <c r="BH60" i="7"/>
  <c r="BH61" i="7"/>
  <c r="BH50" i="7"/>
  <c r="BH35" i="7"/>
  <c r="BH62" i="7"/>
  <c r="BH36" i="7"/>
  <c r="BH51" i="7"/>
  <c r="BH37" i="7"/>
  <c r="BH63" i="7"/>
  <c r="BG7" i="7"/>
  <c r="BG10" i="7"/>
  <c r="BG11" i="7"/>
  <c r="BG13" i="7"/>
  <c r="BG16" i="7"/>
  <c r="BG17" i="7"/>
  <c r="BG18" i="7"/>
  <c r="BG19" i="7"/>
  <c r="BG20" i="7"/>
  <c r="BG21" i="7"/>
  <c r="BG22" i="7"/>
  <c r="BG25" i="7"/>
  <c r="BG26" i="7"/>
  <c r="BG27" i="7"/>
  <c r="BG28" i="7"/>
  <c r="BG54" i="7"/>
  <c r="BG29" i="7"/>
  <c r="BG30" i="7"/>
  <c r="BG40" i="7"/>
  <c r="BG41" i="7"/>
  <c r="BG42" i="7"/>
  <c r="BG43" i="7"/>
  <c r="BG55" i="7"/>
  <c r="BG56" i="7"/>
  <c r="BG44" i="7"/>
  <c r="BG45" i="7"/>
  <c r="BG46" i="7"/>
  <c r="BG31" i="7"/>
  <c r="BG47" i="7"/>
  <c r="BG32" i="7"/>
  <c r="BG57" i="7"/>
  <c r="BG58" i="7"/>
  <c r="BG33" i="7"/>
  <c r="BG59" i="7"/>
  <c r="BG48" i="7"/>
  <c r="BG49" i="7"/>
  <c r="BG34" i="7"/>
  <c r="BG60" i="7"/>
  <c r="BG61" i="7"/>
  <c r="BG50" i="7"/>
  <c r="BG35" i="7"/>
  <c r="BG62" i="7"/>
  <c r="BG36" i="7"/>
  <c r="BG51" i="7"/>
  <c r="BG37" i="7"/>
  <c r="BG63" i="7"/>
  <c r="F4" i="10"/>
  <c r="H4" i="10"/>
  <c r="I4" i="10"/>
  <c r="F7" i="10"/>
  <c r="F8" i="10"/>
  <c r="F10" i="10"/>
  <c r="F11" i="10"/>
  <c r="F12" i="10"/>
  <c r="F13" i="10"/>
  <c r="F14" i="10"/>
  <c r="F15" i="10"/>
  <c r="F16" i="10"/>
  <c r="F17" i="10"/>
  <c r="F18" i="10"/>
  <c r="F19" i="10"/>
  <c r="F20" i="10"/>
  <c r="F21" i="10"/>
  <c r="H7" i="10"/>
  <c r="H8" i="10"/>
  <c r="H10" i="10"/>
  <c r="H11" i="10"/>
  <c r="H12" i="10"/>
  <c r="H13" i="10"/>
  <c r="H14" i="10"/>
  <c r="H15" i="10"/>
  <c r="H16" i="10"/>
  <c r="H17" i="10"/>
  <c r="H18" i="10"/>
  <c r="H19" i="10"/>
  <c r="H20" i="10"/>
  <c r="H21" i="10"/>
  <c r="H22" i="10"/>
  <c r="I7" i="10"/>
  <c r="I8" i="10"/>
  <c r="I10" i="10"/>
  <c r="I11" i="10"/>
  <c r="I12" i="10"/>
  <c r="I13" i="10"/>
  <c r="I14" i="10"/>
  <c r="I15" i="10"/>
  <c r="I16" i="10"/>
  <c r="I17" i="10"/>
  <c r="I18" i="10"/>
  <c r="I19" i="10"/>
  <c r="I20" i="10"/>
  <c r="I21" i="10"/>
  <c r="I22" i="10"/>
  <c r="B5" i="4"/>
  <c r="B6" i="4" s="1"/>
  <c r="F4" i="7"/>
  <c r="H4" i="7"/>
  <c r="I4" i="7"/>
  <c r="AL4" i="7"/>
  <c r="AM4" i="7"/>
  <c r="AW4" i="7"/>
  <c r="F7" i="7"/>
  <c r="F10" i="7"/>
  <c r="F11" i="7"/>
  <c r="F13" i="7"/>
  <c r="F16" i="7"/>
  <c r="F19" i="7"/>
  <c r="F20" i="7"/>
  <c r="F21" i="7"/>
  <c r="H7" i="7"/>
  <c r="H8" i="7"/>
  <c r="H10" i="7"/>
  <c r="H11" i="7"/>
  <c r="H12" i="7"/>
  <c r="H13" i="7"/>
  <c r="H14" i="7"/>
  <c r="H15" i="7"/>
  <c r="H16" i="7"/>
  <c r="H17" i="7"/>
  <c r="H18" i="7"/>
  <c r="H19" i="7"/>
  <c r="H20" i="7"/>
  <c r="H21" i="7"/>
  <c r="H22" i="7"/>
  <c r="I7" i="7"/>
  <c r="I8" i="7"/>
  <c r="I10" i="7"/>
  <c r="I11" i="7"/>
  <c r="I12" i="7"/>
  <c r="I13" i="7"/>
  <c r="I14" i="7"/>
  <c r="I15" i="7"/>
  <c r="I16" i="7"/>
  <c r="I17" i="7"/>
  <c r="I18" i="7"/>
  <c r="I19" i="7"/>
  <c r="I20" i="7"/>
  <c r="I21" i="7"/>
  <c r="I22" i="7"/>
  <c r="AL7" i="7"/>
  <c r="AL10" i="7"/>
  <c r="AL11" i="7"/>
  <c r="AL13" i="7"/>
  <c r="AL16" i="7"/>
  <c r="AL19" i="7"/>
  <c r="AL21" i="7"/>
  <c r="AM7" i="7"/>
  <c r="AM10" i="7"/>
  <c r="AM11" i="7"/>
  <c r="AM13" i="7"/>
  <c r="AM16" i="7"/>
  <c r="AM19" i="7"/>
  <c r="AM20" i="7"/>
  <c r="AM21" i="7"/>
  <c r="AW7" i="7"/>
  <c r="AW10" i="7"/>
  <c r="AW11" i="7"/>
  <c r="AW13" i="7"/>
  <c r="AW16" i="7"/>
  <c r="AW19" i="7"/>
  <c r="AW21" i="7"/>
  <c r="AX7" i="7"/>
  <c r="AX10" i="7"/>
  <c r="AX11" i="7"/>
  <c r="AX13" i="7"/>
  <c r="AX16" i="7"/>
  <c r="AX19" i="7"/>
  <c r="AX20" i="7"/>
  <c r="AX21" i="7"/>
  <c r="C4" i="6"/>
  <c r="D4" i="6"/>
  <c r="AF4" i="6"/>
  <c r="AG4" i="6"/>
  <c r="C7" i="6"/>
  <c r="C8" i="6"/>
  <c r="C10" i="6"/>
  <c r="C11" i="6"/>
  <c r="C12" i="6"/>
  <c r="C13" i="6"/>
  <c r="C14" i="6"/>
  <c r="C15" i="6"/>
  <c r="C16" i="6"/>
  <c r="C17" i="6"/>
  <c r="C18" i="6"/>
  <c r="C19" i="6"/>
  <c r="C20" i="6"/>
  <c r="C21" i="6"/>
  <c r="C22" i="6"/>
  <c r="D7" i="6"/>
  <c r="D8" i="6"/>
  <c r="D10" i="6"/>
  <c r="D11" i="6"/>
  <c r="D12" i="6"/>
  <c r="D13" i="6"/>
  <c r="D14" i="6"/>
  <c r="D15" i="6"/>
  <c r="D16" i="6"/>
  <c r="D17" i="6"/>
  <c r="D18" i="6"/>
  <c r="D19" i="6"/>
  <c r="D20" i="6"/>
  <c r="D21" i="6"/>
  <c r="AF7" i="6"/>
  <c r="AF10" i="6"/>
  <c r="AF11" i="6"/>
  <c r="AF12" i="6"/>
  <c r="AF13" i="6"/>
  <c r="AF14" i="6"/>
  <c r="AF15" i="6"/>
  <c r="AF16" i="6"/>
  <c r="AF17" i="6"/>
  <c r="AF18" i="6"/>
  <c r="AF19" i="6"/>
  <c r="AF20" i="6"/>
  <c r="AF21" i="6"/>
  <c r="AF22" i="6"/>
  <c r="AG10" i="6"/>
  <c r="AG11" i="6"/>
  <c r="AG12" i="6"/>
  <c r="AG13" i="6"/>
  <c r="AG14" i="6"/>
  <c r="AG15" i="6"/>
  <c r="AG16" i="6"/>
  <c r="AG17" i="6"/>
  <c r="AG18" i="6"/>
  <c r="AG19" i="6"/>
  <c r="AG20" i="6"/>
  <c r="AG21" i="6"/>
  <c r="AG22" i="6"/>
  <c r="I5" i="10" l="1"/>
  <c r="I6" i="10" s="1"/>
  <c r="D5" i="6"/>
  <c r="D6" i="6" s="1"/>
  <c r="AG24" i="6"/>
  <c r="AG39" i="6"/>
  <c r="AG53" i="6"/>
  <c r="D24" i="6"/>
  <c r="D39" i="6"/>
  <c r="D53" i="6"/>
  <c r="AF24" i="6"/>
  <c r="AF39" i="6"/>
  <c r="AF53" i="6"/>
  <c r="C24" i="6"/>
  <c r="C39" i="6"/>
  <c r="C53" i="6"/>
  <c r="AG5" i="6"/>
  <c r="AG6" i="6" s="1"/>
  <c r="AF5" i="6"/>
  <c r="AF6" i="6" s="1"/>
  <c r="C5" i="6"/>
  <c r="C6" i="6" s="1"/>
  <c r="AW24" i="7"/>
  <c r="AW39" i="7"/>
  <c r="AW53" i="7"/>
  <c r="AL39" i="7"/>
  <c r="AL53" i="7"/>
  <c r="AL24" i="7"/>
  <c r="H24" i="7"/>
  <c r="H39" i="7"/>
  <c r="H53" i="7"/>
  <c r="AW5" i="7"/>
  <c r="AW6" i="7" s="1"/>
  <c r="AM5" i="7"/>
  <c r="AM6" i="7" s="1"/>
  <c r="I5" i="7"/>
  <c r="I6" i="7" s="1"/>
  <c r="AM53" i="7"/>
  <c r="AM24" i="7"/>
  <c r="AM39" i="7"/>
  <c r="I24" i="7"/>
  <c r="I39" i="7"/>
  <c r="I53" i="7"/>
  <c r="F53" i="7"/>
  <c r="F24" i="7"/>
  <c r="F39" i="7"/>
  <c r="AX5" i="7"/>
  <c r="AX6" i="7" s="1"/>
  <c r="AL5" i="7"/>
  <c r="AL6" i="7" s="1"/>
  <c r="H5" i="7"/>
  <c r="H6" i="7" s="1"/>
  <c r="F5" i="7"/>
  <c r="F6" i="7" s="1"/>
  <c r="BG52" i="7"/>
  <c r="BG23" i="7"/>
  <c r="BG5" i="7"/>
  <c r="BH38" i="7"/>
  <c r="BI52" i="7"/>
  <c r="BI23" i="7"/>
  <c r="BI5" i="7"/>
  <c r="BJ38" i="7"/>
  <c r="BL52" i="7"/>
  <c r="BL23" i="7"/>
  <c r="BL5" i="7"/>
  <c r="BN38" i="7"/>
  <c r="BK38" i="7"/>
  <c r="BO38" i="7"/>
  <c r="BK5" i="7"/>
  <c r="BO5" i="7"/>
  <c r="BN5" i="7"/>
  <c r="BM38" i="7"/>
  <c r="BM5" i="7"/>
  <c r="BG38" i="7"/>
  <c r="BH52" i="7"/>
  <c r="BH23" i="7"/>
  <c r="BH5" i="7"/>
  <c r="BI38" i="7"/>
  <c r="BJ52" i="7"/>
  <c r="BJ23" i="7"/>
  <c r="BJ5" i="7"/>
  <c r="BL38" i="7"/>
  <c r="BN52" i="7"/>
  <c r="BN23" i="7"/>
  <c r="BK52" i="7"/>
  <c r="BK23" i="7"/>
  <c r="BO52" i="7"/>
  <c r="BO23" i="7"/>
  <c r="BM52" i="7"/>
  <c r="BM23" i="7"/>
  <c r="H53" i="10"/>
  <c r="H39" i="10"/>
  <c r="H24" i="10"/>
  <c r="H5" i="10"/>
  <c r="H6" i="10" s="1"/>
  <c r="F5" i="10"/>
  <c r="F6" i="10" s="1"/>
  <c r="I53" i="10"/>
  <c r="I39" i="10"/>
  <c r="I24" i="10"/>
  <c r="F53" i="10"/>
  <c r="F24" i="10"/>
  <c r="F39" i="10"/>
  <c r="AN5" i="5"/>
  <c r="AO5" i="5"/>
  <c r="B3" i="11"/>
  <c r="D3" i="11"/>
  <c r="F3" i="11"/>
  <c r="H3" i="11"/>
  <c r="J3" i="11"/>
  <c r="L3" i="11"/>
  <c r="N3" i="11"/>
  <c r="P3" i="11"/>
  <c r="R3" i="11"/>
  <c r="T3" i="11"/>
  <c r="V3" i="11"/>
  <c r="X3" i="11"/>
  <c r="Z3" i="11"/>
  <c r="AB3" i="11"/>
  <c r="AD3" i="11"/>
  <c r="AH4" i="5"/>
  <c r="AF3" i="11"/>
  <c r="AJ4" i="5"/>
  <c r="AH3" i="11"/>
  <c r="AL4" i="5"/>
  <c r="AM4" i="5"/>
  <c r="AK3" i="11"/>
  <c r="AO4" i="5"/>
  <c r="AM3" i="11"/>
  <c r="C3" i="11"/>
  <c r="E3" i="11"/>
  <c r="G3" i="11"/>
  <c r="I3" i="11"/>
  <c r="K3" i="11"/>
  <c r="M3" i="11"/>
  <c r="O3" i="11"/>
  <c r="Q3" i="11"/>
  <c r="S3" i="11"/>
  <c r="U3" i="11"/>
  <c r="W3" i="11"/>
  <c r="Y3" i="11"/>
  <c r="AA3" i="11"/>
  <c r="AC3" i="11"/>
  <c r="AG4" i="5"/>
  <c r="AI4" i="5"/>
  <c r="AE3" i="11"/>
  <c r="AG3" i="11"/>
  <c r="AI3" i="11"/>
  <c r="AK4" i="5"/>
  <c r="AN4" i="5"/>
  <c r="AL3" i="11"/>
  <c r="AN3" i="11"/>
  <c r="W39" i="4"/>
  <c r="C53" i="4"/>
  <c r="AJ53" i="4"/>
  <c r="AL53" i="4"/>
  <c r="AC53" i="4"/>
  <c r="AE53" i="4"/>
  <c r="AG53" i="4"/>
  <c r="E53" i="4"/>
  <c r="G53" i="4"/>
  <c r="I53" i="4"/>
  <c r="AC24" i="4"/>
  <c r="AC39" i="4"/>
  <c r="AO39" i="4"/>
  <c r="AO24" i="4"/>
  <c r="AO53" i="4"/>
  <c r="AN53" i="4"/>
  <c r="AI53" i="4"/>
  <c r="AM53" i="4"/>
  <c r="AD53" i="4"/>
  <c r="AF53" i="4"/>
  <c r="AH53" i="4"/>
  <c r="D53" i="4"/>
  <c r="F53" i="4"/>
  <c r="H53" i="4"/>
  <c r="J53" i="4"/>
  <c r="L53" i="4"/>
  <c r="N53" i="4"/>
  <c r="P53" i="4"/>
  <c r="R53" i="4"/>
  <c r="T53" i="4"/>
  <c r="V53" i="4"/>
  <c r="X53" i="4"/>
  <c r="Z53" i="4"/>
  <c r="AB53" i="4"/>
  <c r="AG24" i="4"/>
  <c r="AG39" i="4"/>
  <c r="D24" i="4"/>
  <c r="D39" i="4"/>
  <c r="X24" i="4"/>
  <c r="X39" i="4"/>
  <c r="Z39" i="4"/>
  <c r="AA39" i="4"/>
  <c r="Z24" i="4"/>
  <c r="F24" i="4"/>
  <c r="F39" i="4"/>
  <c r="H24" i="4"/>
  <c r="H39" i="4"/>
  <c r="V24" i="4"/>
  <c r="V39" i="4"/>
  <c r="AB24" i="4"/>
  <c r="AB39" i="4"/>
  <c r="AH24" i="4"/>
  <c r="AH39" i="4"/>
  <c r="Q39" i="4"/>
  <c r="Y39" i="4"/>
  <c r="G24" i="4"/>
  <c r="G39" i="4"/>
  <c r="K39" i="4"/>
  <c r="C24" i="4"/>
  <c r="C39" i="4"/>
  <c r="K24" i="4"/>
  <c r="K53" i="4"/>
  <c r="M53" i="4"/>
  <c r="O53" i="4"/>
  <c r="Q53" i="4"/>
  <c r="S53" i="4"/>
  <c r="U53" i="4"/>
  <c r="W24" i="4"/>
  <c r="W53" i="4"/>
  <c r="Y24" i="4"/>
  <c r="Y53" i="4"/>
  <c r="AA24" i="4"/>
  <c r="AA53" i="4"/>
  <c r="AL24" i="4"/>
  <c r="AL39" i="4"/>
  <c r="AE24" i="4"/>
  <c r="AE39" i="4"/>
  <c r="T24" i="4"/>
  <c r="T39" i="4"/>
  <c r="Q24" i="4"/>
  <c r="S39" i="4"/>
  <c r="U24" i="4"/>
  <c r="U39" i="4"/>
  <c r="AN24" i="4"/>
  <c r="AN39" i="4"/>
  <c r="AJ24" i="4"/>
  <c r="AJ39" i="4"/>
  <c r="L24" i="4"/>
  <c r="L39" i="4"/>
  <c r="N24" i="4"/>
  <c r="N39" i="4"/>
  <c r="P24" i="4"/>
  <c r="P39" i="4"/>
  <c r="AM24" i="4"/>
  <c r="AM39" i="4"/>
  <c r="AF24" i="4"/>
  <c r="AF39" i="4"/>
  <c r="E24" i="4"/>
  <c r="E39" i="4"/>
  <c r="I39" i="4"/>
  <c r="O24" i="4"/>
  <c r="O39" i="4"/>
  <c r="S24" i="4"/>
  <c r="AD24" i="4"/>
  <c r="AD39" i="4"/>
  <c r="I24" i="4"/>
  <c r="J24" i="4"/>
  <c r="J39" i="4"/>
  <c r="R24" i="4"/>
  <c r="R39" i="4"/>
  <c r="AI24" i="4"/>
  <c r="AI39" i="4"/>
  <c r="M24" i="4"/>
  <c r="M39" i="4"/>
  <c r="BJ4" i="7" l="1"/>
  <c r="BJ6" i="7" s="1"/>
  <c r="BH4" i="7"/>
  <c r="BH6" i="7" s="1"/>
  <c r="BM4" i="7"/>
  <c r="BM6" i="7" s="1"/>
  <c r="BN4" i="7"/>
  <c r="BN6" i="7" s="1"/>
  <c r="BK4" i="7"/>
  <c r="BK6" i="7" s="1"/>
  <c r="BL4" i="7"/>
  <c r="BL6" i="7" s="1"/>
  <c r="BI4" i="7"/>
  <c r="BI6" i="7" s="1"/>
  <c r="BG4" i="7"/>
  <c r="BG6" i="7" s="1"/>
  <c r="BO4" i="7"/>
  <c r="BO53" i="7" s="1"/>
  <c r="BM24" i="7" l="1"/>
  <c r="BH53" i="7"/>
  <c r="BK24" i="7"/>
  <c r="BH39" i="7"/>
  <c r="BM53" i="7"/>
  <c r="BO39" i="7"/>
  <c r="BM39" i="7"/>
  <c r="BH24" i="7"/>
  <c r="BL53" i="7"/>
  <c r="BJ53" i="7"/>
  <c r="BG24" i="7"/>
  <c r="BG39" i="7"/>
  <c r="BI24" i="7"/>
  <c r="BI39" i="7"/>
  <c r="BK39" i="7"/>
  <c r="BJ39" i="7"/>
  <c r="BJ24" i="7"/>
  <c r="BL24" i="7"/>
  <c r="BL39" i="7"/>
  <c r="BN39" i="7"/>
  <c r="BN24" i="7"/>
  <c r="BN53" i="7"/>
  <c r="BO24" i="7"/>
  <c r="BO6" i="7"/>
  <c r="BG53" i="7"/>
  <c r="BI53" i="7"/>
  <c r="BK5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mperry</author>
    <author>jmarks</author>
  </authors>
  <commentList>
    <comment ref="AM3" authorId="0" shapeId="0" xr:uid="{00000000-0006-0000-0100-000001000000}">
      <text>
        <r>
          <rPr>
            <b/>
            <sz val="8"/>
            <color indexed="81"/>
            <rFont val="Tahoma"/>
            <family val="2"/>
          </rPr>
          <t>Excludes online-only institutions identified in 2010-11.</t>
        </r>
      </text>
    </comment>
    <comment ref="AR3" authorId="0" shapeId="0" xr:uid="{00000000-0006-0000-0100-000002000000}">
      <text>
        <r>
          <rPr>
            <b/>
            <sz val="8"/>
            <color indexed="81"/>
            <rFont val="Tahoma"/>
            <family val="2"/>
          </rPr>
          <t>Excludes online-only institutions identified in 2010-11.</t>
        </r>
      </text>
    </comment>
    <comment ref="AC17" authorId="1" shapeId="0" xr:uid="{00000000-0006-0000-0100-000003000000}">
      <text>
        <r>
          <rPr>
            <b/>
            <sz val="8"/>
            <color indexed="81"/>
            <rFont val="Tahoma"/>
            <family val="2"/>
          </rPr>
          <t>jmarks:no Ok City Univ report</t>
        </r>
        <r>
          <rPr>
            <sz val="8"/>
            <color indexed="81"/>
            <rFont val="Tahoma"/>
            <family val="2"/>
          </rPr>
          <t xml:space="preserve">
</t>
        </r>
      </text>
    </comment>
    <comment ref="AD17" authorId="1" shapeId="0" xr:uid="{00000000-0006-0000-0100-000004000000}">
      <text>
        <r>
          <rPr>
            <b/>
            <sz val="8"/>
            <color indexed="81"/>
            <rFont val="Tahoma"/>
            <family val="2"/>
          </rPr>
          <t>jmarks:no Ok City Univ report</t>
        </r>
      </text>
    </comment>
    <comment ref="AE17" authorId="1" shapeId="0" xr:uid="{00000000-0006-0000-0100-000005000000}">
      <text>
        <r>
          <rPr>
            <b/>
            <sz val="8"/>
            <color indexed="81"/>
            <rFont val="Tahoma"/>
            <family val="2"/>
          </rPr>
          <t>jmarks:Ok City Univ awarded 211 law degrees</t>
        </r>
      </text>
    </comment>
    <comment ref="AG27" authorId="1" shapeId="0" xr:uid="{00000000-0006-0000-0100-000006000000}">
      <text>
        <r>
          <rPr>
            <b/>
            <sz val="8"/>
            <color indexed="81"/>
            <rFont val="Tahoma"/>
            <family val="2"/>
          </rPr>
          <t>jmarks:</t>
        </r>
        <r>
          <rPr>
            <sz val="8"/>
            <color indexed="81"/>
            <rFont val="Tahoma"/>
            <family val="2"/>
          </rPr>
          <t xml:space="preserve">
from SREB analysis. Can't get close to the 2001 Digest number of 8,710 from database that was released.  I get 8,144. (The numbers for the public sector match perfectly.)</t>
        </r>
      </text>
    </comment>
    <comment ref="A66" authorId="0" shapeId="0" xr:uid="{00000000-0006-0000-0100-000007000000}">
      <text>
        <r>
          <rPr>
            <b/>
            <sz val="8"/>
            <color indexed="81"/>
            <rFont val="Tahoma"/>
            <family val="2"/>
          </rPr>
          <t>mperry:</t>
        </r>
        <r>
          <rPr>
            <sz val="8"/>
            <color indexed="81"/>
            <rFont val="Tahoma"/>
            <family val="2"/>
          </rPr>
          <t xml:space="preserve">
Removed "--" and just left blank b/c formulas weren't calculating correctly. 5/11/11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P3" authorId="0" shapeId="0" xr:uid="{00000000-0006-0000-0200-000001000000}">
      <text>
        <r>
          <rPr>
            <b/>
            <sz val="8"/>
            <color indexed="81"/>
            <rFont val="Tahoma"/>
            <family val="2"/>
          </rPr>
          <t>Excludes online-only institutions identified in 2010-11.</t>
        </r>
      </text>
    </comment>
    <comment ref="U3" authorId="0" shapeId="0" xr:uid="{00000000-0006-0000-0200-000002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J3" authorId="0" shapeId="0" xr:uid="{00000000-0006-0000-0300-000001000000}">
      <text>
        <r>
          <rPr>
            <b/>
            <sz val="8"/>
            <color indexed="81"/>
            <rFont val="Tahoma"/>
            <family val="2"/>
          </rPr>
          <t>mperry:</t>
        </r>
        <r>
          <rPr>
            <sz val="8"/>
            <color indexed="81"/>
            <rFont val="Tahoma"/>
            <family val="2"/>
          </rPr>
          <t xml:space="preserve">
Replaced Mortenson's data with IPEDS for 2011 Fact Book.
5/19/11</t>
        </r>
      </text>
    </comment>
    <comment ref="AL3" authorId="0" shapeId="0" xr:uid="{00000000-0006-0000-0300-000002000000}">
      <text>
        <r>
          <rPr>
            <b/>
            <sz val="8"/>
            <color indexed="81"/>
            <rFont val="Tahoma"/>
            <family val="2"/>
          </rPr>
          <t>Excludes online-only institutions identified in 2010-11.</t>
        </r>
      </text>
    </comment>
    <comment ref="AQ3" authorId="0" shapeId="0" xr:uid="{00000000-0006-0000-0300-000003000000}">
      <text>
        <r>
          <rPr>
            <b/>
            <sz val="8"/>
            <color indexed="81"/>
            <rFont val="Tahoma"/>
            <family val="2"/>
          </rPr>
          <t>Excludes online-only institutions identified in 2010-11.</t>
        </r>
      </text>
    </comment>
    <comment ref="CI3" authorId="0" shapeId="0" xr:uid="{00000000-0006-0000-0300-000004000000}">
      <text>
        <r>
          <rPr>
            <b/>
            <sz val="8"/>
            <color indexed="81"/>
            <rFont val="Tahoma"/>
            <family val="2"/>
          </rPr>
          <t>mperry:</t>
        </r>
        <r>
          <rPr>
            <sz val="8"/>
            <color indexed="81"/>
            <rFont val="Tahoma"/>
            <family val="2"/>
          </rPr>
          <t xml:space="preserve">
Replaced Mortenson's data with IPEDS for 2011 Fact Book.
5/19/11</t>
        </r>
      </text>
    </comment>
    <comment ref="CK3" authorId="0" shapeId="0" xr:uid="{00000000-0006-0000-0300-000005000000}">
      <text>
        <r>
          <rPr>
            <b/>
            <sz val="8"/>
            <color indexed="81"/>
            <rFont val="Tahoma"/>
            <family val="2"/>
          </rPr>
          <t>Excludes online-only institutions identified in 2010-11.</t>
        </r>
      </text>
    </comment>
    <comment ref="CP3" authorId="0" shapeId="0" xr:uid="{00000000-0006-0000-0300-000006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B3" authorId="0" shapeId="0" xr:uid="{00000000-0006-0000-0400-000001000000}">
      <text>
        <r>
          <rPr>
            <b/>
            <sz val="8"/>
            <color indexed="81"/>
            <rFont val="Tahoma"/>
            <family val="2"/>
          </rPr>
          <t>mperry:</t>
        </r>
        <r>
          <rPr>
            <sz val="8"/>
            <color indexed="81"/>
            <rFont val="Tahoma"/>
            <family val="2"/>
          </rPr>
          <t xml:space="preserve">
May include certificates?
4/6/11</t>
        </r>
      </text>
    </comment>
    <comment ref="C3" authorId="0" shapeId="0" xr:uid="{00000000-0006-0000-0400-000002000000}">
      <text>
        <r>
          <rPr>
            <b/>
            <sz val="8"/>
            <color indexed="81"/>
            <rFont val="Tahoma"/>
            <family val="2"/>
          </rPr>
          <t>mperry:</t>
        </r>
        <r>
          <rPr>
            <sz val="8"/>
            <color indexed="81"/>
            <rFont val="Tahoma"/>
            <family val="2"/>
          </rPr>
          <t xml:space="preserve">
May include certificates?
4/6/11</t>
        </r>
      </text>
    </comment>
    <comment ref="D3" authorId="0" shapeId="0" xr:uid="{00000000-0006-0000-0400-000003000000}">
      <text>
        <r>
          <rPr>
            <b/>
            <sz val="8"/>
            <color indexed="81"/>
            <rFont val="Tahoma"/>
            <family val="2"/>
          </rPr>
          <t>mperry:</t>
        </r>
        <r>
          <rPr>
            <sz val="8"/>
            <color indexed="81"/>
            <rFont val="Tahoma"/>
            <family val="2"/>
          </rPr>
          <t xml:space="preserve">
May include certificates?
4/6/11</t>
        </r>
      </text>
    </comment>
    <comment ref="E3" authorId="0" shapeId="0" xr:uid="{00000000-0006-0000-0400-000004000000}">
      <text>
        <r>
          <rPr>
            <b/>
            <sz val="8"/>
            <color indexed="81"/>
            <rFont val="Tahoma"/>
            <family val="2"/>
          </rPr>
          <t>mperry:</t>
        </r>
        <r>
          <rPr>
            <sz val="8"/>
            <color indexed="81"/>
            <rFont val="Tahoma"/>
            <family val="2"/>
          </rPr>
          <t xml:space="preserve">
May include certificates?
4/6/11</t>
        </r>
      </text>
    </comment>
    <comment ref="F3" authorId="0" shapeId="0" xr:uid="{00000000-0006-0000-0400-000005000000}">
      <text>
        <r>
          <rPr>
            <b/>
            <sz val="8"/>
            <color indexed="81"/>
            <rFont val="Tahoma"/>
            <family val="2"/>
          </rPr>
          <t>mperry:</t>
        </r>
        <r>
          <rPr>
            <sz val="8"/>
            <color indexed="81"/>
            <rFont val="Tahoma"/>
            <family val="2"/>
          </rPr>
          <t xml:space="preserve">
May include certificates?
4/6/11</t>
        </r>
      </text>
    </comment>
    <comment ref="H3" authorId="0" shapeId="0" xr:uid="{00000000-0006-0000-0400-000006000000}">
      <text>
        <r>
          <rPr>
            <b/>
            <sz val="8"/>
            <color indexed="81"/>
            <rFont val="Tahoma"/>
            <family val="2"/>
          </rPr>
          <t>mperry:</t>
        </r>
        <r>
          <rPr>
            <sz val="8"/>
            <color indexed="81"/>
            <rFont val="Tahoma"/>
            <family val="2"/>
          </rPr>
          <t xml:space="preserve">
May include certificates?
4/6/11</t>
        </r>
      </text>
    </comment>
    <comment ref="I3" authorId="0" shapeId="0" xr:uid="{00000000-0006-0000-0400-000007000000}">
      <text>
        <r>
          <rPr>
            <b/>
            <sz val="8"/>
            <color indexed="81"/>
            <rFont val="Tahoma"/>
            <family val="2"/>
          </rPr>
          <t>mperry:</t>
        </r>
        <r>
          <rPr>
            <sz val="8"/>
            <color indexed="81"/>
            <rFont val="Tahoma"/>
            <family val="2"/>
          </rPr>
          <t xml:space="preserve">
May include certificates?
4/6/11</t>
        </r>
      </text>
    </comment>
    <comment ref="Q3" authorId="0" shapeId="0" xr:uid="{00000000-0006-0000-0400-000008000000}">
      <text>
        <r>
          <rPr>
            <b/>
            <sz val="8"/>
            <color indexed="81"/>
            <rFont val="Tahoma"/>
            <family val="2"/>
          </rPr>
          <t>mperry:</t>
        </r>
        <r>
          <rPr>
            <sz val="8"/>
            <color indexed="81"/>
            <rFont val="Tahoma"/>
            <family val="2"/>
          </rPr>
          <t xml:space="preserve">
May include certificates?
4/6/11</t>
        </r>
      </text>
    </comment>
    <comment ref="U3" authorId="0" shapeId="0" xr:uid="{00000000-0006-0000-0400-000009000000}">
      <text>
        <r>
          <rPr>
            <b/>
            <sz val="8"/>
            <color indexed="81"/>
            <rFont val="Tahoma"/>
            <family val="2"/>
          </rPr>
          <t>Excludes online-only institutions identified in 2010-11.</t>
        </r>
      </text>
    </comment>
    <comment ref="Z3" authorId="0" shapeId="0" xr:uid="{00000000-0006-0000-0400-00000A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B3" authorId="0" shapeId="0" xr:uid="{00000000-0006-0000-0500-000001000000}">
      <text>
        <r>
          <rPr>
            <b/>
            <sz val="8"/>
            <color indexed="81"/>
            <rFont val="Tahoma"/>
            <family val="2"/>
          </rPr>
          <t>mperry:</t>
        </r>
        <r>
          <rPr>
            <sz val="8"/>
            <color indexed="81"/>
            <rFont val="Tahoma"/>
            <family val="2"/>
          </rPr>
          <t xml:space="preserve">
May include certificates?
4/6/11</t>
        </r>
      </text>
    </comment>
    <comment ref="C3" authorId="0" shapeId="0" xr:uid="{00000000-0006-0000-0500-000002000000}">
      <text>
        <r>
          <rPr>
            <b/>
            <sz val="8"/>
            <color indexed="81"/>
            <rFont val="Tahoma"/>
            <family val="2"/>
          </rPr>
          <t>mperry:</t>
        </r>
        <r>
          <rPr>
            <sz val="8"/>
            <color indexed="81"/>
            <rFont val="Tahoma"/>
            <family val="2"/>
          </rPr>
          <t xml:space="preserve">
May include certificates?
4/6/11</t>
        </r>
      </text>
    </comment>
    <comment ref="D3" authorId="0" shapeId="0" xr:uid="{00000000-0006-0000-0500-000003000000}">
      <text>
        <r>
          <rPr>
            <b/>
            <sz val="8"/>
            <color indexed="81"/>
            <rFont val="Tahoma"/>
            <family val="2"/>
          </rPr>
          <t>mperry:</t>
        </r>
        <r>
          <rPr>
            <sz val="8"/>
            <color indexed="81"/>
            <rFont val="Tahoma"/>
            <family val="2"/>
          </rPr>
          <t xml:space="preserve">
May include certificates?
4/6/11</t>
        </r>
      </text>
    </comment>
    <comment ref="E3" authorId="0" shapeId="0" xr:uid="{00000000-0006-0000-0500-000004000000}">
      <text>
        <r>
          <rPr>
            <b/>
            <sz val="8"/>
            <color indexed="81"/>
            <rFont val="Tahoma"/>
            <family val="2"/>
          </rPr>
          <t>mperry:</t>
        </r>
        <r>
          <rPr>
            <sz val="8"/>
            <color indexed="81"/>
            <rFont val="Tahoma"/>
            <family val="2"/>
          </rPr>
          <t xml:space="preserve">
May include certificates?
4/6/11</t>
        </r>
      </text>
    </comment>
    <comment ref="F3" authorId="0" shapeId="0" xr:uid="{00000000-0006-0000-0500-000005000000}">
      <text>
        <r>
          <rPr>
            <b/>
            <sz val="8"/>
            <color indexed="81"/>
            <rFont val="Tahoma"/>
            <family val="2"/>
          </rPr>
          <t>mperry:</t>
        </r>
        <r>
          <rPr>
            <sz val="8"/>
            <color indexed="81"/>
            <rFont val="Tahoma"/>
            <family val="2"/>
          </rPr>
          <t xml:space="preserve">
May include certificates?
4/6/11</t>
        </r>
      </text>
    </comment>
    <comment ref="J3" authorId="0" shapeId="0" xr:uid="{00000000-0006-0000-0500-000006000000}">
      <text>
        <r>
          <rPr>
            <b/>
            <sz val="8"/>
            <color indexed="81"/>
            <rFont val="Tahoma"/>
            <family val="2"/>
          </rPr>
          <t>mperry:</t>
        </r>
        <r>
          <rPr>
            <sz val="8"/>
            <color indexed="81"/>
            <rFont val="Tahoma"/>
            <family val="2"/>
          </rPr>
          <t xml:space="preserve">
May include certificates?
4/6/11</t>
        </r>
      </text>
    </comment>
    <comment ref="K3" authorId="0" shapeId="0" xr:uid="{00000000-0006-0000-0500-000007000000}">
      <text>
        <r>
          <rPr>
            <b/>
            <sz val="8"/>
            <color indexed="81"/>
            <rFont val="Tahoma"/>
            <family val="2"/>
          </rPr>
          <t>mperry:</t>
        </r>
        <r>
          <rPr>
            <sz val="8"/>
            <color indexed="81"/>
            <rFont val="Tahoma"/>
            <family val="2"/>
          </rPr>
          <t xml:space="preserve">
May include certificates?
4/6/11</t>
        </r>
      </text>
    </comment>
    <comment ref="L3" authorId="0" shapeId="0" xr:uid="{00000000-0006-0000-0500-000008000000}">
      <text>
        <r>
          <rPr>
            <b/>
            <sz val="8"/>
            <color indexed="81"/>
            <rFont val="Tahoma"/>
            <family val="2"/>
          </rPr>
          <t>mperry:</t>
        </r>
        <r>
          <rPr>
            <sz val="8"/>
            <color indexed="81"/>
            <rFont val="Tahoma"/>
            <family val="2"/>
          </rPr>
          <t xml:space="preserve">
May include certificates?
4/6/11</t>
        </r>
      </text>
    </comment>
    <comment ref="M3" authorId="0" shapeId="0" xr:uid="{00000000-0006-0000-0500-000009000000}">
      <text>
        <r>
          <rPr>
            <b/>
            <sz val="8"/>
            <color indexed="81"/>
            <rFont val="Tahoma"/>
            <family val="2"/>
          </rPr>
          <t>mperry:</t>
        </r>
        <r>
          <rPr>
            <sz val="8"/>
            <color indexed="81"/>
            <rFont val="Tahoma"/>
            <family val="2"/>
          </rPr>
          <t xml:space="preserve">
May include certificates?
4/6/11</t>
        </r>
      </text>
    </comment>
    <comment ref="N3" authorId="0" shapeId="0" xr:uid="{00000000-0006-0000-0500-00000A000000}">
      <text>
        <r>
          <rPr>
            <b/>
            <sz val="8"/>
            <color indexed="81"/>
            <rFont val="Tahoma"/>
            <family val="2"/>
          </rPr>
          <t>mperry:</t>
        </r>
        <r>
          <rPr>
            <sz val="8"/>
            <color indexed="81"/>
            <rFont val="Tahoma"/>
            <family val="2"/>
          </rPr>
          <t xml:space="preserve">
May include certificates?
4/6/11</t>
        </r>
      </text>
    </comment>
    <comment ref="U3" authorId="0" shapeId="0" xr:uid="{00000000-0006-0000-0500-00000B000000}">
      <text>
        <r>
          <rPr>
            <b/>
            <sz val="8"/>
            <color indexed="81"/>
            <rFont val="Tahoma"/>
            <family val="2"/>
          </rPr>
          <t>Excludes online-only institutions identified in 2010-11.</t>
        </r>
      </text>
    </comment>
    <comment ref="Z3" authorId="0" shapeId="0" xr:uid="{00000000-0006-0000-0500-00000C000000}">
      <text>
        <r>
          <rPr>
            <b/>
            <sz val="8"/>
            <color indexed="81"/>
            <rFont val="Tahoma"/>
            <family val="2"/>
          </rPr>
          <t>Excludes online-only institutions identified in 2010-11.</t>
        </r>
      </text>
    </comment>
    <comment ref="AJ3" authorId="0" shapeId="0" xr:uid="{00000000-0006-0000-0500-00000D000000}">
      <text>
        <r>
          <rPr>
            <b/>
            <sz val="8"/>
            <color indexed="81"/>
            <rFont val="Tahoma"/>
            <family val="2"/>
          </rPr>
          <t>mperry:</t>
        </r>
        <r>
          <rPr>
            <sz val="8"/>
            <color indexed="81"/>
            <rFont val="Tahoma"/>
            <family val="2"/>
          </rPr>
          <t xml:space="preserve">
May include certificates?
4/6/11</t>
        </r>
      </text>
    </comment>
    <comment ref="AM3" authorId="0" shapeId="0" xr:uid="{00000000-0006-0000-0500-00000E000000}">
      <text>
        <r>
          <rPr>
            <b/>
            <sz val="8"/>
            <color indexed="81"/>
            <rFont val="Tahoma"/>
            <family val="2"/>
          </rPr>
          <t>mperry:</t>
        </r>
        <r>
          <rPr>
            <sz val="8"/>
            <color indexed="81"/>
            <rFont val="Tahoma"/>
            <family val="2"/>
          </rPr>
          <t xml:space="preserve">
May include certificates?
4/6/11</t>
        </r>
      </text>
    </comment>
    <comment ref="AW3" authorId="0" shapeId="0" xr:uid="{00000000-0006-0000-0500-00000F000000}">
      <text>
        <r>
          <rPr>
            <b/>
            <sz val="8"/>
            <color indexed="81"/>
            <rFont val="Tahoma"/>
            <family val="2"/>
          </rPr>
          <t>mperry:</t>
        </r>
        <r>
          <rPr>
            <sz val="8"/>
            <color indexed="81"/>
            <rFont val="Tahoma"/>
            <family val="2"/>
          </rPr>
          <t xml:space="preserve">
May include certificates?
4/6/11</t>
        </r>
      </text>
    </comment>
    <comment ref="AX3" authorId="0" shapeId="0" xr:uid="{00000000-0006-0000-0500-000010000000}">
      <text>
        <r>
          <rPr>
            <b/>
            <sz val="8"/>
            <color indexed="81"/>
            <rFont val="Tahoma"/>
            <family val="2"/>
          </rPr>
          <t>mperry:</t>
        </r>
        <r>
          <rPr>
            <sz val="8"/>
            <color indexed="81"/>
            <rFont val="Tahoma"/>
            <family val="2"/>
          </rPr>
          <t xml:space="preserve">
May include certificates?
4/6/11</t>
        </r>
      </text>
    </comment>
    <comment ref="BS3" authorId="0" shapeId="0" xr:uid="{00000000-0006-0000-0500-000011000000}">
      <text>
        <r>
          <rPr>
            <b/>
            <sz val="8"/>
            <color indexed="81"/>
            <rFont val="Tahoma"/>
            <family val="2"/>
          </rPr>
          <t>Excludes online-only institutions identified in 2010-11.</t>
        </r>
      </text>
    </comment>
    <comment ref="BX3" authorId="0" shapeId="0" xr:uid="{00000000-0006-0000-0500-000012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B3" authorId="0" shapeId="0" xr:uid="{00000000-0006-0000-0600-000001000000}">
      <text>
        <r>
          <rPr>
            <b/>
            <sz val="8"/>
            <color indexed="81"/>
            <rFont val="Tahoma"/>
            <family val="2"/>
          </rPr>
          <t>redone 8/2000
1st-professional degrees ONLY</t>
        </r>
      </text>
    </comment>
    <comment ref="E3" authorId="0" shapeId="0" xr:uid="{00000000-0006-0000-0600-000002000000}">
      <text>
        <r>
          <rPr>
            <b/>
            <sz val="8"/>
            <color indexed="81"/>
            <rFont val="Tahoma"/>
            <family val="2"/>
          </rPr>
          <t>redone 8/2000
1st-professional degrees ONLY</t>
        </r>
      </text>
    </comment>
    <comment ref="F3" authorId="0" shapeId="0" xr:uid="{00000000-0006-0000-0600-000003000000}">
      <text>
        <r>
          <rPr>
            <b/>
            <sz val="8"/>
            <color indexed="81"/>
            <rFont val="Tahoma"/>
            <family val="2"/>
          </rPr>
          <t>redone sept.2000
1st-professional degrees ONLY</t>
        </r>
      </text>
    </comment>
    <comment ref="G3" authorId="0" shapeId="0" xr:uid="{00000000-0006-0000-0600-000004000000}">
      <text>
        <r>
          <rPr>
            <b/>
            <sz val="8"/>
            <color indexed="81"/>
            <rFont val="Tahoma"/>
            <family val="2"/>
          </rPr>
          <t>redone oct.2000
1st-professional degrees ONLY</t>
        </r>
      </text>
    </comment>
    <comment ref="H3" authorId="0" shapeId="0" xr:uid="{00000000-0006-0000-0600-000005000000}">
      <text>
        <r>
          <rPr>
            <b/>
            <sz val="8"/>
            <color indexed="81"/>
            <rFont val="Tahoma"/>
            <family val="2"/>
          </rPr>
          <t>redone oct.2000
1st-professional degrees ONLY</t>
        </r>
      </text>
    </comment>
    <comment ref="I3" authorId="0" shapeId="0" xr:uid="{00000000-0006-0000-0600-000006000000}">
      <text>
        <r>
          <rPr>
            <b/>
            <sz val="8"/>
            <color indexed="81"/>
            <rFont val="Tahoma"/>
            <family val="2"/>
          </rPr>
          <t>redone oct.2000
1st-professional degrees ONLY</t>
        </r>
      </text>
    </comment>
    <comment ref="J3" authorId="0" shapeId="0" xr:uid="{00000000-0006-0000-0600-000007000000}">
      <text>
        <r>
          <rPr>
            <b/>
            <sz val="8"/>
            <color indexed="81"/>
            <rFont val="Tahoma"/>
            <family val="2"/>
          </rPr>
          <t>96-97 is 1st prof ONLY… previous yrs= 1st prof + post-degree certificates</t>
        </r>
      </text>
    </comment>
    <comment ref="K3" authorId="0" shapeId="0" xr:uid="{00000000-0006-0000-0600-000008000000}">
      <text>
        <r>
          <rPr>
            <b/>
            <sz val="8"/>
            <color indexed="81"/>
            <rFont val="Tahoma"/>
            <family val="2"/>
          </rPr>
          <t>1st prof ONLY</t>
        </r>
      </text>
    </comment>
    <comment ref="P3" authorId="1" shapeId="0" xr:uid="{00000000-0006-0000-0600-000009000000}">
      <text>
        <r>
          <rPr>
            <b/>
            <sz val="8"/>
            <color indexed="81"/>
            <rFont val="Tahoma"/>
            <family val="2"/>
          </rPr>
          <t>Excludes online-only institutions identified in 2010-11.</t>
        </r>
      </text>
    </comment>
    <comment ref="U3" authorId="1" shapeId="0" xr:uid="{00000000-0006-0000-0600-00000A000000}">
      <text>
        <r>
          <rPr>
            <b/>
            <sz val="8"/>
            <color indexed="81"/>
            <rFont val="Tahoma"/>
            <family val="2"/>
          </rPr>
          <t>Excludes online-only institutions identified in 2010-11.</t>
        </r>
      </text>
    </comment>
    <comment ref="AE3" authorId="0" shapeId="0" xr:uid="{00000000-0006-0000-0600-00000B000000}">
      <text>
        <r>
          <rPr>
            <b/>
            <sz val="8"/>
            <color indexed="81"/>
            <rFont val="Tahoma"/>
            <family val="2"/>
          </rPr>
          <t>redone 8/2000
1st-professional degrees ONLY</t>
        </r>
      </text>
    </comment>
    <comment ref="AH3" authorId="0" shapeId="0" xr:uid="{00000000-0006-0000-0600-00000C000000}">
      <text>
        <r>
          <rPr>
            <b/>
            <sz val="8"/>
            <color indexed="81"/>
            <rFont val="Tahoma"/>
            <family val="2"/>
          </rPr>
          <t>redone 8/2000
1st-professional degrees ONLY</t>
        </r>
      </text>
    </comment>
    <comment ref="AI3" authorId="0" shapeId="0" xr:uid="{00000000-0006-0000-0600-00000D000000}">
      <text>
        <r>
          <rPr>
            <b/>
            <sz val="8"/>
            <color indexed="81"/>
            <rFont val="Tahoma"/>
            <family val="2"/>
          </rPr>
          <t>redone sept.2000
1st-professional degrees ONLY</t>
        </r>
      </text>
    </comment>
    <comment ref="AJ3" authorId="0" shapeId="0" xr:uid="{00000000-0006-0000-0600-00000E000000}">
      <text>
        <r>
          <rPr>
            <b/>
            <sz val="8"/>
            <color indexed="81"/>
            <rFont val="Tahoma"/>
            <family val="2"/>
          </rPr>
          <t>redone oct.2000
1st-professional degrees ONLY</t>
        </r>
      </text>
    </comment>
    <comment ref="AK3" authorId="0" shapeId="0" xr:uid="{00000000-0006-0000-0600-00000F000000}">
      <text>
        <r>
          <rPr>
            <b/>
            <sz val="8"/>
            <color indexed="81"/>
            <rFont val="Tahoma"/>
            <family val="2"/>
          </rPr>
          <t>redone oct.2000
1st-professional degrees ONLY</t>
        </r>
      </text>
    </comment>
    <comment ref="AL3" authorId="0" shapeId="0" xr:uid="{00000000-0006-0000-0600-000010000000}">
      <text>
        <r>
          <rPr>
            <b/>
            <sz val="8"/>
            <color indexed="81"/>
            <rFont val="Tahoma"/>
            <family val="2"/>
          </rPr>
          <t>redone oct.2000
1st-professional degrees ONLY</t>
        </r>
      </text>
    </comment>
    <comment ref="AM3" authorId="0" shapeId="0" xr:uid="{00000000-0006-0000-0600-000011000000}">
      <text>
        <r>
          <rPr>
            <b/>
            <sz val="8"/>
            <color indexed="81"/>
            <rFont val="Tahoma"/>
            <family val="2"/>
          </rPr>
          <t>96-97 is 1st prof ONLY… previous yrs= 1st prof + post-degree certificates</t>
        </r>
      </text>
    </comment>
    <comment ref="AN3" authorId="0" shapeId="0" xr:uid="{00000000-0006-0000-0600-000012000000}">
      <text>
        <r>
          <rPr>
            <b/>
            <sz val="8"/>
            <color indexed="81"/>
            <rFont val="Tahoma"/>
            <family val="2"/>
          </rPr>
          <t>1st prof ONLY</t>
        </r>
      </text>
    </comment>
    <comment ref="AS3" authorId="1" shapeId="0" xr:uid="{00000000-0006-0000-0600-000013000000}">
      <text>
        <r>
          <rPr>
            <b/>
            <sz val="8"/>
            <color indexed="81"/>
            <rFont val="Tahoma"/>
            <family val="2"/>
          </rPr>
          <t>Excludes online-only institutions identified in 2010-11.</t>
        </r>
      </text>
    </comment>
    <comment ref="AX3" authorId="1" shapeId="0" xr:uid="{00000000-0006-0000-0600-000014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<sst xmlns="http://schemas.openxmlformats.org/spreadsheetml/2006/main" count="2696" uniqueCount="281">
  <si>
    <t>Table 59</t>
  </si>
  <si>
    <r>
      <t>Professional Practice Doctoral Degrees Awarded by Public and Private Colleges and Universities</t>
    </r>
    <r>
      <rPr>
        <vertAlign val="superscript"/>
        <sz val="10"/>
        <rFont val="Arial"/>
        <family val="2"/>
      </rPr>
      <t>1</t>
    </r>
  </si>
  <si>
    <t>Total</t>
  </si>
  <si>
    <t>Percent of Total</t>
  </si>
  <si>
    <t>Percent Change</t>
  </si>
  <si>
    <t>Public Colleges</t>
  </si>
  <si>
    <t>Women Students</t>
  </si>
  <si>
    <t>Foreign Students</t>
  </si>
  <si>
    <r>
      <t>Black Students</t>
    </r>
    <r>
      <rPr>
        <vertAlign val="superscript"/>
        <sz val="10"/>
        <rFont val="Arial"/>
        <family val="2"/>
      </rPr>
      <t>2</t>
    </r>
  </si>
  <si>
    <r>
      <t>Hispanic Students</t>
    </r>
    <r>
      <rPr>
        <vertAlign val="superscript"/>
        <sz val="10"/>
        <rFont val="Arial"/>
        <family val="2"/>
      </rPr>
      <t>2</t>
    </r>
  </si>
  <si>
    <t>2014-15 to</t>
  </si>
  <si>
    <t xml:space="preserve"> </t>
  </si>
  <si>
    <t>Percent at</t>
  </si>
  <si>
    <t>2019-20</t>
  </si>
  <si>
    <t>2014-15</t>
  </si>
  <si>
    <r>
      <t xml:space="preserve"> PBIs or HBCUs</t>
    </r>
    <r>
      <rPr>
        <vertAlign val="superscript"/>
        <sz val="10"/>
        <color indexed="8"/>
        <rFont val="Arial"/>
        <family val="2"/>
      </rPr>
      <t>3</t>
    </r>
  </si>
  <si>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</si>
  <si>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</si>
  <si>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</si>
  <si>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</si>
  <si>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</si>
  <si>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</si>
  <si>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</si>
  <si>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</si>
  <si>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</si>
  <si>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</si>
  <si>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</si>
  <si>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</si>
  <si>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</si>
  <si>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</si>
  <si>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</si>
  <si>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</si>
  <si>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</si>
  <si>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</si>
  <si>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</si>
  <si>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</si>
  <si>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</si>
  <si>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NA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</si>
  <si>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</si>
  <si>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</si>
  <si>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</si>
  <si>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</si>
  <si>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</si>
  <si>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</si>
  <si>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</si>
  <si>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</si>
  <si>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</si>
  <si>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</si>
  <si>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</si>
  <si>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</si>
  <si>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</si>
  <si>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</si>
  <si>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</si>
  <si>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</si>
  <si>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</si>
  <si>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</si>
  <si>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</si>
  <si>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</si>
  <si>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</si>
  <si>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</si>
  <si>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</si>
  <si>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</si>
  <si>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</si>
  <si>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</si>
  <si>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</si>
  <si>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</si>
  <si>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</si>
  <si>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</si>
  <si>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</si>
  <si>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</si>
  <si>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</si>
  <si>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</si>
  <si>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</si>
  <si>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</si>
  <si>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 xml:space="preserve"> "NA" indicates not applicable. There was no institution of this type during the specified years.</t>
  </si>
  <si>
    <r>
      <rPr>
        <vertAlign val="superscript"/>
        <sz val="10"/>
        <rFont val="Arial"/>
        <family val="2"/>
      </rPr>
      <t>1</t>
    </r>
    <r>
      <rPr>
        <sz val="10"/>
        <rFont val="Arial"/>
        <family val="2"/>
      </rPr>
      <t xml:space="preserve"> Table shows degrees (in the first major) awarded by all degree-granting institutions eligible for federal Title IV student financial aid in the 50 states and D.C., excluding service schools and online-only colleges and universities. </t>
    </r>
  </si>
  <si>
    <r>
      <rPr>
        <vertAlign val="superscript"/>
        <sz val="10"/>
        <rFont val="Arial"/>
        <family val="2"/>
      </rPr>
      <t>2</t>
    </r>
    <r>
      <rPr>
        <sz val="10"/>
        <rFont val="Arial"/>
        <family val="2"/>
      </rPr>
      <t xml:space="preserve"> Calculated based on a total that excludes students whose race is unknown and students from foreign countries.   </t>
    </r>
  </si>
  <si>
    <r>
      <rPr>
        <vertAlign val="superscript"/>
        <sz val="10"/>
        <rFont val="Arial"/>
        <family val="2"/>
      </rPr>
      <t>3</t>
    </r>
    <r>
      <rPr>
        <sz val="10"/>
        <rFont val="Arial"/>
        <family val="2"/>
      </rPr>
      <t xml:space="preserve"> 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t>
    </r>
  </si>
  <si>
    <t>Source: SREB analysis of National Center for Education Statistics completions surveys — www.nces.ed.gov/ipeds.</t>
  </si>
  <si>
    <t>September 2024</t>
  </si>
  <si>
    <t>Total First Professional Degrees conferred (both sexes)</t>
  </si>
  <si>
    <t>1960-61</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</si>
  <si>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</si>
  <si>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</si>
  <si>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</si>
  <si>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</si>
  <si>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</si>
  <si>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</si>
  <si>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</si>
  <si>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</si>
  <si>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</si>
  <si>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</si>
  <si>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</si>
  <si>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</si>
  <si>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</si>
  <si>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</si>
  <si>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</si>
  <si>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</si>
  <si>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</si>
  <si>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</si>
  <si>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</si>
  <si>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</si>
  <si>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</si>
  <si>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</si>
  <si>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</si>
  <si>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</si>
  <si>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</si>
  <si>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</si>
  <si>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</si>
  <si>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</si>
  <si>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</si>
  <si>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</si>
  <si>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</si>
  <si>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</si>
  <si>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</si>
  <si>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</si>
  <si>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</si>
  <si>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</si>
  <si>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</si>
  <si>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</si>
  <si>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</si>
  <si>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</si>
  <si>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</si>
  <si>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</si>
  <si>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</si>
  <si>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</si>
  <si>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</si>
  <si>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2015-16</t>
  </si>
  <si>
    <t>2016-17</t>
  </si>
  <si>
    <t>2017-18</t>
  </si>
  <si>
    <t>2018-19</t>
  </si>
  <si>
    <t xml:space="preserve">   as a percent of U.S.</t>
  </si>
  <si>
    <t xml:space="preserve">Note:  "--" indicates </t>
  </si>
  <si>
    <t>NCES,</t>
  </si>
  <si>
    <t>SOURCE:</t>
  </si>
  <si>
    <t xml:space="preserve">SOURCE: (For 1969-70 to 1994-94) </t>
  </si>
  <si>
    <t xml:space="preserve">data not available </t>
  </si>
  <si>
    <t>Earned</t>
  </si>
  <si>
    <t>Tom Mortenson and</t>
  </si>
  <si>
    <t>U.S. Department of Education, National Center for Education Statistics,</t>
  </si>
  <si>
    <t>U.S. Dept.</t>
  </si>
  <si>
    <t xml:space="preserve">SREB analysis </t>
  </si>
  <si>
    <t>or not applicable.</t>
  </si>
  <si>
    <t>Degrees</t>
  </si>
  <si>
    <t>Nicole Brunt,</t>
  </si>
  <si>
    <r>
      <t>State Comparisons of Education Statistics: 1969-70 to 1996-97</t>
    </r>
    <r>
      <rPr>
        <sz val="10"/>
        <rFont val="Arial"/>
        <family val="2"/>
      </rPr>
      <t>, Table 74, pp. 187-189.</t>
    </r>
  </si>
  <si>
    <t>of Education,</t>
  </si>
  <si>
    <t>of National</t>
  </si>
  <si>
    <t>Conferred</t>
  </si>
  <si>
    <t xml:space="preserve">spreadsheet on </t>
  </si>
  <si>
    <t>Washington D.C.: 1998.</t>
  </si>
  <si>
    <t>National</t>
  </si>
  <si>
    <t>Center  for</t>
  </si>
  <si>
    <t>Center for</t>
  </si>
  <si>
    <t>1960-61:</t>
  </si>
  <si>
    <t>Degrees Conferred by Level</t>
  </si>
  <si>
    <t>Education</t>
  </si>
  <si>
    <t>Bachelor's</t>
  </si>
  <si>
    <t>of Degree, Gender and State</t>
  </si>
  <si>
    <t xml:space="preserve">Statistics </t>
  </si>
  <si>
    <t>and</t>
  </si>
  <si>
    <t>1970 to 2006</t>
  </si>
  <si>
    <t>Statistics,</t>
  </si>
  <si>
    <t xml:space="preserve">surveys of </t>
  </si>
  <si>
    <t>IPEDS</t>
  </si>
  <si>
    <t>HIgher</t>
  </si>
  <si>
    <t>www.postsecondary.org</t>
  </si>
  <si>
    <t>Digest of</t>
  </si>
  <si>
    <t>degrees and</t>
  </si>
  <si>
    <t>Completions</t>
  </si>
  <si>
    <t xml:space="preserve"> April 2008</t>
  </si>
  <si>
    <t>other awards</t>
  </si>
  <si>
    <t>Survey Data</t>
  </si>
  <si>
    <t>Statistics</t>
  </si>
  <si>
    <t>conferred</t>
  </si>
  <si>
    <t>C2009</t>
  </si>
  <si>
    <t>C2019</t>
  </si>
  <si>
    <t xml:space="preserve">1999, </t>
  </si>
  <si>
    <t>2000,</t>
  </si>
  <si>
    <t>2001,</t>
  </si>
  <si>
    <t>(www.nces.ed.gov/ipeds).</t>
  </si>
  <si>
    <t>Table 251,</t>
  </si>
  <si>
    <t>Table 250,</t>
  </si>
  <si>
    <t>pp. 288,</t>
  </si>
  <si>
    <t>www.nces.ed.gov</t>
  </si>
  <si>
    <t>NOTE:</t>
  </si>
  <si>
    <t>D.C. : 2000.</t>
  </si>
  <si>
    <t>Beginning w/ 07-08 data</t>
  </si>
  <si>
    <t>institutions could report</t>
  </si>
  <si>
    <t>doctorate's using new IPEDS</t>
  </si>
  <si>
    <t>award levels: Research &amp;</t>
  </si>
  <si>
    <t>Scholarship (17) &amp; Professional</t>
  </si>
  <si>
    <t xml:space="preserve">Practice (18) Doc's, while </t>
  </si>
  <si>
    <t>Theology (old 10) 1st Prof moves</t>
  </si>
  <si>
    <t>to Master's award level 7. Change</t>
  </si>
  <si>
    <t>mandatory beginning w/ 09-10</t>
  </si>
  <si>
    <t>data; until then Theo 1st P may</t>
  </si>
  <si>
    <t>decrease while Theo Mast's</t>
  </si>
  <si>
    <t>increases - will vary by school</t>
  </si>
  <si>
    <t>and state.</t>
  </si>
  <si>
    <t>**FOOTNOTE ACCORDINGLY**</t>
  </si>
  <si>
    <t xml:space="preserve">In 07-08 Other Doc's (19)                                                                                                                                     </t>
  </si>
  <si>
    <t>were incorrectly included</t>
  </si>
  <si>
    <t xml:space="preserve">and need to be seperated </t>
  </si>
  <si>
    <t>at some point, but no later</t>
  </si>
  <si>
    <t>than 2012 when they are</t>
  </si>
  <si>
    <t>used for 5-yr % change.</t>
  </si>
  <si>
    <t>First Professional Degrees conferred in PUBLIC Institutions</t>
  </si>
  <si>
    <t>percent of total</t>
  </si>
  <si>
    <t xml:space="preserve">SOURCE: </t>
  </si>
  <si>
    <t>SREB</t>
  </si>
  <si>
    <t>analysis of</t>
  </si>
  <si>
    <t>NCES</t>
  </si>
  <si>
    <t>Data</t>
  </si>
  <si>
    <t>set of</t>
  </si>
  <si>
    <t>completions</t>
  </si>
  <si>
    <t>State</t>
  </si>
  <si>
    <t>Comparisons</t>
  </si>
  <si>
    <t>Statistics:</t>
  </si>
  <si>
    <t xml:space="preserve">1998, </t>
  </si>
  <si>
    <t xml:space="preserve">2000, </t>
  </si>
  <si>
    <t>1969-70 to</t>
  </si>
  <si>
    <t>Table 245,</t>
  </si>
  <si>
    <t>Table 249,</t>
  </si>
  <si>
    <t>1994-95,</t>
  </si>
  <si>
    <t>pp. 277,</t>
  </si>
  <si>
    <t>pp. 287,</t>
  </si>
  <si>
    <t>Table 63,</t>
  </si>
  <si>
    <t>pp. 170,</t>
  </si>
  <si>
    <t>D.C. : 1999.</t>
  </si>
  <si>
    <t>D.C. : 1998.</t>
  </si>
  <si>
    <t>First Professional Degrees conferred, by gender</t>
  </si>
  <si>
    <t>Men</t>
  </si>
  <si>
    <t>Women</t>
  </si>
  <si>
    <t>C2012</t>
  </si>
  <si>
    <t>awards,</t>
  </si>
  <si>
    <t>OK data from</t>
  </si>
  <si>
    <t>Ok printout</t>
  </si>
  <si>
    <t>ERROR:</t>
  </si>
  <si>
    <t>were incorrectly included w/</t>
  </si>
  <si>
    <t>1st P (10) &amp; PP (18) Doc's,</t>
  </si>
  <si>
    <t>First Professional Degrees</t>
  </si>
  <si>
    <t>All Race/Ethnic Groups</t>
  </si>
  <si>
    <t>analysis</t>
  </si>
  <si>
    <t>of NCES</t>
  </si>
  <si>
    <t>data</t>
  </si>
  <si>
    <t>tape of</t>
  </si>
  <si>
    <t>1976-77.</t>
  </si>
  <si>
    <t>1978-79.</t>
  </si>
  <si>
    <t>1980-81.</t>
  </si>
  <si>
    <t>1982-83.</t>
  </si>
  <si>
    <t>1984-85.</t>
  </si>
  <si>
    <t>1988-89.</t>
  </si>
  <si>
    <t>1989-90.</t>
  </si>
  <si>
    <t>(11-16-92)</t>
  </si>
  <si>
    <t>* These</t>
  </si>
  <si>
    <t>totals</t>
  </si>
  <si>
    <t>may</t>
  </si>
  <si>
    <t>differ</t>
  </si>
  <si>
    <t>from the</t>
  </si>
  <si>
    <t>male</t>
  </si>
  <si>
    <t>female</t>
  </si>
  <si>
    <t>because</t>
  </si>
  <si>
    <t>a small</t>
  </si>
  <si>
    <t>percentage</t>
  </si>
  <si>
    <t>of</t>
  </si>
  <si>
    <t>graduates'</t>
  </si>
  <si>
    <t>race is</t>
  </si>
  <si>
    <t>unknown.</t>
  </si>
  <si>
    <t xml:space="preserve">  Black</t>
  </si>
  <si>
    <t>Black, PBI</t>
  </si>
  <si>
    <t>Black, HBI</t>
  </si>
  <si>
    <t>Black, PBI or HBI</t>
  </si>
  <si>
    <t>Hispanic</t>
  </si>
  <si>
    <t>N-R Alien-----</t>
  </si>
  <si>
    <t>doctorates using new IPEDS</t>
  </si>
  <si>
    <t>and state. We changed Theo</t>
  </si>
  <si>
    <t>reported under award levels</t>
  </si>
  <si>
    <t>10/18 (doc's) to 7(mast's)</t>
  </si>
  <si>
    <t>beginning w/ 07-08 data.</t>
  </si>
  <si>
    <t>Women as % of Total Professional Practice Doctorate Degrees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</si>
</sst>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22">
    <font>
      <sz val="10"/>
      <name val="Helv"/>
    </font>
    <font>
      <sz val="10"/>
      <name val="AGaramond"/>
      <family val="3"/>
    </font>
    <font>
      <sz val="10"/>
      <name val="Arial"/>
      <family val="2"/>
    </font>
    <font>
      <i/>
      <sz val="10"/>
      <name val="Arial"/>
      <family val="2"/>
    </font>
    <font>
      <b/>
      <sz val="10"/>
      <name val="Arial"/>
      <family val="2"/>
    </font>
    <font>
      <b/>
      <sz val="8"/>
      <color indexed="81"/>
      <name val="Tahoma"/>
      <family val="2"/>
    </font>
    <font>
      <vertAlign val="superscript"/>
      <sz val="10"/>
      <name val="Arial"/>
      <family val="2"/>
    </font>
    <font>
      <sz val="10"/>
      <color indexed="8"/>
      <name val="Arial"/>
      <family val="2"/>
    </font>
    <font>
      <vertAlign val="superscript"/>
      <sz val="10"/>
      <color indexed="8"/>
      <name val="Arial"/>
      <family val="2"/>
    </font>
    <font>
      <sz val="8"/>
      <color indexed="81"/>
      <name val="Tahoma"/>
      <family val="2"/>
    </font>
    <font>
      <u/>
      <sz val="7.5"/>
      <color indexed="12"/>
      <name val="Helv"/>
    </font>
    <font>
      <sz val="10"/>
      <name val="Helv"/>
    </font>
    <font>
      <b/>
      <sz val="10"/>
      <color rgb="FFFF0000"/>
      <name val="Arial"/>
      <family val="2"/>
    </font>
    <font>
      <sz val="10"/>
      <color rgb="FF0000FF"/>
      <name val="Arial"/>
      <family val="2"/>
    </font>
    <font>
      <b/>
      <i/>
      <sz val="10"/>
      <color rgb="FFFF0000"/>
      <name val="Arial"/>
      <family val="2"/>
    </font>
    <font>
      <b/>
      <sz val="10"/>
      <name val="Helv"/>
    </font>
    <font>
      <b/>
      <i/>
      <sz val="10"/>
      <name val="Arial"/>
      <family val="2"/>
    </font>
    <font>
      <sz val="10"/>
      <color theme="1"/>
      <name val="Arial"/>
      <family val="2"/>
    </font>
    <font>
      <b/>
      <sz val="10"/>
      <color theme="0" tint="-0.34998626667073579"/>
      <name val="Arial"/>
      <family val="2"/>
    </font>
    <font>
      <b/>
      <sz val="10"/>
      <name val="Arial"/>
    </font>
    <font>
      <sz val="10"/>
      <name val="Arial"/>
    </font>
    <font>
      <sz val="10"/>
      <color rgb="FF0000FF"/>
      <name val="Arial"/>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s>
  <borders count="40">
    <border>
      <left/>
      <right/>
      <top/>
      <bottom/>
      <diagonal/>
    </border>
    <border>
      <left/>
      <right/>
      <top/>
      <bottom style="thin">
        <color indexed="8"/>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style="thin">
        <color indexed="64"/>
      </left>
      <right/>
      <top style="thin">
        <color indexed="64"/>
      </top>
      <bottom style="thin">
        <color indexed="64"/>
      </bottom>
      <diagonal/>
    </border>
    <border>
      <left style="thin">
        <color indexed="64"/>
      </left>
      <right/>
      <top style="thin">
        <color indexed="8"/>
      </top>
      <bottom/>
      <diagonal/>
    </border>
    <border>
      <left/>
      <right style="thin">
        <color indexed="64"/>
      </right>
      <top style="thin">
        <color indexed="8"/>
      </top>
      <bottom style="thin">
        <color indexed="64"/>
      </bottom>
      <diagonal/>
    </border>
    <border>
      <left/>
      <right style="thin">
        <color indexed="64"/>
      </right>
      <top style="thin">
        <color indexed="8"/>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8"/>
      </bottom>
      <diagonal/>
    </border>
    <border>
      <left style="thin">
        <color indexed="64"/>
      </left>
      <right/>
      <top/>
      <bottom style="thin">
        <color indexed="64"/>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thin">
        <color rgb="FF000000"/>
      </top>
      <bottom style="thin">
        <color rgb="FF000000"/>
      </bottom>
      <diagonal/>
    </border>
    <border>
      <left style="thin">
        <color indexed="8"/>
      </left>
      <right/>
      <top style="thin">
        <color indexed="8"/>
      </top>
      <bottom style="thin">
        <color indexed="8"/>
      </bottom>
      <diagonal/>
    </border>
  </borders>
  <cellStyleXfs count="6">
    <xf numFmtId="37" fontId="0" fillId="0" borderId="0"/>
    <xf numFmtId="0" fontId="10" fillId="0" borderId="0" applyNumberFormat="0" applyFill="0" applyBorder="0" applyAlignment="0" applyProtection="0">
      <alignment vertical="top"/>
      <protection locked="0"/>
    </xf>
    <xf numFmtId="9" fontId="1" fillId="0" borderId="0" applyFont="0" applyFill="0" applyBorder="0" applyAlignment="0" applyProtection="0"/>
    <xf numFmtId="0" fontId="11" fillId="0" borderId="0">
      <alignment horizontal="left" wrapText="1"/>
    </xf>
    <xf numFmtId="0" fontId="2" fillId="0" borderId="0"/>
    <xf numFmtId="43" fontId="1" fillId="0" borderId="0" applyFont="0" applyFill="0" applyBorder="0" applyAlignment="0" applyProtection="0"/>
  </cellStyleXfs>
  <cellXfs count="179">
    <xf numFmtId="37" fontId="0" fillId="0" borderId="0" xfId="0"/>
    <xf numFmtId="37" fontId="2" fillId="0" borderId="0" xfId="0" applyFont="1"/>
    <xf numFmtId="37" fontId="2" fillId="0" borderId="0" xfId="0" applyFont="1" applyAlignment="1">
      <alignment horizontal="fill"/>
    </xf>
    <xf numFmtId="37" fontId="2" fillId="0" borderId="3" xfId="0" applyFont="1" applyBorder="1"/>
    <xf numFmtId="3" fontId="2" fillId="0" borderId="0" xfId="0" applyNumberFormat="1" applyFont="1"/>
    <xf numFmtId="37" fontId="2" fillId="0" borderId="0" xfId="0" applyFont="1" applyAlignment="1">
      <alignment horizontal="left"/>
    </xf>
    <xf numFmtId="37" fontId="2" fillId="0" borderId="0" xfId="0" quotePrefix="1" applyFont="1" applyAlignment="1">
      <alignment horizontal="right"/>
    </xf>
    <xf numFmtId="37" fontId="3" fillId="0" borderId="0" xfId="0" applyFont="1"/>
    <xf numFmtId="37" fontId="2" fillId="0" borderId="0" xfId="0" applyFont="1" applyAlignment="1">
      <alignment horizontal="right"/>
    </xf>
    <xf numFmtId="37" fontId="3" fillId="0" borderId="0" xfId="0" applyFont="1" applyAlignment="1">
      <alignment horizontal="right"/>
    </xf>
    <xf numFmtId="37" fontId="3" fillId="0" borderId="0" xfId="0" applyFont="1" applyAlignment="1">
      <alignment horizontal="left"/>
    </xf>
    <xf numFmtId="37" fontId="4" fillId="0" borderId="0" xfId="0" applyFont="1"/>
    <xf numFmtId="37" fontId="2" fillId="0" borderId="0" xfId="0" applyFont="1" applyAlignment="1">
      <alignment horizontal="centerContinuous"/>
    </xf>
    <xf numFmtId="37" fontId="2" fillId="0" borderId="0" xfId="0" applyFont="1" applyAlignment="1">
      <alignment horizontal="center"/>
    </xf>
    <xf numFmtId="164" fontId="2" fillId="0" borderId="0" xfId="0" applyNumberFormat="1" applyFont="1"/>
    <xf numFmtId="37" fontId="2" fillId="0" borderId="1" xfId="0" applyFont="1" applyBorder="1" applyAlignment="1">
      <alignment horizontal="center"/>
    </xf>
    <xf numFmtId="37" fontId="4" fillId="0" borderId="4" xfId="0" applyFont="1" applyBorder="1"/>
    <xf numFmtId="37" fontId="4" fillId="0" borderId="4" xfId="0" applyFont="1" applyBorder="1" applyAlignment="1">
      <alignment horizontal="left"/>
    </xf>
    <xf numFmtId="37" fontId="2" fillId="0" borderId="9" xfId="0" applyFont="1" applyBorder="1" applyAlignment="1">
      <alignment horizontal="centerContinuous"/>
    </xf>
    <xf numFmtId="37" fontId="2" fillId="0" borderId="10" xfId="0" applyFont="1" applyBorder="1" applyAlignment="1">
      <alignment horizontal="centerContinuous"/>
    </xf>
    <xf numFmtId="37" fontId="2" fillId="0" borderId="11" xfId="0" applyFont="1" applyBorder="1" applyAlignment="1">
      <alignment horizontal="centerContinuous"/>
    </xf>
    <xf numFmtId="37" fontId="2" fillId="0" borderId="1" xfId="0" applyFont="1" applyBorder="1" applyAlignment="1">
      <alignment horizontal="centerContinuous"/>
    </xf>
    <xf numFmtId="37" fontId="7" fillId="0" borderId="1" xfId="0" quotePrefix="1" applyFont="1" applyBorder="1" applyAlignment="1">
      <alignment horizontal="centerContinuous"/>
    </xf>
    <xf numFmtId="37" fontId="2" fillId="0" borderId="6" xfId="0" applyFont="1" applyBorder="1" applyAlignment="1">
      <alignment horizontal="centerContinuous"/>
    </xf>
    <xf numFmtId="37" fontId="2" fillId="0" borderId="1" xfId="0" applyFont="1" applyBorder="1"/>
    <xf numFmtId="37" fontId="2" fillId="0" borderId="13" xfId="0" applyFont="1" applyBorder="1" applyAlignment="1">
      <alignment horizontal="center" wrapText="1"/>
    </xf>
    <xf numFmtId="37" fontId="0" fillId="0" borderId="10" xfId="0" applyBorder="1" applyAlignment="1">
      <alignment horizontal="centerContinuous"/>
    </xf>
    <xf numFmtId="9" fontId="2" fillId="0" borderId="0" xfId="2" applyFont="1"/>
    <xf numFmtId="37" fontId="2" fillId="0" borderId="4" xfId="0" applyFont="1" applyBorder="1"/>
    <xf numFmtId="37" fontId="2" fillId="0" borderId="16" xfId="0" applyFont="1" applyBorder="1"/>
    <xf numFmtId="3" fontId="2" fillId="0" borderId="3" xfId="3" applyNumberFormat="1" applyFont="1" applyBorder="1" applyAlignment="1"/>
    <xf numFmtId="37" fontId="2" fillId="0" borderId="0" xfId="0" applyFont="1" applyAlignment="1">
      <alignment wrapText="1"/>
    </xf>
    <xf numFmtId="3" fontId="2" fillId="0" borderId="0" xfId="3" applyNumberFormat="1" applyFont="1" applyAlignment="1"/>
    <xf numFmtId="3" fontId="2" fillId="2" borderId="0" xfId="3" applyNumberFormat="1" applyFont="1" applyFill="1" applyAlignment="1"/>
    <xf numFmtId="3" fontId="2" fillId="2" borderId="3" xfId="3" applyNumberFormat="1" applyFont="1" applyFill="1" applyBorder="1" applyAlignment="1"/>
    <xf numFmtId="3" fontId="2" fillId="0" borderId="8" xfId="3" applyNumberFormat="1" applyFont="1" applyBorder="1" applyAlignment="1"/>
    <xf numFmtId="3" fontId="2" fillId="2" borderId="2" xfId="3" applyNumberFormat="1" applyFont="1" applyFill="1" applyBorder="1" applyAlignment="1"/>
    <xf numFmtId="37" fontId="2" fillId="0" borderId="18" xfId="0" applyFont="1" applyBorder="1" applyAlignment="1">
      <alignment horizontal="centerContinuous"/>
    </xf>
    <xf numFmtId="37" fontId="2" fillId="0" borderId="9" xfId="0" applyFont="1" applyBorder="1"/>
    <xf numFmtId="37" fontId="10" fillId="0" borderId="0" xfId="1" applyNumberFormat="1" applyAlignment="1" applyProtection="1"/>
    <xf numFmtId="37" fontId="2" fillId="0" borderId="2" xfId="3" applyNumberFormat="1" applyFont="1" applyBorder="1" applyAlignment="1"/>
    <xf numFmtId="3" fontId="13" fillId="0" borderId="2" xfId="3" applyNumberFormat="1" applyFont="1" applyBorder="1" applyAlignment="1"/>
    <xf numFmtId="37" fontId="2" fillId="0" borderId="0" xfId="3" applyNumberFormat="1" applyFont="1" applyAlignment="1"/>
    <xf numFmtId="3" fontId="13" fillId="0" borderId="8" xfId="5" applyNumberFormat="1" applyFont="1" applyBorder="1"/>
    <xf numFmtId="165" fontId="2" fillId="0" borderId="0" xfId="3" applyNumberFormat="1" applyFont="1" applyAlignment="1"/>
    <xf numFmtId="165" fontId="13" fillId="0" borderId="0" xfId="3" applyNumberFormat="1" applyFont="1" applyAlignment="1"/>
    <xf numFmtId="3" fontId="2" fillId="0" borderId="0" xfId="5" applyNumberFormat="1" applyFont="1"/>
    <xf numFmtId="37" fontId="2" fillId="0" borderId="3" xfId="3" applyNumberFormat="1" applyFont="1" applyBorder="1" applyAlignment="1"/>
    <xf numFmtId="3" fontId="2" fillId="0" borderId="3" xfId="5" applyNumberFormat="1" applyFont="1" applyBorder="1"/>
    <xf numFmtId="0" fontId="2" fillId="0" borderId="2" xfId="3" applyFont="1" applyBorder="1" applyAlignment="1"/>
    <xf numFmtId="3" fontId="2" fillId="0" borderId="2" xfId="5" applyNumberFormat="1" applyFont="1" applyBorder="1"/>
    <xf numFmtId="37" fontId="12" fillId="0" borderId="0" xfId="0" applyFont="1" applyAlignment="1">
      <alignment horizontal="left"/>
    </xf>
    <xf numFmtId="37" fontId="14" fillId="0" borderId="0" xfId="0" applyFont="1"/>
    <xf numFmtId="37" fontId="2" fillId="0" borderId="20" xfId="0" applyFont="1" applyBorder="1"/>
    <xf numFmtId="3" fontId="13" fillId="0" borderId="21" xfId="3" applyNumberFormat="1" applyFont="1" applyBorder="1" applyAlignment="1"/>
    <xf numFmtId="3" fontId="13" fillId="0" borderId="22" xfId="5" applyNumberFormat="1" applyFont="1" applyBorder="1"/>
    <xf numFmtId="165" fontId="13" fillId="0" borderId="20" xfId="3" applyNumberFormat="1" applyFont="1" applyBorder="1" applyAlignment="1"/>
    <xf numFmtId="3" fontId="2" fillId="0" borderId="20" xfId="5" applyNumberFormat="1" applyFont="1" applyBorder="1"/>
    <xf numFmtId="3" fontId="2" fillId="0" borderId="19" xfId="5" applyNumberFormat="1" applyFont="1" applyBorder="1"/>
    <xf numFmtId="3" fontId="2" fillId="0" borderId="21" xfId="5" applyNumberFormat="1" applyFont="1" applyBorder="1"/>
    <xf numFmtId="37" fontId="2" fillId="0" borderId="20" xfId="0" applyFont="1" applyBorder="1" applyAlignment="1">
      <alignment horizontal="fill"/>
    </xf>
    <xf numFmtId="37" fontId="4" fillId="0" borderId="20" xfId="0" applyFont="1" applyBorder="1"/>
    <xf numFmtId="164" fontId="2" fillId="0" borderId="17" xfId="3" applyNumberFormat="1" applyFont="1" applyBorder="1" applyAlignment="1"/>
    <xf numFmtId="164" fontId="2" fillId="0" borderId="3" xfId="3" applyNumberFormat="1" applyFont="1" applyBorder="1" applyAlignment="1"/>
    <xf numFmtId="164" fontId="2" fillId="0" borderId="5" xfId="3" applyNumberFormat="1" applyFont="1" applyBorder="1" applyAlignment="1"/>
    <xf numFmtId="164" fontId="2" fillId="0" borderId="4" xfId="3" applyNumberFormat="1" applyFont="1" applyBorder="1" applyAlignment="1"/>
    <xf numFmtId="164" fontId="2" fillId="0" borderId="0" xfId="3" applyNumberFormat="1" applyFont="1" applyAlignment="1"/>
    <xf numFmtId="164" fontId="2" fillId="2" borderId="4" xfId="3" applyNumberFormat="1" applyFont="1" applyFill="1" applyBorder="1" applyAlignment="1"/>
    <xf numFmtId="164" fontId="2" fillId="2" borderId="0" xfId="3" applyNumberFormat="1" applyFont="1" applyFill="1" applyAlignment="1"/>
    <xf numFmtId="164" fontId="2" fillId="2" borderId="5" xfId="3" applyNumberFormat="1" applyFont="1" applyFill="1" applyBorder="1" applyAlignment="1"/>
    <xf numFmtId="164" fontId="2" fillId="2" borderId="3" xfId="3" applyNumberFormat="1" applyFont="1" applyFill="1" applyBorder="1" applyAlignment="1"/>
    <xf numFmtId="164" fontId="2" fillId="0" borderId="8" xfId="3" applyNumberFormat="1" applyFont="1" applyBorder="1" applyAlignment="1"/>
    <xf numFmtId="164" fontId="2" fillId="2" borderId="7" xfId="3" applyNumberFormat="1" applyFont="1" applyFill="1" applyBorder="1" applyAlignment="1"/>
    <xf numFmtId="164" fontId="2" fillId="2" borderId="2" xfId="3" applyNumberFormat="1" applyFont="1" applyFill="1" applyBorder="1" applyAlignment="1"/>
    <xf numFmtId="37" fontId="16" fillId="3" borderId="0" xfId="0" applyFont="1" applyFill="1"/>
    <xf numFmtId="37" fontId="2" fillId="0" borderId="0" xfId="0" applyFont="1" applyAlignment="1">
      <alignment vertical="center" readingOrder="1"/>
    </xf>
    <xf numFmtId="37" fontId="2" fillId="4" borderId="2" xfId="3" applyNumberFormat="1" applyFont="1" applyFill="1" applyBorder="1" applyAlignment="1"/>
    <xf numFmtId="37" fontId="2" fillId="4" borderId="0" xfId="3" applyNumberFormat="1" applyFont="1" applyFill="1" applyAlignment="1"/>
    <xf numFmtId="165" fontId="2" fillId="4" borderId="0" xfId="3" applyNumberFormat="1" applyFont="1" applyFill="1" applyAlignment="1"/>
    <xf numFmtId="37" fontId="2" fillId="4" borderId="3" xfId="3" applyNumberFormat="1" applyFont="1" applyFill="1" applyBorder="1" applyAlignment="1"/>
    <xf numFmtId="0" fontId="2" fillId="4" borderId="2" xfId="3" applyFont="1" applyFill="1" applyBorder="1" applyAlignment="1"/>
    <xf numFmtId="164" fontId="13" fillId="4" borderId="21" xfId="3" applyNumberFormat="1" applyFont="1" applyFill="1" applyBorder="1" applyAlignment="1"/>
    <xf numFmtId="164" fontId="13" fillId="4" borderId="2" xfId="3" applyNumberFormat="1" applyFont="1" applyFill="1" applyBorder="1" applyAlignment="1"/>
    <xf numFmtId="164" fontId="13" fillId="4" borderId="22" xfId="5" applyNumberFormat="1" applyFont="1" applyFill="1" applyBorder="1"/>
    <xf numFmtId="164" fontId="13" fillId="4" borderId="8" xfId="5" applyNumberFormat="1" applyFont="1" applyFill="1" applyBorder="1"/>
    <xf numFmtId="164" fontId="13" fillId="4" borderId="20" xfId="3" applyNumberFormat="1" applyFont="1" applyFill="1" applyBorder="1" applyAlignment="1"/>
    <xf numFmtId="164" fontId="13" fillId="4" borderId="0" xfId="3" applyNumberFormat="1" applyFont="1" applyFill="1" applyAlignment="1"/>
    <xf numFmtId="37" fontId="2" fillId="4" borderId="2" xfId="0" applyFont="1" applyFill="1" applyBorder="1" applyAlignment="1">
      <alignment horizontal="right"/>
    </xf>
    <xf numFmtId="37" fontId="2" fillId="4" borderId="2" xfId="0" applyFont="1" applyFill="1" applyBorder="1"/>
    <xf numFmtId="37" fontId="2" fillId="0" borderId="0" xfId="0" applyFont="1" applyAlignment="1">
      <alignment vertical="top"/>
    </xf>
    <xf numFmtId="3" fontId="17" fillId="0" borderId="0" xfId="0" applyNumberFormat="1" applyFont="1"/>
    <xf numFmtId="3" fontId="17" fillId="0" borderId="3" xfId="0" applyNumberFormat="1" applyFont="1" applyBorder="1"/>
    <xf numFmtId="3" fontId="17" fillId="0" borderId="2" xfId="0" applyNumberFormat="1" applyFont="1" applyBorder="1"/>
    <xf numFmtId="37" fontId="0" fillId="0" borderId="3" xfId="0" applyBorder="1"/>
    <xf numFmtId="3" fontId="2" fillId="0" borderId="3" xfId="0" applyNumberFormat="1" applyFont="1" applyBorder="1"/>
    <xf numFmtId="37" fontId="2" fillId="0" borderId="2" xfId="0" applyFont="1" applyBorder="1"/>
    <xf numFmtId="164" fontId="2" fillId="0" borderId="24" xfId="3" applyNumberFormat="1" applyFont="1" applyBorder="1" applyAlignment="1"/>
    <xf numFmtId="164" fontId="2" fillId="2" borderId="24" xfId="3" applyNumberFormat="1" applyFont="1" applyFill="1" applyBorder="1" applyAlignment="1"/>
    <xf numFmtId="164" fontId="2" fillId="2" borderId="15" xfId="3" applyNumberFormat="1" applyFont="1" applyFill="1" applyBorder="1" applyAlignment="1"/>
    <xf numFmtId="37" fontId="2" fillId="0" borderId="14" xfId="0" applyFont="1" applyBorder="1" applyAlignment="1">
      <alignment horizontal="center"/>
    </xf>
    <xf numFmtId="37" fontId="0" fillId="0" borderId="2" xfId="0" applyBorder="1"/>
    <xf numFmtId="37" fontId="13" fillId="4" borderId="0" xfId="0" applyFont="1" applyFill="1"/>
    <xf numFmtId="164" fontId="13" fillId="4" borderId="20" xfId="5" applyNumberFormat="1" applyFont="1" applyFill="1" applyBorder="1"/>
    <xf numFmtId="164" fontId="13" fillId="4" borderId="0" xfId="5" applyNumberFormat="1" applyFont="1" applyFill="1"/>
    <xf numFmtId="164" fontId="13" fillId="4" borderId="19" xfId="5" applyNumberFormat="1" applyFont="1" applyFill="1" applyBorder="1"/>
    <xf numFmtId="164" fontId="13" fillId="4" borderId="3" xfId="5" applyNumberFormat="1" applyFont="1" applyFill="1" applyBorder="1"/>
    <xf numFmtId="164" fontId="13" fillId="4" borderId="21" xfId="5" applyNumberFormat="1" applyFont="1" applyFill="1" applyBorder="1"/>
    <xf numFmtId="164" fontId="13" fillId="4" borderId="2" xfId="5" applyNumberFormat="1" applyFont="1" applyFill="1" applyBorder="1"/>
    <xf numFmtId="37" fontId="18" fillId="0" borderId="20" xfId="0" applyFont="1" applyBorder="1" applyAlignment="1">
      <alignment horizontal="center"/>
    </xf>
    <xf numFmtId="37" fontId="18" fillId="0" borderId="0" xfId="0" applyFont="1" applyAlignment="1">
      <alignment horizontal="center"/>
    </xf>
    <xf numFmtId="37" fontId="18" fillId="0" borderId="19" xfId="0" applyFont="1" applyBorder="1" applyAlignment="1">
      <alignment horizontal="center"/>
    </xf>
    <xf numFmtId="37" fontId="2" fillId="0" borderId="1" xfId="0" applyFont="1" applyBorder="1" applyAlignment="1">
      <alignment horizontal="right"/>
    </xf>
    <xf numFmtId="37" fontId="2" fillId="0" borderId="6" xfId="0" applyFont="1" applyBorder="1" applyAlignment="1">
      <alignment horizontal="center"/>
    </xf>
    <xf numFmtId="37" fontId="7" fillId="0" borderId="13" xfId="0" quotePrefix="1" applyFont="1" applyBorder="1" applyAlignment="1">
      <alignment horizontal="centerContinuous"/>
    </xf>
    <xf numFmtId="37" fontId="4" fillId="0" borderId="2" xfId="0" applyFont="1" applyBorder="1" applyAlignment="1">
      <alignment horizontal="right"/>
    </xf>
    <xf numFmtId="37" fontId="4" fillId="3" borderId="2" xfId="0" applyFont="1" applyFill="1" applyBorder="1" applyAlignment="1">
      <alignment horizontal="right"/>
    </xf>
    <xf numFmtId="37" fontId="2" fillId="0" borderId="25" xfId="0" applyFont="1" applyBorder="1"/>
    <xf numFmtId="37" fontId="4" fillId="0" borderId="1" xfId="0" applyFont="1" applyBorder="1"/>
    <xf numFmtId="37" fontId="4" fillId="0" borderId="21" xfId="0" applyFont="1" applyBorder="1" applyAlignment="1">
      <alignment horizontal="right"/>
    </xf>
    <xf numFmtId="37" fontId="4" fillId="0" borderId="15" xfId="0" applyFont="1" applyBorder="1" applyAlignment="1">
      <alignment horizontal="right"/>
    </xf>
    <xf numFmtId="37" fontId="4" fillId="0" borderId="26" xfId="0" applyFont="1" applyBorder="1" applyAlignment="1">
      <alignment horizontal="right"/>
    </xf>
    <xf numFmtId="37" fontId="4" fillId="0" borderId="25" xfId="0" applyFont="1" applyBorder="1" applyAlignment="1">
      <alignment horizontal="right"/>
    </xf>
    <xf numFmtId="37" fontId="4" fillId="0" borderId="27" xfId="0" applyFont="1" applyBorder="1" applyAlignment="1">
      <alignment horizontal="right"/>
    </xf>
    <xf numFmtId="3" fontId="13" fillId="0" borderId="19" xfId="3" applyNumberFormat="1" applyFont="1" applyBorder="1" applyAlignment="1"/>
    <xf numFmtId="3" fontId="13" fillId="0" borderId="3" xfId="3" applyNumberFormat="1" applyFont="1" applyBorder="1" applyAlignment="1"/>
    <xf numFmtId="37" fontId="4" fillId="3" borderId="25" xfId="0" applyFont="1" applyFill="1" applyBorder="1" applyAlignment="1">
      <alignment horizontal="right"/>
    </xf>
    <xf numFmtId="37" fontId="4" fillId="0" borderId="0" xfId="0" applyFont="1" applyAlignment="1">
      <alignment horizontal="right"/>
    </xf>
    <xf numFmtId="3" fontId="13" fillId="0" borderId="0" xfId="3" applyNumberFormat="1" applyFont="1" applyAlignment="1"/>
    <xf numFmtId="3" fontId="13" fillId="0" borderId="0" xfId="5" applyNumberFormat="1" applyFont="1" applyBorder="1"/>
    <xf numFmtId="37" fontId="4" fillId="0" borderId="25" xfId="0" applyFont="1" applyBorder="1"/>
    <xf numFmtId="37" fontId="19" fillId="0" borderId="0" xfId="0" applyFont="1"/>
    <xf numFmtId="37" fontId="19" fillId="0" borderId="2" xfId="0" applyFont="1" applyBorder="1" applyAlignment="1">
      <alignment horizontal="right"/>
    </xf>
    <xf numFmtId="37" fontId="19" fillId="0" borderId="2" xfId="0" applyFont="1" applyBorder="1"/>
    <xf numFmtId="37" fontId="20" fillId="0" borderId="0" xfId="0" applyFont="1"/>
    <xf numFmtId="3" fontId="21" fillId="0" borderId="8" xfId="5" applyNumberFormat="1" applyFont="1" applyBorder="1"/>
    <xf numFmtId="165" fontId="21" fillId="0" borderId="0" xfId="3" applyNumberFormat="1" applyFont="1" applyAlignment="1"/>
    <xf numFmtId="37" fontId="19" fillId="3" borderId="25" xfId="0" applyFont="1" applyFill="1" applyBorder="1"/>
    <xf numFmtId="3" fontId="21" fillId="0" borderId="3" xfId="3" applyNumberFormat="1" applyFont="1" applyBorder="1" applyAlignment="1"/>
    <xf numFmtId="37" fontId="20" fillId="0" borderId="25" xfId="0" applyFont="1" applyBorder="1"/>
    <xf numFmtId="37" fontId="4" fillId="0" borderId="23" xfId="0" applyFont="1" applyBorder="1" applyAlignment="1">
      <alignment horizontal="right"/>
    </xf>
    <xf numFmtId="37" fontId="4" fillId="0" borderId="1" xfId="0" applyFont="1" applyBorder="1" applyAlignment="1">
      <alignment horizontal="right"/>
    </xf>
    <xf numFmtId="37" fontId="4" fillId="0" borderId="2" xfId="0" applyFont="1" applyBorder="1"/>
    <xf numFmtId="37" fontId="4" fillId="3" borderId="25" xfId="0" applyFont="1" applyFill="1" applyBorder="1"/>
    <xf numFmtId="37" fontId="2" fillId="4" borderId="28" xfId="0" applyFont="1" applyFill="1" applyBorder="1" applyAlignment="1">
      <alignment horizontal="right"/>
    </xf>
    <xf numFmtId="37" fontId="15" fillId="0" borderId="0" xfId="0" applyFont="1" applyAlignment="1">
      <alignment horizontal="right"/>
    </xf>
    <xf numFmtId="37" fontId="4" fillId="0" borderId="7" xfId="0" applyFont="1" applyBorder="1" applyAlignment="1">
      <alignment horizontal="right"/>
    </xf>
    <xf numFmtId="37" fontId="7" fillId="0" borderId="14" xfId="0" applyFont="1" applyBorder="1" applyAlignment="1">
      <alignment horizontal="center"/>
    </xf>
    <xf numFmtId="164" fontId="2" fillId="0" borderId="29" xfId="3" applyNumberFormat="1" applyFont="1" applyBorder="1" applyAlignment="1"/>
    <xf numFmtId="164" fontId="2" fillId="0" borderId="30" xfId="3" applyNumberFormat="1" applyFont="1" applyBorder="1" applyAlignment="1"/>
    <xf numFmtId="164" fontId="2" fillId="0" borderId="31" xfId="3" applyNumberFormat="1" applyFont="1" applyBorder="1" applyAlignment="1"/>
    <xf numFmtId="164" fontId="2" fillId="0" borderId="32" xfId="3" applyNumberFormat="1" applyFont="1" applyBorder="1" applyAlignment="1"/>
    <xf numFmtId="164" fontId="2" fillId="2" borderId="31" xfId="3" applyNumberFormat="1" applyFont="1" applyFill="1" applyBorder="1" applyAlignment="1"/>
    <xf numFmtId="164" fontId="2" fillId="2" borderId="33" xfId="3" applyNumberFormat="1" applyFont="1" applyFill="1" applyBorder="1" applyAlignment="1"/>
    <xf numFmtId="164" fontId="2" fillId="2" borderId="32" xfId="3" applyNumberFormat="1" applyFont="1" applyFill="1" applyBorder="1" applyAlignment="1"/>
    <xf numFmtId="164" fontId="2" fillId="2" borderId="32" xfId="3" applyNumberFormat="1" applyFont="1" applyFill="1" applyBorder="1" applyAlignment="1">
      <alignment horizontal="right"/>
    </xf>
    <xf numFmtId="164" fontId="2" fillId="2" borderId="34" xfId="3" applyNumberFormat="1" applyFont="1" applyFill="1" applyBorder="1" applyAlignment="1"/>
    <xf numFmtId="164" fontId="2" fillId="2" borderId="25" xfId="3" applyNumberFormat="1" applyFont="1" applyFill="1" applyBorder="1" applyAlignment="1"/>
    <xf numFmtId="37" fontId="4" fillId="0" borderId="28" xfId="0" applyFont="1" applyBorder="1" applyAlignment="1">
      <alignment horizontal="right"/>
    </xf>
    <xf numFmtId="3" fontId="13" fillId="0" borderId="8" xfId="5" applyNumberFormat="1" applyFont="1" applyFill="1" applyBorder="1"/>
    <xf numFmtId="37" fontId="2" fillId="0" borderId="35" xfId="0" applyFont="1" applyBorder="1" applyAlignment="1">
      <alignment horizontal="right"/>
    </xf>
    <xf numFmtId="165" fontId="13" fillId="0" borderId="0" xfId="3" applyNumberFormat="1" applyFont="1" applyAlignment="1">
      <alignment horizontal="right"/>
    </xf>
    <xf numFmtId="3" fontId="13" fillId="0" borderId="8" xfId="5" applyNumberFormat="1" applyFont="1" applyFill="1" applyBorder="1" applyAlignment="1">
      <alignment horizontal="right"/>
    </xf>
    <xf numFmtId="37" fontId="2" fillId="0" borderId="25" xfId="0" applyFont="1" applyBorder="1" applyAlignment="1">
      <alignment horizontal="right"/>
    </xf>
    <xf numFmtId="37" fontId="7" fillId="0" borderId="12" xfId="0" quotePrefix="1" applyFont="1" applyBorder="1" applyAlignment="1">
      <alignment horizontal="centerContinuous"/>
    </xf>
    <xf numFmtId="37" fontId="7" fillId="0" borderId="12" xfId="0" applyFont="1" applyBorder="1" applyAlignment="1">
      <alignment horizontal="center"/>
    </xf>
    <xf numFmtId="164" fontId="2" fillId="2" borderId="4" xfId="3" applyNumberFormat="1" applyFont="1" applyFill="1" applyBorder="1" applyAlignment="1">
      <alignment horizontal="right"/>
    </xf>
    <xf numFmtId="164" fontId="2" fillId="2" borderId="35" xfId="3" applyNumberFormat="1" applyFont="1" applyFill="1" applyBorder="1" applyAlignment="1"/>
    <xf numFmtId="164" fontId="2" fillId="2" borderId="36" xfId="3" applyNumberFormat="1" applyFont="1" applyFill="1" applyBorder="1" applyAlignment="1"/>
    <xf numFmtId="164" fontId="2" fillId="2" borderId="37" xfId="3" applyNumberFormat="1" applyFont="1" applyFill="1" applyBorder="1" applyAlignment="1"/>
    <xf numFmtId="164" fontId="2" fillId="2" borderId="0" xfId="3" applyNumberFormat="1" applyFont="1" applyFill="1" applyAlignment="1">
      <alignment horizontal="right"/>
    </xf>
    <xf numFmtId="164" fontId="2" fillId="2" borderId="38" xfId="3" applyNumberFormat="1" applyFont="1" applyFill="1" applyBorder="1" applyAlignment="1"/>
    <xf numFmtId="164" fontId="2" fillId="0" borderId="35" xfId="3" applyNumberFormat="1" applyFont="1" applyBorder="1" applyAlignment="1"/>
    <xf numFmtId="164" fontId="2" fillId="0" borderId="36" xfId="3" applyNumberFormat="1" applyFont="1" applyBorder="1" applyAlignment="1"/>
    <xf numFmtId="49" fontId="2" fillId="0" borderId="0" xfId="0" applyNumberFormat="1" applyFont="1" applyAlignment="1">
      <alignment horizontal="right"/>
    </xf>
    <xf numFmtId="37" fontId="2" fillId="0" borderId="0" xfId="0" applyFont="1" applyAlignment="1">
      <alignment horizontal="left" vertical="top" wrapText="1" readingOrder="1"/>
    </xf>
    <xf numFmtId="37" fontId="2" fillId="0" borderId="0" xfId="0" applyFont="1" applyAlignment="1">
      <alignment wrapText="1"/>
    </xf>
    <xf numFmtId="37" fontId="0" fillId="0" borderId="0" xfId="0" applyAlignment="1">
      <alignment wrapText="1"/>
    </xf>
    <xf numFmtId="37" fontId="2" fillId="0" borderId="39" xfId="0" applyFont="1" applyBorder="1" applyAlignment="1">
      <alignment horizontal="center"/>
    </xf>
    <xf numFmtId="37" fontId="2" fillId="0" borderId="11" xfId="0" applyFont="1" applyBorder="1" applyAlignment="1">
      <alignment horizontal="center"/>
    </xf>
  </cellXfs>
  <cellStyles count="6">
    <cellStyle name="Comma 2" xfId="5" xr:uid="{00000000-0005-0000-0000-000000000000}"/>
    <cellStyle name="Hyperlink" xfId="1" builtinId="8"/>
    <cellStyle name="Normal" xfId="0" builtinId="0"/>
    <cellStyle name="Normal 2" xfId="3" xr:uid="{00000000-0005-0000-0000-000003000000}"/>
    <cellStyle name="Normal 2 2" xfId="4" xr:uid="{00000000-0005-0000-0000-000004000000}"/>
    <cellStyle name="Percent" xfId="2" builtinId="5"/>
  </cellStyles>
  <dxfs count="0"/>
  <tableStyles count="0" defaultTableStyle="TableStyleMedium9" defaultPivotStyle="PivotStyleLight16"/>
  <colors>
    <mruColors>
      <color rgb="FFFF99CC"/>
      <color rgb="FF006600"/>
      <color rgb="FF990033"/>
      <color rgb="FF0033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Percent of Total Professional Practice Doctoral Degrees Awarded by Public and Private Colleges and Universities</a:t>
            </a:r>
          </a:p>
        </c:rich>
      </c:tx>
      <c:layout>
        <c:manualLayout>
          <c:xMode val="edge"/>
          <c:yMode val="edge"/>
          <c:x val="0.13599105234340142"/>
          <c:y val="1.2213740458015267E-2"/>
        </c:manualLayout>
      </c:layout>
      <c:overlay val="0"/>
    </c:title>
    <c:autoTitleDeleted val="0"/>
    <c:plotArea>
      <c:layout>
        <c:manualLayout>
          <c:layoutTarget val="inner"/>
          <c:xMode val="edge"/>
          <c:yMode val="edge"/>
          <c:x val="1.0400481676984142E-3"/>
          <c:y val="0.10547718939712689"/>
          <c:w val="0.99895995839833607"/>
          <c:h val="0.74084638656809121"/>
        </c:manualLayout>
      </c:layout>
      <c:barChart>
        <c:barDir val="col"/>
        <c:grouping val="clustered"/>
        <c:varyColors val="0"/>
        <c:ser>
          <c:idx val="0"/>
          <c:order val="0"/>
          <c:tx>
            <c:strRef>
              <c:f>'TABLE 59'!$A$8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59'!$E$5:$P$7</c:f>
              <c:multiLvlStrCache>
                <c:ptCount val="12"/>
                <c:lvl>
                  <c:pt idx="0">
                    <c:v>2014-15</c:v>
                  </c:pt>
                  <c:pt idx="1">
                    <c:v>2019-20</c:v>
                  </c:pt>
                  <c:pt idx="2">
                    <c:v>2014-15</c:v>
                  </c:pt>
                  <c:pt idx="3">
                    <c:v>2019-20</c:v>
                  </c:pt>
                  <c:pt idx="4">
                    <c:v>2014-15</c:v>
                  </c:pt>
                  <c:pt idx="5">
                    <c:v>2019-20</c:v>
                  </c:pt>
                  <c:pt idx="6">
                    <c:v>2014-15</c:v>
                  </c:pt>
                  <c:pt idx="7">
                    <c:v> PBIs or HBCUs3</c:v>
                  </c:pt>
                  <c:pt idx="8">
                    <c:v>2019-20</c:v>
                  </c:pt>
                  <c:pt idx="9">
                    <c:v> PBIs or HBCUs3</c:v>
                  </c:pt>
                  <c:pt idx="10">
                    <c:v>2014-15</c:v>
                  </c:pt>
                  <c:pt idx="11">
                    <c:v>2019-20</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59'!$E$8:$P$8</c:f>
              <c:numCache>
                <c:formatCode>#,##0.0</c:formatCode>
                <c:ptCount val="12"/>
                <c:pt idx="0">
                  <c:v>40.948259886586854</c:v>
                </c:pt>
                <c:pt idx="1">
                  <c:v>43.969635609786032</c:v>
                </c:pt>
                <c:pt idx="2">
                  <c:v>53.874022460249805</c:v>
                </c:pt>
                <c:pt idx="3">
                  <c:v>57.550337041225099</c:v>
                </c:pt>
                <c:pt idx="4">
                  <c:v>2.7649086394129201</c:v>
                </c:pt>
                <c:pt idx="5">
                  <c:v>2.9216083309227656</c:v>
                </c:pt>
                <c:pt idx="6">
                  <c:v>7.1729785890357931</c:v>
                </c:pt>
                <c:pt idx="7">
                  <c:v>16.28798636750923</c:v>
                </c:pt>
                <c:pt idx="8">
                  <c:v>7.6703214767089509</c:v>
                </c:pt>
                <c:pt idx="9">
                  <c:v>15.927218344965105</c:v>
                </c:pt>
                <c:pt idx="10">
                  <c:v>7.3247499337910238</c:v>
                </c:pt>
                <c:pt idx="11">
                  <c:v>9.2973014310158586</c:v>
                </c:pt>
              </c:numCache>
            </c:numRef>
          </c:val>
          <c:extLst>
            <c:ext xmlns:c16="http://schemas.microsoft.com/office/drawing/2014/chart" uri="{C3380CC4-5D6E-409C-BE32-E72D297353CC}">
              <c16:uniqueId val="{00000000-173B-41B6-945F-B5907898B82B}"/>
            </c:ext>
          </c:extLst>
        </c:ser>
        <c:ser>
          <c:idx val="1"/>
          <c:order val="1"/>
          <c:tx>
            <c:strRef>
              <c:f>'TABLE 59'!$A$9</c:f>
              <c:strCache>
                <c:ptCount val="1"/>
                <c:pt idx="0">
                  <c:v>SREB states</c:v>
                </c:pt>
              </c:strCache>
            </c:strRef>
          </c:tx>
          <c:spPr>
            <a:solidFill>
              <a:srgbClr val="990033"/>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59'!$E$5:$P$7</c:f>
              <c:multiLvlStrCache>
                <c:ptCount val="12"/>
                <c:lvl>
                  <c:pt idx="0">
                    <c:v>2014-15</c:v>
                  </c:pt>
                  <c:pt idx="1">
                    <c:v>2019-20</c:v>
                  </c:pt>
                  <c:pt idx="2">
                    <c:v>2014-15</c:v>
                  </c:pt>
                  <c:pt idx="3">
                    <c:v>2019-20</c:v>
                  </c:pt>
                  <c:pt idx="4">
                    <c:v>2014-15</c:v>
                  </c:pt>
                  <c:pt idx="5">
                    <c:v>2019-20</c:v>
                  </c:pt>
                  <c:pt idx="6">
                    <c:v>2014-15</c:v>
                  </c:pt>
                  <c:pt idx="7">
                    <c:v> PBIs or HBCUs3</c:v>
                  </c:pt>
                  <c:pt idx="8">
                    <c:v>2019-20</c:v>
                  </c:pt>
                  <c:pt idx="9">
                    <c:v> PBIs or HBCUs3</c:v>
                  </c:pt>
                  <c:pt idx="10">
                    <c:v>2014-15</c:v>
                  </c:pt>
                  <c:pt idx="11">
                    <c:v>2019-20</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59'!$E$9:$P$9</c:f>
              <c:numCache>
                <c:formatCode>#,##0.0</c:formatCode>
                <c:ptCount val="12"/>
                <c:pt idx="0">
                  <c:v>53.311634018155765</c:v>
                </c:pt>
                <c:pt idx="1">
                  <c:v>59.63238780576242</c:v>
                </c:pt>
                <c:pt idx="2">
                  <c:v>54.004419493549925</c:v>
                </c:pt>
                <c:pt idx="3">
                  <c:v>57.710651828298886</c:v>
                </c:pt>
                <c:pt idx="4">
                  <c:v>1.4572384137601528</c:v>
                </c:pt>
                <c:pt idx="5">
                  <c:v>1.4196859398097788</c:v>
                </c:pt>
                <c:pt idx="6">
                  <c:v>10.504692981070063</c:v>
                </c:pt>
                <c:pt idx="7">
                  <c:v>25</c:v>
                </c:pt>
                <c:pt idx="8">
                  <c:v>10.784634124602633</c:v>
                </c:pt>
                <c:pt idx="9">
                  <c:v>26.225895316804408</c:v>
                </c:pt>
                <c:pt idx="10">
                  <c:v>8.3968018203078092</c:v>
                </c:pt>
                <c:pt idx="11">
                  <c:v>11.028253958822306</c:v>
                </c:pt>
              </c:numCache>
            </c:numRef>
          </c:val>
          <c:extLst>
            <c:ext xmlns:c16="http://schemas.microsoft.com/office/drawing/2014/chart" uri="{C3380CC4-5D6E-409C-BE32-E72D297353CC}">
              <c16:uniqueId val="{00000001-173B-41B6-945F-B5907898B82B}"/>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59'!$E$5:$P$7</c:f>
              <c:multiLvlStrCache>
                <c:ptCount val="12"/>
                <c:lvl>
                  <c:pt idx="0">
                    <c:v>2014-15</c:v>
                  </c:pt>
                  <c:pt idx="1">
                    <c:v>2019-20</c:v>
                  </c:pt>
                  <c:pt idx="2">
                    <c:v>2014-15</c:v>
                  </c:pt>
                  <c:pt idx="3">
                    <c:v>2019-20</c:v>
                  </c:pt>
                  <c:pt idx="4">
                    <c:v>2014-15</c:v>
                  </c:pt>
                  <c:pt idx="5">
                    <c:v>2019-20</c:v>
                  </c:pt>
                  <c:pt idx="6">
                    <c:v>2014-15</c:v>
                  </c:pt>
                  <c:pt idx="7">
                    <c:v> PBIs or HBCUs3</c:v>
                  </c:pt>
                  <c:pt idx="8">
                    <c:v>2019-20</c:v>
                  </c:pt>
                  <c:pt idx="9">
                    <c:v> PBIs or HBCUs3</c:v>
                  </c:pt>
                  <c:pt idx="10">
                    <c:v>2014-15</c:v>
                  </c:pt>
                  <c:pt idx="11">
                    <c:v>2019-20</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59'!$E$11:$P$11</c:f>
              <c:numCache>
                <c:formatCode>#,##0.0</c:formatCode>
                <c:ptCount val="12"/>
                <c:pt idx="0">
                  <c:v>73.494723774053384</c:v>
                </c:pt>
                <c:pt idx="1">
                  <c:v>67.918622848200314</c:v>
                </c:pt>
                <c:pt idx="2">
                  <c:v>63.749224084419623</c:v>
                </c:pt>
                <c:pt idx="3">
                  <c:v>64.945226917057909</c:v>
                </c:pt>
                <c:pt idx="4">
                  <c:v>0.62073246430788331</c:v>
                </c:pt>
                <c:pt idx="5">
                  <c:v>0.3129890453834116</c:v>
                </c:pt>
                <c:pt idx="6">
                  <c:v>13.171355498721226</c:v>
                </c:pt>
                <c:pt idx="7">
                  <c:v>29.61165048543689</c:v>
                </c:pt>
                <c:pt idx="8">
                  <c:v>13.705308775731313</c:v>
                </c:pt>
                <c:pt idx="9">
                  <c:v>19.367588932806324</c:v>
                </c:pt>
                <c:pt idx="10">
                  <c:v>2.2378516624040921</c:v>
                </c:pt>
                <c:pt idx="11">
                  <c:v>3.7919826652221018</c:v>
                </c:pt>
              </c:numCache>
            </c:numRef>
          </c:val>
          <c:extLst>
            <c:ext xmlns:c16="http://schemas.microsoft.com/office/drawing/2014/chart" uri="{C3380CC4-5D6E-409C-BE32-E72D297353CC}">
              <c16:uniqueId val="{00000002-173B-41B6-945F-B5907898B82B}"/>
            </c:ext>
          </c:extLst>
        </c:ser>
        <c:dLbls>
          <c:showLegendKey val="0"/>
          <c:showVal val="1"/>
          <c:showCatName val="0"/>
          <c:showSerName val="0"/>
          <c:showPercent val="0"/>
          <c:showBubbleSize val="0"/>
        </c:dLbls>
        <c:gapWidth val="150"/>
        <c:axId val="107337600"/>
        <c:axId val="107339136"/>
      </c:barChart>
      <c:catAx>
        <c:axId val="107337600"/>
        <c:scaling>
          <c:orientation val="minMax"/>
        </c:scaling>
        <c:delete val="0"/>
        <c:axPos val="b"/>
        <c:majorGridlines/>
        <c:numFmt formatCode="General" sourceLinked="0"/>
        <c:majorTickMark val="out"/>
        <c:minorTickMark val="none"/>
        <c:tickLblPos val="nextTo"/>
        <c:crossAx val="107339136"/>
        <c:crosses val="autoZero"/>
        <c:auto val="1"/>
        <c:lblAlgn val="ctr"/>
        <c:lblOffset val="100"/>
        <c:noMultiLvlLbl val="0"/>
      </c:catAx>
      <c:valAx>
        <c:axId val="107339136"/>
        <c:scaling>
          <c:orientation val="minMax"/>
        </c:scaling>
        <c:delete val="1"/>
        <c:axPos val="l"/>
        <c:numFmt formatCode="#,##0.0" sourceLinked="1"/>
        <c:majorTickMark val="out"/>
        <c:minorTickMark val="none"/>
        <c:tickLblPos val="none"/>
        <c:crossAx val="107337600"/>
        <c:crosses val="autoZero"/>
        <c:crossBetween val="between"/>
      </c:valAx>
    </c:plotArea>
    <c:legend>
      <c:legendPos val="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07BD-4050-BE9F-368D7E909758}"/>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1"/>
                      <c:pt idx="0">
                        <c:v>#REF!</c:v>
                      </c:pt>
                    </c:strCache>
                  </c:strRef>
                </c15:cat>
              </c15:filteredCategoryTitle>
            </c:ext>
            <c:ext xmlns:c16="http://schemas.microsoft.com/office/drawing/2014/chart" uri="{C3380CC4-5D6E-409C-BE32-E72D297353CC}">
              <c16:uniqueId val="{00000001-07BD-4050-BE9F-368D7E909758}"/>
            </c:ext>
          </c:extLst>
        </c:ser>
        <c:dLbls>
          <c:showLegendKey val="0"/>
          <c:showVal val="0"/>
          <c:showCatName val="0"/>
          <c:showSerName val="0"/>
          <c:showPercent val="0"/>
          <c:showBubbleSize val="0"/>
        </c:dLbls>
        <c:gapWidth val="150"/>
        <c:shape val="box"/>
        <c:axId val="107813504"/>
        <c:axId val="107819392"/>
        <c:axId val="0"/>
      </c:bar3DChart>
      <c:catAx>
        <c:axId val="107813504"/>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19392"/>
        <c:crosses val="autoZero"/>
        <c:auto val="1"/>
        <c:lblAlgn val="ctr"/>
        <c:lblOffset val="100"/>
        <c:tickLblSkip val="1"/>
        <c:tickMarkSkip val="1"/>
        <c:noMultiLvlLbl val="0"/>
      </c:catAx>
      <c:valAx>
        <c:axId val="107819392"/>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13504"/>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934A-4F20-8997-E3B898F78392}"/>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Gender!#REF!</c15:sqref>
                        </c15:formulaRef>
                      </c:ext>
                    </c:extLst>
                    <c:strCache>
                      <c:ptCount val="1"/>
                      <c:pt idx="0">
                        <c:v>#REF!</c:v>
                      </c:pt>
                    </c:strCache>
                  </c:strRef>
                </c15:cat>
              </c15:filteredCategoryTitle>
            </c:ext>
            <c:ext xmlns:c16="http://schemas.microsoft.com/office/drawing/2014/chart" uri="{C3380CC4-5D6E-409C-BE32-E72D297353CC}">
              <c16:uniqueId val="{00000001-934A-4F20-8997-E3B898F78392}"/>
            </c:ext>
          </c:extLst>
        </c:ser>
        <c:dLbls>
          <c:showLegendKey val="0"/>
          <c:showVal val="0"/>
          <c:showCatName val="0"/>
          <c:showSerName val="0"/>
          <c:showPercent val="0"/>
          <c:showBubbleSize val="0"/>
        </c:dLbls>
        <c:gapWidth val="150"/>
        <c:shape val="box"/>
        <c:axId val="107848448"/>
        <c:axId val="107849984"/>
        <c:axId val="0"/>
      </c:bar3DChart>
      <c:catAx>
        <c:axId val="107848448"/>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49984"/>
        <c:crosses val="autoZero"/>
        <c:auto val="1"/>
        <c:lblAlgn val="ctr"/>
        <c:lblOffset val="100"/>
        <c:tickLblSkip val="1"/>
        <c:tickMarkSkip val="1"/>
        <c:noMultiLvlLbl val="0"/>
      </c:catAx>
      <c:valAx>
        <c:axId val="107849984"/>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48448"/>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289" r="0.75000000000000289"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19</xdr:col>
      <xdr:colOff>203199</xdr:colOff>
      <xdr:row>3</xdr:row>
      <xdr:rowOff>77787</xdr:rowOff>
    </xdr:from>
    <xdr:to>
      <xdr:col>39</xdr:col>
      <xdr:colOff>76199</xdr:colOff>
      <xdr:row>40</xdr:row>
      <xdr:rowOff>71437</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457200</xdr:colOff>
      <xdr:row>1</xdr:row>
      <xdr:rowOff>57150</xdr:rowOff>
    </xdr:from>
    <xdr:to>
      <xdr:col>19</xdr:col>
      <xdr:colOff>123825</xdr:colOff>
      <xdr:row>11</xdr:row>
      <xdr:rowOff>24340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0925175" y="219075"/>
          <a:ext cx="1609725" cy="1853140"/>
        </a:xfrm>
        <a:prstGeom prst="wedgeEllipseCallout">
          <a:avLst>
            <a:gd name="adj1" fmla="val 92648"/>
            <a:gd name="adj2" fmla="val 5525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85</xdr:row>
      <xdr:rowOff>0</xdr:rowOff>
    </xdr:from>
    <xdr:to>
      <xdr:col>37</xdr:col>
      <xdr:colOff>0</xdr:colOff>
      <xdr:row>108</xdr:row>
      <xdr:rowOff>0</xdr:rowOff>
    </xdr:to>
    <xdr:graphicFrame macro="">
      <xdr:nvGraphicFramePr>
        <xdr:cNvPr id="1073" name="Chart 1">
          <a:extLst>
            <a:ext uri="{FF2B5EF4-FFF2-40B4-BE49-F238E27FC236}">
              <a16:creationId xmlns:a16="http://schemas.microsoft.com/office/drawing/2014/main" id="{00000000-0008-0000-0300-00003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37</xdr:col>
      <xdr:colOff>0</xdr:colOff>
      <xdr:row>113</xdr:row>
      <xdr:rowOff>0</xdr:rowOff>
    </xdr:from>
    <xdr:to>
      <xdr:col>37</xdr:col>
      <xdr:colOff>0</xdr:colOff>
      <xdr:row>134</xdr:row>
      <xdr:rowOff>0</xdr:rowOff>
    </xdr:to>
    <xdr:graphicFrame macro="">
      <xdr:nvGraphicFramePr>
        <xdr:cNvPr id="1074" name="Chart 2">
          <a:extLst>
            <a:ext uri="{FF2B5EF4-FFF2-40B4-BE49-F238E27FC236}">
              <a16:creationId xmlns:a16="http://schemas.microsoft.com/office/drawing/2014/main" id="{00000000-0008-0000-0300-00003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ld%20tables\old%20FB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temp"/>
      <sheetName val="Total 1st Prof"/>
      <sheetName val="Public"/>
      <sheetName val="Gender"/>
      <sheetName val="all race"/>
      <sheetName val="black"/>
      <sheetName val="other"/>
      <sheetName val="TABLE"/>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1.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1.vml"/><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comments" Target="../comments3.xml"/><Relationship Id="rId5" Type="http://schemas.openxmlformats.org/officeDocument/2006/relationships/hyperlink" Target="http://www.nces.ed.gov/" TargetMode="External"/><Relationship Id="rId10" Type="http://schemas.openxmlformats.org/officeDocument/2006/relationships/vmlDrawing" Target="../drawings/vmlDrawing3.vml"/><Relationship Id="rId4" Type="http://schemas.openxmlformats.org/officeDocument/2006/relationships/hyperlink" Target="http://www.nces.ed.gov/" TargetMode="External"/><Relationship Id="rId9"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hyperlink" Target="http://www.nces.ed.gov/" TargetMode="External"/><Relationship Id="rId7" Type="http://schemas.openxmlformats.org/officeDocument/2006/relationships/vmlDrawing" Target="../drawings/vmlDrawing5.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printerSettings" Target="../printerSettings/printerSettings4.bin"/><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5" Type="http://schemas.openxmlformats.org/officeDocument/2006/relationships/hyperlink" Target="http://www.nces.ed.gov/" TargetMode="External"/><Relationship Id="rId10" Type="http://schemas.openxmlformats.org/officeDocument/2006/relationships/comments" Target="../comments6.xml"/><Relationship Id="rId4" Type="http://schemas.openxmlformats.org/officeDocument/2006/relationships/hyperlink" Target="http://www.nces.ed.gov/" TargetMode="External"/><Relationship Id="rId9"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P73"/>
  <sheetViews>
    <sheetView showGridLines="0" tabSelected="1" view="pageBreakPreview" topLeftCell="A17" zoomScale="120" zoomScaleNormal="80" zoomScaleSheetLayoutView="120" workbookViewId="0">
      <selection activeCell="O74" sqref="O74"/>
    </sheetView>
  </sheetViews>
  <sheetFormatPr defaultColWidth="9.85546875" defaultRowHeight="12.6"/>
  <cols>
    <col min="1" max="1" width="7.140625" style="1" customWidth="1"/>
    <col min="2" max="2" width="12.85546875" style="1" customWidth="1"/>
    <col min="3" max="3" width="9" style="1" customWidth="1"/>
    <col min="4" max="4" width="10.85546875" style="1" customWidth="1"/>
    <col min="5" max="11" width="9" style="1" customWidth="1"/>
    <col min="12" max="12" width="14.28515625" style="1" customWidth="1"/>
    <col min="13" max="13" width="9" style="1" customWidth="1"/>
    <col min="14" max="14" width="14.42578125" style="1" customWidth="1"/>
    <col min="15" max="16" width="9" style="1" customWidth="1"/>
    <col min="17" max="16384" width="9.85546875" style="1"/>
  </cols>
  <sheetData>
    <row r="1" spans="1:16">
      <c r="A1" s="5" t="s">
        <v>0</v>
      </c>
      <c r="B1" s="12"/>
      <c r="C1" s="12"/>
      <c r="D1" s="12"/>
      <c r="E1" s="12"/>
      <c r="F1" s="12"/>
    </row>
    <row r="2" spans="1:16" ht="15" customHeight="1">
      <c r="A2" s="5" t="s">
        <v>1</v>
      </c>
      <c r="B2" s="12"/>
      <c r="C2" s="12"/>
      <c r="D2" s="12"/>
      <c r="E2" s="12"/>
      <c r="F2" s="12"/>
      <c r="G2" s="51"/>
    </row>
    <row r="3" spans="1:16">
      <c r="C3" s="12"/>
      <c r="D3" s="12"/>
    </row>
    <row r="4" spans="1:16" ht="12.75">
      <c r="A4" s="18"/>
      <c r="B4" s="18"/>
      <c r="C4" s="19" t="s">
        <v>2</v>
      </c>
      <c r="D4" s="20"/>
      <c r="E4" s="19" t="s">
        <v>3</v>
      </c>
      <c r="F4" s="19"/>
      <c r="G4" s="19"/>
      <c r="H4" s="19"/>
      <c r="I4" s="19"/>
      <c r="J4" s="19"/>
      <c r="K4" s="19"/>
      <c r="L4" s="19"/>
      <c r="M4" s="26"/>
      <c r="N4" s="19"/>
      <c r="O4" s="19"/>
      <c r="P4" s="19"/>
    </row>
    <row r="5" spans="1:16" ht="24.95" customHeight="1">
      <c r="A5" s="13"/>
      <c r="B5" s="13"/>
      <c r="C5" s="8"/>
      <c r="D5" s="25" t="s">
        <v>4</v>
      </c>
      <c r="E5" s="177" t="s">
        <v>5</v>
      </c>
      <c r="F5" s="178"/>
      <c r="G5" s="23" t="s">
        <v>6</v>
      </c>
      <c r="H5" s="37"/>
      <c r="I5" s="21" t="s">
        <v>7</v>
      </c>
      <c r="J5" s="37"/>
      <c r="K5" s="21" t="s">
        <v>8</v>
      </c>
      <c r="L5" s="22"/>
      <c r="M5" s="21"/>
      <c r="N5" s="163"/>
      <c r="O5" s="23" t="s">
        <v>9</v>
      </c>
      <c r="P5" s="19"/>
    </row>
    <row r="6" spans="1:16" ht="15" customHeight="1">
      <c r="A6" s="13"/>
      <c r="B6" s="13"/>
      <c r="C6" s="8"/>
      <c r="D6" s="99" t="s">
        <v>10</v>
      </c>
      <c r="G6" s="29"/>
      <c r="H6" s="28"/>
      <c r="I6" s="38"/>
      <c r="J6" s="28" t="s">
        <v>11</v>
      </c>
      <c r="K6" s="18"/>
      <c r="L6" s="113" t="s">
        <v>12</v>
      </c>
      <c r="M6" s="18" t="s">
        <v>11</v>
      </c>
      <c r="N6" s="113" t="s">
        <v>12</v>
      </c>
      <c r="O6" s="1" t="s">
        <v>11</v>
      </c>
      <c r="P6" s="1" t="s">
        <v>11</v>
      </c>
    </row>
    <row r="7" spans="1:16" ht="15" customHeight="1">
      <c r="A7" s="15"/>
      <c r="B7" s="15"/>
      <c r="C7" s="111" t="s">
        <v>13</v>
      </c>
      <c r="D7" s="111" t="s">
        <v>13</v>
      </c>
      <c r="E7" s="112" t="s">
        <v>14</v>
      </c>
      <c r="F7" s="111" t="s">
        <v>13</v>
      </c>
      <c r="G7" s="112" t="s">
        <v>14</v>
      </c>
      <c r="H7" s="111" t="s">
        <v>13</v>
      </c>
      <c r="I7" s="112" t="s">
        <v>14</v>
      </c>
      <c r="J7" s="111" t="s">
        <v>13</v>
      </c>
      <c r="K7" s="112" t="s">
        <v>14</v>
      </c>
      <c r="L7" s="146" t="s">
        <v>15</v>
      </c>
      <c r="M7" s="111" t="s">
        <v>13</v>
      </c>
      <c r="N7" s="164" t="s">
        <v>15</v>
      </c>
      <c r="O7" s="112" t="s">
        <v>14</v>
      </c>
      <c r="P7" s="111" t="s">
        <v>13</v>
      </c>
    </row>
    <row r="8" spans="1:16" s="31" customFormat="1" ht="13.5" customHeight="1">
      <c r="A8" s="30" t="s">
        <v>16</v>
      </c>
      <c r="B8" s="30"/>
      <c r="C8" s="30">
        <f>+'Total 1st Prof'!BA4</f>
        <v>114081</v>
      </c>
      <c r="D8" s="62">
        <f>+(('Total 1st Prof'!BA4-'Total 1st Prof'!AV4)/'Total 1st Prof'!AV4)*100</f>
        <v>5.7049405136948224</v>
      </c>
      <c r="E8" s="63">
        <f>+(Public!Y4/'Total 1st Prof'!AV4)*100</f>
        <v>40.948259886586854</v>
      </c>
      <c r="F8" s="62">
        <f>+(Public!AD4/'Total 1st Prof'!BA4)*100</f>
        <v>43.969635609786032</v>
      </c>
      <c r="G8" s="63">
        <f>+(Gender!CT4/'Total 1st Prof'!AV4)*100</f>
        <v>53.874022460249805</v>
      </c>
      <c r="H8" s="62">
        <f>+(Gender!CY4/'Total 1st Prof'!BA4)*100</f>
        <v>57.550337041225099</v>
      </c>
      <c r="I8" s="63">
        <f>+('Hispanic &amp; Non-resident'!BB4/'Total 1st Prof'!AV4)*100</f>
        <v>2.7649086394129201</v>
      </c>
      <c r="J8" s="62">
        <f>+('Hispanic &amp; Non-resident'!BG4/'Total 1st Prof'!BA4)*100</f>
        <v>2.9216083309227656</v>
      </c>
      <c r="K8" s="66">
        <f>+(black!AD4/'all race'!AD4)*100</f>
        <v>7.1729785890357931</v>
      </c>
      <c r="L8" s="148">
        <f>+(black!CB4/black!AD4)*100</f>
        <v>16.28798636750923</v>
      </c>
      <c r="M8" s="63">
        <f>+(black!AI4/'all race'!AI4)*100</f>
        <v>7.6703214767089509</v>
      </c>
      <c r="N8" s="62">
        <f>+(black!CG4/black!AI4)*100</f>
        <v>15.927218344965105</v>
      </c>
      <c r="O8" s="63">
        <f>+('Hispanic &amp; Non-resident'!Y4/'all race'!AD4)*100</f>
        <v>7.3247499337910238</v>
      </c>
      <c r="P8" s="63">
        <f>+('Hispanic &amp; Non-resident'!AD4/'all race'!AI4)*100</f>
        <v>9.2973014310158586</v>
      </c>
    </row>
    <row r="9" spans="1:16" s="31" customFormat="1" ht="13.5" customHeight="1">
      <c r="A9" s="32" t="s">
        <v>17</v>
      </c>
      <c r="B9" s="32"/>
      <c r="C9" s="32">
        <f>+'Total 1st Prof'!BA5</f>
        <v>35853</v>
      </c>
      <c r="D9" s="65">
        <f>+(('Total 1st Prof'!BA5-'Total 1st Prof'!AV5)/'Total 1st Prof'!AV5)*100</f>
        <v>7.0622312470138562</v>
      </c>
      <c r="E9" s="66">
        <f>+(Public!Y5/'Total 1st Prof'!AV5)*100</f>
        <v>53.311634018155765</v>
      </c>
      <c r="F9" s="65">
        <f>+(Public!AD5/'Total 1st Prof'!BA5)*100</f>
        <v>59.63238780576242</v>
      </c>
      <c r="G9" s="66">
        <f>+(Gender!CT5/'Total 1st Prof'!AV5)*100</f>
        <v>54.004419493549925</v>
      </c>
      <c r="H9" s="65">
        <f>+(Gender!CY5/'Total 1st Prof'!BA5)*100</f>
        <v>57.710651828298886</v>
      </c>
      <c r="I9" s="66">
        <f>+('Hispanic &amp; Non-resident'!BB5/'Total 1st Prof'!AV5)*100</f>
        <v>1.4572384137601528</v>
      </c>
      <c r="J9" s="66">
        <f>+('Hispanic &amp; Non-resident'!BG5/'Total 1st Prof'!BA5)*100</f>
        <v>1.4196859398097788</v>
      </c>
      <c r="K9" s="147">
        <f>+(black!AD5/'all race'!AD5)*100</f>
        <v>10.504692981070063</v>
      </c>
      <c r="L9" s="148">
        <f>+(black!CB5/black!AD5)*100</f>
        <v>25</v>
      </c>
      <c r="M9" s="66">
        <f>+(black!AI5/'all race'!AI5)*100</f>
        <v>10.784634124602633</v>
      </c>
      <c r="N9" s="65">
        <f>+(black!CG5/black!AI5)*100</f>
        <v>26.225895316804408</v>
      </c>
      <c r="O9" s="66">
        <f>+('Hispanic &amp; Non-resident'!Y5/'all race'!AD5)*100</f>
        <v>8.3968018203078092</v>
      </c>
      <c r="P9" s="66">
        <f>+('Hispanic &amp; Non-resident'!AD5/'all race'!AI5)*100</f>
        <v>11.028253958822306</v>
      </c>
    </row>
    <row r="10" spans="1:16">
      <c r="A10" s="32" t="s">
        <v>18</v>
      </c>
      <c r="B10" s="32"/>
      <c r="C10" s="66">
        <f>+'Total 1st Prof'!BA6</f>
        <v>31.427669813553528</v>
      </c>
      <c r="D10" s="65"/>
      <c r="E10" s="66"/>
      <c r="F10" s="65"/>
      <c r="G10" s="66"/>
      <c r="H10" s="65"/>
      <c r="I10" s="66"/>
      <c r="J10" s="66"/>
      <c r="K10" s="149"/>
      <c r="L10" s="150">
        <f>+(black!CB6/black!AD6)*100</f>
        <v>153.487358326068</v>
      </c>
      <c r="M10" s="66"/>
      <c r="N10" s="65"/>
      <c r="O10" s="66"/>
      <c r="P10" s="66"/>
    </row>
    <row r="11" spans="1:16">
      <c r="A11" s="33" t="s">
        <v>19</v>
      </c>
      <c r="B11" s="33"/>
      <c r="C11" s="33">
        <f>+'Total 1st Prof'!BA7</f>
        <v>1917</v>
      </c>
      <c r="D11" s="67">
        <f>+(('Total 1st Prof'!BA7-'Total 1st Prof'!AV7)/'Total 1st Prof'!AV7)*100</f>
        <v>18.994413407821227</v>
      </c>
      <c r="E11" s="68">
        <f>+(Public!Y7/'Total 1st Prof'!AV7)*100</f>
        <v>73.494723774053384</v>
      </c>
      <c r="F11" s="67">
        <f>+(Public!AD7/'Total 1st Prof'!BA7)*100</f>
        <v>67.918622848200314</v>
      </c>
      <c r="G11" s="68">
        <f>+(Gender!CT7/'Total 1st Prof'!AV7)*100</f>
        <v>63.749224084419623</v>
      </c>
      <c r="H11" s="67">
        <f>+(Gender!CY7/'Total 1st Prof'!BA7)*100</f>
        <v>64.945226917057909</v>
      </c>
      <c r="I11" s="68">
        <f>+('Hispanic &amp; Non-resident'!BB7/'Total 1st Prof'!AV7)*100</f>
        <v>0.62073246430788331</v>
      </c>
      <c r="J11" s="68">
        <f>+('Hispanic &amp; Non-resident'!BG7/'Total 1st Prof'!BA7)*100</f>
        <v>0.3129890453834116</v>
      </c>
      <c r="K11" s="151">
        <f>+(black!AD7/'all race'!AD7)*100</f>
        <v>13.171355498721226</v>
      </c>
      <c r="L11" s="153">
        <f>+(black!CB7/black!AD7)*100</f>
        <v>29.61165048543689</v>
      </c>
      <c r="M11" s="68">
        <f>+(black!AI7/'all race'!AI7)*100</f>
        <v>13.705308775731313</v>
      </c>
      <c r="N11" s="67">
        <f>+(black!CG7/black!AI7)*100</f>
        <v>19.367588932806324</v>
      </c>
      <c r="O11" s="68">
        <f>+('Hispanic &amp; Non-resident'!Y7/'all race'!AD7)*100</f>
        <v>2.2378516624040921</v>
      </c>
      <c r="P11" s="68">
        <f>+('Hispanic &amp; Non-resident'!AD7/'all race'!AI7)*100</f>
        <v>3.7919826652221018</v>
      </c>
    </row>
    <row r="12" spans="1:16">
      <c r="A12" s="33" t="s">
        <v>20</v>
      </c>
      <c r="B12" s="33"/>
      <c r="C12" s="33">
        <f>+'Total 1st Prof'!BA8</f>
        <v>768</v>
      </c>
      <c r="D12" s="67">
        <f>+(('Total 1st Prof'!BA8-'Total 1st Prof'!AV8)/'Total 1st Prof'!AV8)*100</f>
        <v>13.441654357459379</v>
      </c>
      <c r="E12" s="68">
        <f>+(Public!Y8/'Total 1st Prof'!AV8)*100</f>
        <v>89.807976366322009</v>
      </c>
      <c r="F12" s="67">
        <f>+(Public!AD8/'Total 1st Prof'!BA8)*100</f>
        <v>89.322916666666657</v>
      </c>
      <c r="G12" s="68">
        <f>+(Gender!CT8/'Total 1st Prof'!AV8)*100</f>
        <v>47.858197932053173</v>
      </c>
      <c r="H12" s="67">
        <f>+(Gender!CY8/'Total 1st Prof'!BA8)*100</f>
        <v>55.859375</v>
      </c>
      <c r="I12" s="68">
        <f>+('Hispanic &amp; Non-resident'!BB8/'Total 1st Prof'!AV8)*100</f>
        <v>0.59084194977843429</v>
      </c>
      <c r="J12" s="68">
        <f>+('Hispanic &amp; Non-resident'!BG8/'Total 1st Prof'!BA8)*100</f>
        <v>0.26041666666666663</v>
      </c>
      <c r="K12" s="151">
        <f>+(black!AD8/'all race'!AD8)*100</f>
        <v>6.1469265367316339</v>
      </c>
      <c r="L12" s="153">
        <f>+(black!CB8/black!AD8)*100</f>
        <v>0</v>
      </c>
      <c r="M12" s="68">
        <f>+(black!AI8/'all race'!AI8)*100</f>
        <v>5.6282722513088999</v>
      </c>
      <c r="N12" s="67">
        <f>+(black!CG8/black!AI8)*100</f>
        <v>0</v>
      </c>
      <c r="O12" s="68">
        <f>+('Hispanic &amp; Non-resident'!Y8/'all race'!AD8)*100</f>
        <v>2.8485757121439281</v>
      </c>
      <c r="P12" s="68">
        <f>+('Hispanic &amp; Non-resident'!AD8/'all race'!AI8)*100</f>
        <v>3.9267015706806281</v>
      </c>
    </row>
    <row r="13" spans="1:16">
      <c r="A13" s="33" t="s">
        <v>21</v>
      </c>
      <c r="B13" s="33"/>
      <c r="C13" s="33">
        <f>+'Total 1st Prof'!BA9</f>
        <v>65</v>
      </c>
      <c r="D13" s="67">
        <f>+(('Total 1st Prof'!BA9-'Total 1st Prof'!AV9)/'Total 1st Prof'!AV9)*100</f>
        <v>-68.59903381642512</v>
      </c>
      <c r="E13" s="68">
        <f>+(Public!Y9/'Total 1st Prof'!AV9)*100</f>
        <v>17.874396135265698</v>
      </c>
      <c r="F13" s="67">
        <f>+(Public!AD9/'Total 1st Prof'!BA9)*100</f>
        <v>100</v>
      </c>
      <c r="G13" s="68">
        <f>+(Gender!CT9/'Total 1st Prof'!AV9)*100</f>
        <v>52.657004830917877</v>
      </c>
      <c r="H13" s="67">
        <f>+(Gender!CY9/'Total 1st Prof'!BA9)*100</f>
        <v>66.153846153846146</v>
      </c>
      <c r="I13" s="68">
        <f>+('Hispanic &amp; Non-resident'!BB9/'Total 1st Prof'!AV9)*100</f>
        <v>0.48309178743961351</v>
      </c>
      <c r="J13" s="68">
        <f>+('Hispanic &amp; Non-resident'!BG9/'Total 1st Prof'!BA9)*100</f>
        <v>1.5384615384615385</v>
      </c>
      <c r="K13" s="151">
        <f>+(black!AD9/'all race'!AD9)*100</f>
        <v>8.8669950738916263</v>
      </c>
      <c r="L13" s="153">
        <f>+(black!CB9/black!AD9)*100</f>
        <v>0</v>
      </c>
      <c r="M13" s="68">
        <f>+(black!AI9/'all race'!AI9)*100</f>
        <v>6.25</v>
      </c>
      <c r="N13" s="67">
        <f>+(black!CG9/black!AI9)*100</f>
        <v>0</v>
      </c>
      <c r="O13" s="68">
        <f>+('Hispanic &amp; Non-resident'!Y9/'all race'!AD9)*100</f>
        <v>3.4482758620689653</v>
      </c>
      <c r="P13" s="68">
        <f>+('Hispanic &amp; Non-resident'!AD9/'all race'!AI9)*100</f>
        <v>1.5625</v>
      </c>
    </row>
    <row r="14" spans="1:16">
      <c r="A14" s="33" t="s">
        <v>22</v>
      </c>
      <c r="B14" s="33"/>
      <c r="C14" s="33">
        <f>+'Total 1st Prof'!BA10</f>
        <v>5706</v>
      </c>
      <c r="D14" s="67">
        <f>+(('Total 1st Prof'!BA10-'Total 1st Prof'!AV10)/'Total 1st Prof'!AV10)*100</f>
        <v>-3.9070394072078143</v>
      </c>
      <c r="E14" s="68">
        <f>+(Public!Y10/'Total 1st Prof'!AV10)*100</f>
        <v>45.453014482990909</v>
      </c>
      <c r="F14" s="67">
        <f>+(Public!AD10/'Total 1st Prof'!BA10)*100</f>
        <v>52.330879775674731</v>
      </c>
      <c r="G14" s="68">
        <f>+(Gender!CT10/'Total 1st Prof'!AV10)*100</f>
        <v>55.490063994610985</v>
      </c>
      <c r="H14" s="67">
        <f>+(Gender!CY10/'Total 1st Prof'!BA10)*100</f>
        <v>59.516298633017875</v>
      </c>
      <c r="I14" s="68">
        <f>+('Hispanic &amp; Non-resident'!BB10/'Total 1st Prof'!AV10)*100</f>
        <v>2.2398113843044798</v>
      </c>
      <c r="J14" s="68">
        <f>+('Hispanic &amp; Non-resident'!BG10/'Total 1st Prof'!BA10)*100</f>
        <v>2.138100245355766</v>
      </c>
      <c r="K14" s="151">
        <f>+(black!AD10/'all race'!AD10)*100</f>
        <v>12.259130115617545</v>
      </c>
      <c r="L14" s="153">
        <f>+(black!CB10/black!AD10)*100</f>
        <v>33.682634730538922</v>
      </c>
      <c r="M14" s="68">
        <f>+(black!AI10/'all race'!AI10)*100</f>
        <v>11.02274828925467</v>
      </c>
      <c r="N14" s="67">
        <f>+(black!CG10/black!AI10)*100</f>
        <v>27.684563758389263</v>
      </c>
      <c r="O14" s="68">
        <f>+('Hispanic &amp; Non-resident'!Y10/'all race'!AD10)*100</f>
        <v>18.608919067718848</v>
      </c>
      <c r="P14" s="68">
        <f>+('Hispanic &amp; Non-resident'!AD10/'all race'!AI10)*100</f>
        <v>24.634732753837618</v>
      </c>
    </row>
    <row r="15" spans="1:16">
      <c r="A15" s="32" t="s">
        <v>23</v>
      </c>
      <c r="B15" s="32"/>
      <c r="C15" s="32">
        <f>+'Total 1st Prof'!BA11</f>
        <v>2824</v>
      </c>
      <c r="D15" s="65">
        <f>+(('Total 1st Prof'!AB11-'Total 1st Prof'!AV11)/'Total 1st Prof'!AV11)*100</f>
        <v>-22.808988764044944</v>
      </c>
      <c r="E15" s="66">
        <f>+(Public!Y11/'Total 1st Prof'!AV11)*100</f>
        <v>40.823970037453186</v>
      </c>
      <c r="F15" s="65">
        <f>+(Public!AD11/'Total 1st Prof'!BA11)*100</f>
        <v>40.97025495750708</v>
      </c>
      <c r="G15" s="66">
        <f>+(Gender!CT11/'Total 1st Prof'!AV11)*100</f>
        <v>54.531835205992508</v>
      </c>
      <c r="H15" s="65">
        <f>+(Gender!CY11/'Total 1st Prof'!BA11)*100</f>
        <v>56.869688385269122</v>
      </c>
      <c r="I15" s="66">
        <f>+('Hispanic &amp; Non-resident'!BB11/'Total 1st Prof'!AV11)*100</f>
        <v>1.6853932584269662</v>
      </c>
      <c r="J15" s="66">
        <f>+('Hispanic &amp; Non-resident'!BG11/'Total 1st Prof'!BA11)*100</f>
        <v>2.726628895184136</v>
      </c>
      <c r="K15" s="149">
        <f>+(black!AD11/'all race'!AD11)*100</f>
        <v>14.037168841439303</v>
      </c>
      <c r="L15" s="150">
        <f>+(black!CB11/black!AD11)*100</f>
        <v>14.084507042253522</v>
      </c>
      <c r="M15" s="66">
        <f>+(black!AI11/'all race'!AI11)*100</f>
        <v>14.510686164229472</v>
      </c>
      <c r="N15" s="65">
        <f>+(black!CG11/black!AI11)*100</f>
        <v>19.12144702842377</v>
      </c>
      <c r="O15" s="66">
        <f>+('Hispanic &amp; Non-resident'!Y11/'all race'!AD11)*100</f>
        <v>4.7844998022933964</v>
      </c>
      <c r="P15" s="66">
        <f>+('Hispanic &amp; Non-resident'!AD11/'all race'!AI11)*100</f>
        <v>8.5489313835770542</v>
      </c>
    </row>
    <row r="16" spans="1:16">
      <c r="A16" s="32" t="s">
        <v>24</v>
      </c>
      <c r="B16" s="32"/>
      <c r="C16" s="32">
        <f>+'Total 1st Prof'!BA12</f>
        <v>1679</v>
      </c>
      <c r="D16" s="65">
        <f>+(('Total 1st Prof'!AB12-'Total 1st Prof'!AV12)/'Total 1st Prof'!AV12)*100</f>
        <v>-15.832710978342046</v>
      </c>
      <c r="E16" s="66">
        <f>+(Public!Y12/'Total 1st Prof'!AV12)*100</f>
        <v>81.030619865571325</v>
      </c>
      <c r="F16" s="65">
        <f>+(Public!AD12/'Total 1st Prof'!BA12)*100</f>
        <v>78.737343656938648</v>
      </c>
      <c r="G16" s="66">
        <f>+(Gender!CT12/'Total 1st Prof'!AV12)*100</f>
        <v>51.456310679611647</v>
      </c>
      <c r="H16" s="65">
        <f>+(Gender!CY12/'Total 1st Prof'!BA12)*100</f>
        <v>57.653365098272779</v>
      </c>
      <c r="I16" s="66">
        <f>+('Hispanic &amp; Non-resident'!BB12/'Total 1st Prof'!AV12)*100</f>
        <v>1.1202389843166543</v>
      </c>
      <c r="J16" s="66">
        <f>+('Hispanic &amp; Non-resident'!BG12/'Total 1st Prof'!BA12)*100</f>
        <v>0.59559261465157831</v>
      </c>
      <c r="K16" s="149">
        <f>+(black!AD12/'all race'!AD12)*100</f>
        <v>3.9184952978056429</v>
      </c>
      <c r="L16" s="150">
        <f>+(black!CB12/black!AD12)*100</f>
        <v>0</v>
      </c>
      <c r="M16" s="66">
        <f>+(black!AI12/'all race'!AI12)*100</f>
        <v>5.4341036851967521</v>
      </c>
      <c r="N16" s="65">
        <f>+(black!CG12/black!AI12)*100</f>
        <v>1.1494252873563218</v>
      </c>
      <c r="O16" s="66">
        <f>+('Hispanic &amp; Non-resident'!Y12/'all race'!AD12)*100</f>
        <v>1.6457680250783697</v>
      </c>
      <c r="P16" s="66">
        <f>+('Hispanic &amp; Non-resident'!AD12/'all race'!AI12)*100</f>
        <v>2.9356652092442226</v>
      </c>
    </row>
    <row r="17" spans="1:16">
      <c r="A17" s="32" t="s">
        <v>25</v>
      </c>
      <c r="B17" s="32"/>
      <c r="C17" s="32">
        <f>+'Total 1st Prof'!BA13</f>
        <v>1809</v>
      </c>
      <c r="D17" s="65">
        <f>+(('Total 1st Prof'!AB13-'Total 1st Prof'!AV13)/'Total 1st Prof'!AV13)*100</f>
        <v>-7.8947368421052628</v>
      </c>
      <c r="E17" s="66">
        <f>+(Public!Y13/'Total 1st Prof'!AV13)*100</f>
        <v>55.756578947368418</v>
      </c>
      <c r="F17" s="65">
        <f>+(Public!AD13/'Total 1st Prof'!BA13)*100</f>
        <v>58.043117744610285</v>
      </c>
      <c r="G17" s="66">
        <f>+(Gender!CT13/'Total 1st Prof'!AV13)*100</f>
        <v>52.467105263157897</v>
      </c>
      <c r="H17" s="65">
        <f>+(Gender!CY13/'Total 1st Prof'!BA13)*100</f>
        <v>58.208955223880601</v>
      </c>
      <c r="I17" s="66">
        <f>+('Hispanic &amp; Non-resident'!BB13/'Total 1st Prof'!AV13)*100</f>
        <v>1.3706140350877192</v>
      </c>
      <c r="J17" s="66">
        <f>+('Hispanic &amp; Non-resident'!BG13/'Total 1st Prof'!BA13)*100</f>
        <v>0.99502487562189057</v>
      </c>
      <c r="K17" s="149">
        <f>+(black!AD13/'all race'!AD13)*100</f>
        <v>16.152968036529678</v>
      </c>
      <c r="L17" s="150">
        <f>+(black!CB13/black!AD13)*100</f>
        <v>21.554770318021202</v>
      </c>
      <c r="M17" s="66">
        <f>+(black!AI13/'all race'!AI13)*100</f>
        <v>15.852272727272727</v>
      </c>
      <c r="N17" s="65">
        <f>+(black!CG13/black!AI13)*100</f>
        <v>53.405017921146957</v>
      </c>
      <c r="O17" s="66">
        <f>+('Hispanic &amp; Non-resident'!Y13/'all race'!AD13)*100</f>
        <v>4.737442922374429</v>
      </c>
      <c r="P17" s="66">
        <f>+('Hispanic &amp; Non-resident'!AD13/'all race'!AI13)*100</f>
        <v>5.1136363636363642</v>
      </c>
    </row>
    <row r="18" spans="1:16">
      <c r="A18" s="32" t="s">
        <v>26</v>
      </c>
      <c r="B18" s="32"/>
      <c r="C18" s="32">
        <f>+'Total 1st Prof'!BA14</f>
        <v>1427</v>
      </c>
      <c r="D18" s="65">
        <f>+(('Total 1st Prof'!AB14-'Total 1st Prof'!AV14)/'Total 1st Prof'!AV14)*100</f>
        <v>-32.181571815718158</v>
      </c>
      <c r="E18" s="66">
        <f>+(Public!Y14/'Total 1st Prof'!AV14)*100</f>
        <v>85.027100271002709</v>
      </c>
      <c r="F18" s="65">
        <f>+(Public!AD14/'Total 1st Prof'!BA14)*100</f>
        <v>81.779957953749133</v>
      </c>
      <c r="G18" s="66">
        <f>+(Gender!CT14/'Total 1st Prof'!AV14)*100</f>
        <v>57.588075880758808</v>
      </c>
      <c r="H18" s="65">
        <f>+(Gender!CY14/'Total 1st Prof'!BA14)*100</f>
        <v>62.088297126839521</v>
      </c>
      <c r="I18" s="66">
        <f>+('Hispanic &amp; Non-resident'!BB14/'Total 1st Prof'!AV14)*100</f>
        <v>1.8970189701897018</v>
      </c>
      <c r="J18" s="66">
        <f>+('Hispanic &amp; Non-resident'!BG14/'Total 1st Prof'!BA14)*100</f>
        <v>1.8920812894183601</v>
      </c>
      <c r="K18" s="149">
        <f>+(black!AD14/'all race'!AD14)*100</f>
        <v>12.742980561555076</v>
      </c>
      <c r="L18" s="150">
        <f>+(black!CB14/black!AD14)*100</f>
        <v>13.559322033898304</v>
      </c>
      <c r="M18" s="66">
        <f>+(black!AI14/'all race'!AI14)*100</f>
        <v>16.480238627889634</v>
      </c>
      <c r="N18" s="65">
        <f>+(black!CG14/black!AI14)*100</f>
        <v>29.411764705882355</v>
      </c>
      <c r="O18" s="66">
        <f>+('Hispanic &amp; Non-resident'!Y14/'all race'!AD14)*100</f>
        <v>5.759539236861051</v>
      </c>
      <c r="P18" s="66">
        <f>+('Hispanic &amp; Non-resident'!AD14/'all race'!AI14)*100</f>
        <v>5.9656972408650262</v>
      </c>
    </row>
    <row r="19" spans="1:16">
      <c r="A19" s="33" t="s">
        <v>27</v>
      </c>
      <c r="B19" s="33"/>
      <c r="C19" s="33">
        <f>+'Total 1st Prof'!BA15</f>
        <v>785</v>
      </c>
      <c r="D19" s="67">
        <f>+(('Total 1st Prof'!BA15-'Total 1st Prof'!AV15)/'Total 1st Prof'!AV15)*100</f>
        <v>9.0277777777777768</v>
      </c>
      <c r="E19" s="68">
        <f>+(Public!Y15/'Total 1st Prof'!AV15)*100</f>
        <v>69.027777777777771</v>
      </c>
      <c r="F19" s="67">
        <f>+(Public!AD15/'Total 1st Prof'!BA15)*100</f>
        <v>69.42675159235668</v>
      </c>
      <c r="G19" s="68">
        <f>+(Gender!CT15/'Total 1st Prof'!AV15)*100</f>
        <v>51.94444444444445</v>
      </c>
      <c r="H19" s="67">
        <f>+(Gender!CY15/'Total 1st Prof'!BA15)*100</f>
        <v>55.541401273885349</v>
      </c>
      <c r="I19" s="68">
        <f>+('Hispanic &amp; Non-resident'!BB15/'Total 1st Prof'!AV15)*100</f>
        <v>1.1111111111111112</v>
      </c>
      <c r="J19" s="68">
        <f>+('Hispanic &amp; Non-resident'!BG15/'Total 1st Prof'!BA15)*100</f>
        <v>0.50955414012738853</v>
      </c>
      <c r="K19" s="151">
        <f>+(black!AD15/'all race'!AD15)*100</f>
        <v>10.888252148997136</v>
      </c>
      <c r="L19" s="153">
        <f>+(black!CB15/black!AD15)*100</f>
        <v>0</v>
      </c>
      <c r="M19" s="68">
        <f>+(black!AI15/'all race'!AI15)*100</f>
        <v>10.663198959687907</v>
      </c>
      <c r="N19" s="67">
        <f>+(black!CG15/black!AI15)*100</f>
        <v>1.2195121951219512</v>
      </c>
      <c r="O19" s="68">
        <f>+('Hispanic &amp; Non-resident'!Y15/'all race'!AD15)*100</f>
        <v>1.5759312320916905</v>
      </c>
      <c r="P19" s="68">
        <f>+('Hispanic &amp; Non-resident'!AD15/'all race'!AI15)*100</f>
        <v>4.031209362808843</v>
      </c>
    </row>
    <row r="20" spans="1:16">
      <c r="A20" s="33" t="s">
        <v>28</v>
      </c>
      <c r="B20" s="33"/>
      <c r="C20" s="33">
        <f>+'Total 1st Prof'!BA16</f>
        <v>2745</v>
      </c>
      <c r="D20" s="67">
        <f>+(('Total 1st Prof'!BA16-'Total 1st Prof'!AV16)/'Total 1st Prof'!AV16)*100</f>
        <v>2.5018670649738608</v>
      </c>
      <c r="E20" s="68">
        <f>+(Public!Y16/'Total 1st Prof'!AV16)*100</f>
        <v>44.398805078416729</v>
      </c>
      <c r="F20" s="67">
        <f>+(Public!AD16/'Total 1st Prof'!BA16)*100</f>
        <v>47.832422586520948</v>
      </c>
      <c r="G20" s="68">
        <f>+(Gender!CT16/'Total 1st Prof'!AV16)*100</f>
        <v>54.443614637789395</v>
      </c>
      <c r="H20" s="67">
        <f>+(Gender!CY16/'Total 1st Prof'!BA16)*100</f>
        <v>58.943533697632056</v>
      </c>
      <c r="I20" s="68">
        <f>+('Hispanic &amp; Non-resident'!BB16/'Total 1st Prof'!AV16)*100</f>
        <v>1.2322628827483197</v>
      </c>
      <c r="J20" s="68">
        <f>+('Hispanic &amp; Non-resident'!BG16/'Total 1st Prof'!BA16)*100</f>
        <v>1.9307832422586522</v>
      </c>
      <c r="K20" s="151">
        <f>+(black!AD16/'all race'!AD16)*100</f>
        <v>14.331210191082802</v>
      </c>
      <c r="L20" s="153">
        <f>+(black!CB16/black!AD16)*100</f>
        <v>26.388888888888889</v>
      </c>
      <c r="M20" s="68">
        <f>+(black!AI16/'all race'!AI16)*100</f>
        <v>12.69276393831554</v>
      </c>
      <c r="N20" s="67">
        <f>+(black!CG16/black!AI16)*100</f>
        <v>24.610591900311526</v>
      </c>
      <c r="O20" s="68">
        <f>+('Hispanic &amp; Non-resident'!Y16/'all race'!AD16)*100</f>
        <v>5.095541401273886</v>
      </c>
      <c r="P20" s="68">
        <f>+('Hispanic &amp; Non-resident'!AD16/'all race'!AI16)*100</f>
        <v>4.9822064056939501</v>
      </c>
    </row>
    <row r="21" spans="1:16">
      <c r="A21" s="33" t="s">
        <v>29</v>
      </c>
      <c r="B21" s="33"/>
      <c r="C21" s="33">
        <f>+'Total 1st Prof'!BA17</f>
        <v>1112</v>
      </c>
      <c r="D21" s="67">
        <f>+(('Total 1st Prof'!BA17-'Total 1st Prof'!AV17)/'Total 1st Prof'!AV17)*100</f>
        <v>2.6777469990766392</v>
      </c>
      <c r="E21" s="68">
        <f>+(Public!Y17/'Total 1st Prof'!AV17)*100</f>
        <v>78.94736842105263</v>
      </c>
      <c r="F21" s="67">
        <f>+(Public!AD17/'Total 1st Prof'!BA17)*100</f>
        <v>78.057553956834539</v>
      </c>
      <c r="G21" s="68">
        <f>+(Gender!CT17/'Total 1st Prof'!AV17)*100</f>
        <v>50.507848568790394</v>
      </c>
      <c r="H21" s="67">
        <f>+(Gender!CY17/'Total 1st Prof'!BA17)*100</f>
        <v>56.564748201438853</v>
      </c>
      <c r="I21" s="68">
        <f>+('Hispanic &amp; Non-resident'!BB17/'Total 1st Prof'!AV17)*100</f>
        <v>0.64635272391505072</v>
      </c>
      <c r="J21" s="68">
        <f>+('Hispanic &amp; Non-resident'!BG17/'Total 1st Prof'!BA17)*100</f>
        <v>0.89928057553956831</v>
      </c>
      <c r="K21" s="151">
        <f>+(black!AD17/'all race'!AD17)*100</f>
        <v>2.277227722772277</v>
      </c>
      <c r="L21" s="153">
        <f>+(black!CB17/black!AD17)*100</f>
        <v>26.086956521739129</v>
      </c>
      <c r="M21" s="68">
        <f>+(black!AI17/'all race'!AI17)*100</f>
        <v>3.7810945273631837</v>
      </c>
      <c r="N21" s="67">
        <f>+(black!CG17/black!AI17)*100</f>
        <v>5.2631578947368416</v>
      </c>
      <c r="O21" s="68">
        <f>+('Hispanic &amp; Non-resident'!Y17/'all race'!AD17)*100</f>
        <v>4.3564356435643559</v>
      </c>
      <c r="P21" s="68">
        <f>+('Hispanic &amp; Non-resident'!AD17/'all race'!AI17)*100</f>
        <v>6.8656716417910451</v>
      </c>
    </row>
    <row r="22" spans="1:16">
      <c r="A22" s="33" t="s">
        <v>30</v>
      </c>
      <c r="B22" s="33"/>
      <c r="C22" s="33">
        <f>+'Total 1st Prof'!BA18</f>
        <v>1221</v>
      </c>
      <c r="D22" s="67">
        <f>+(('Total 1st Prof'!BA18-'Total 1st Prof'!AV18)/'Total 1st Prof'!AV18)*100</f>
        <v>19.35483870967742</v>
      </c>
      <c r="E22" s="68">
        <f>+(Public!Y18/'Total 1st Prof'!AV18)*100</f>
        <v>68.523949169110452</v>
      </c>
      <c r="F22" s="67">
        <f>+(Public!AD18/'Total 1st Prof'!BA18)*100</f>
        <v>67.158067158067155</v>
      </c>
      <c r="G22" s="68">
        <f>+(Gender!CT18/'Total 1st Prof'!AV18)*100</f>
        <v>50.733137829912025</v>
      </c>
      <c r="H22" s="67">
        <f>+(Gender!CY18/'Total 1st Prof'!BA18)*100</f>
        <v>54.135954135954137</v>
      </c>
      <c r="I22" s="68">
        <f>+('Hispanic &amp; Non-resident'!BB18/'Total 1st Prof'!AV18)*100</f>
        <v>1.0752688172043012</v>
      </c>
      <c r="J22" s="68">
        <f>+('Hispanic &amp; Non-resident'!BG18/'Total 1st Prof'!BA18)*100</f>
        <v>0.49140049140049141</v>
      </c>
      <c r="K22" s="151">
        <f>+(black!AD18/'all race'!AD18)*100</f>
        <v>8.4337349397590362</v>
      </c>
      <c r="L22" s="153">
        <f>+(black!CB18/black!AD18)*100</f>
        <v>0</v>
      </c>
      <c r="M22" s="68">
        <f>+(black!AI18/'all race'!AI18)*100</f>
        <v>10.0418410041841</v>
      </c>
      <c r="N22" s="67">
        <f>+(black!CG18/black!AI18)*100</f>
        <v>12.5</v>
      </c>
      <c r="O22" s="68">
        <f>+('Hispanic &amp; Non-resident'!Y18/'all race'!AD18)*100</f>
        <v>3.4136546184738958</v>
      </c>
      <c r="P22" s="68">
        <f>+('Hispanic &amp; Non-resident'!AD18/'all race'!AI18)*100</f>
        <v>6.4435146443514641</v>
      </c>
    </row>
    <row r="23" spans="1:16">
      <c r="A23" s="32" t="s">
        <v>31</v>
      </c>
      <c r="B23" s="32"/>
      <c r="C23" s="32">
        <f>+'Total 1st Prof'!BA19</f>
        <v>2677</v>
      </c>
      <c r="D23" s="65">
        <f>+(('Total 1st Prof'!BA19-'Total 1st Prof'!AV19)/'Total 1st Prof'!AV19)*100</f>
        <v>18.608772707133365</v>
      </c>
      <c r="E23" s="66">
        <f>+(Public!Y19/'Total 1st Prof'!AV19)*100</f>
        <v>41.470979175897213</v>
      </c>
      <c r="F23" s="65">
        <f>+(Public!AD19/'Total 1st Prof'!BA19)*100</f>
        <v>35.338064998132239</v>
      </c>
      <c r="G23" s="66">
        <f>+(Gender!CT19/'Total 1st Prof'!AV19)*100</f>
        <v>54.186973859105002</v>
      </c>
      <c r="H23" s="65">
        <f>+(Gender!CY19/'Total 1st Prof'!BA19)*100</f>
        <v>57.153530070974966</v>
      </c>
      <c r="I23" s="66">
        <f>+('Hispanic &amp; Non-resident'!BB19/'Total 1st Prof'!AV19)*100</f>
        <v>1.3735046521931769</v>
      </c>
      <c r="J23" s="66">
        <f>+('Hispanic &amp; Non-resident'!BG19/'Total 1st Prof'!BA19)*100</f>
        <v>0.82181546507284275</v>
      </c>
      <c r="K23" s="149">
        <f>+(black!AD19/'all race'!AD19)*100</f>
        <v>12.94392523364486</v>
      </c>
      <c r="L23" s="150">
        <f>+(black!CB19/black!AD19)*100</f>
        <v>44.765342960288805</v>
      </c>
      <c r="M23" s="66">
        <f>+(black!AI19/'all race'!AI19)*100</f>
        <v>11.312964492155244</v>
      </c>
      <c r="N23" s="65">
        <f>+(black!CG19/black!AI19)*100</f>
        <v>42.700729927007295</v>
      </c>
      <c r="O23" s="66">
        <f>+('Hispanic &amp; Non-resident'!Y19/'all race'!AD19)*100</f>
        <v>2.5233644859813085</v>
      </c>
      <c r="P23" s="66">
        <f>+('Hispanic &amp; Non-resident'!AD19/'all race'!AI19)*100</f>
        <v>3.7159372419488026</v>
      </c>
    </row>
    <row r="24" spans="1:16">
      <c r="A24" s="32" t="s">
        <v>32</v>
      </c>
      <c r="B24" s="32"/>
      <c r="C24" s="32">
        <f>+'Total 1st Prof'!BA20</f>
        <v>6532</v>
      </c>
      <c r="D24" s="65">
        <f>+(('Total 1st Prof'!BA20-'Total 1st Prof'!AV20)/'Total 1st Prof'!AV20)*100</f>
        <v>7.2401904449187331</v>
      </c>
      <c r="E24" s="66">
        <f>+(Public!Y20/'Total 1st Prof'!AV20)*100</f>
        <v>38.5158430471187</v>
      </c>
      <c r="F24" s="65">
        <f>+(Public!AD20/'Total 1st Prof'!BA20)*100</f>
        <v>71.065523576240054</v>
      </c>
      <c r="G24" s="66">
        <f>+(Gender!CT20/'Total 1st Prof'!AV20)*100</f>
        <v>53.209653587259886</v>
      </c>
      <c r="H24" s="65">
        <f>+(Gender!CY20/'Total 1st Prof'!BA20)*100</f>
        <v>56.123698714023277</v>
      </c>
      <c r="I24" s="66">
        <f>+('Hispanic &amp; Non-resident'!BB20/'Total 1st Prof'!AV20)*100</f>
        <v>1.3626662288622557</v>
      </c>
      <c r="J24" s="66">
        <f>+('Hispanic &amp; Non-resident'!BG20/'Total 1st Prof'!BA20)*100</f>
        <v>1.3012859767299449</v>
      </c>
      <c r="K24" s="149">
        <f>+(black!AD20/'all race'!AD20)*100</f>
        <v>6.9719753930280248</v>
      </c>
      <c r="L24" s="150">
        <f>+(black!CB20/black!AD20)*100</f>
        <v>29.656862745098039</v>
      </c>
      <c r="M24" s="66">
        <f>+(black!AI20/'all race'!AI20)*100</f>
        <v>8.9471161527400547</v>
      </c>
      <c r="N24" s="65">
        <f>+(black!CG20/black!AI20)*100</f>
        <v>32.678571428571431</v>
      </c>
      <c r="O24" s="66">
        <f>+('Hispanic &amp; Non-resident'!Y20/'all race'!AD20)*100</f>
        <v>15.430622009569378</v>
      </c>
      <c r="P24" s="66">
        <f>+('Hispanic &amp; Non-resident'!AD20/'all race'!AI20)*100</f>
        <v>19.63572455663844</v>
      </c>
    </row>
    <row r="25" spans="1:16">
      <c r="A25" s="32" t="s">
        <v>33</v>
      </c>
      <c r="B25" s="32"/>
      <c r="C25" s="32">
        <f>+'Total 1st Prof'!BA21</f>
        <v>3604</v>
      </c>
      <c r="D25" s="65">
        <f>+(('Total 1st Prof'!BA21-'Total 1st Prof'!AV21)/'Total 1st Prof'!AV21)*100</f>
        <v>18.552631578947366</v>
      </c>
      <c r="E25" s="66">
        <f>+(Public!Y21/'Total 1st Prof'!AV21)*100</f>
        <v>53.190789473684205</v>
      </c>
      <c r="F25" s="65">
        <f>+(Public!AD21/'Total 1st Prof'!BA21)*100</f>
        <v>47.086570477247506</v>
      </c>
      <c r="G25" s="66">
        <f>+(Gender!CT21/'Total 1st Prof'!AV21)*100</f>
        <v>52.203947368421055</v>
      </c>
      <c r="H25" s="65">
        <f>+(Gender!CY21/'Total 1st Prof'!BA21)*100</f>
        <v>55.188679245283026</v>
      </c>
      <c r="I25" s="66">
        <f>+('Hispanic &amp; Non-resident'!BB21/'Total 1st Prof'!AV21)*100</f>
        <v>1.4802631578947367</v>
      </c>
      <c r="J25" s="66">
        <f>+('Hispanic &amp; Non-resident'!BG21/'Total 1st Prof'!BA21)*100</f>
        <v>1.6648168701442843</v>
      </c>
      <c r="K25" s="149">
        <f>+(black!AD21/'all race'!AD21)*100</f>
        <v>10.082230961744726</v>
      </c>
      <c r="L25" s="150">
        <f>+(black!CB21/black!AD21)*100</f>
        <v>22.695035460992909</v>
      </c>
      <c r="M25" s="66">
        <f>+(black!AI21/'all race'!AI21)*100</f>
        <v>9.5987158908507215</v>
      </c>
      <c r="N25" s="65">
        <f>+(black!CG21/black!AI21)*100</f>
        <v>17.391304347826086</v>
      </c>
      <c r="O25" s="66">
        <f>+('Hispanic &amp; Non-resident'!Y21/'all race'!AD21)*100</f>
        <v>3.4322488380407581</v>
      </c>
      <c r="P25" s="66">
        <f>+('Hispanic &amp; Non-resident'!AD21/'all race'!AI21)*100</f>
        <v>5.7463884430176568</v>
      </c>
    </row>
    <row r="26" spans="1:16">
      <c r="A26" s="30" t="s">
        <v>34</v>
      </c>
      <c r="B26" s="30"/>
      <c r="C26" s="30">
        <f>+'Total 1st Prof'!BA22</f>
        <v>982</v>
      </c>
      <c r="D26" s="64">
        <f>+(('Total 1st Prof'!BA22-'Total 1st Prof'!AV22)/'Total 1st Prof'!AV22)*100</f>
        <v>14.988290398126464</v>
      </c>
      <c r="E26" s="96">
        <f>+(Public!Y22/'Total 1st Prof'!AV22)*100</f>
        <v>86.29976580796253</v>
      </c>
      <c r="F26" s="64">
        <f>+(Public!AD22/'Total 1st Prof'!BA22)*100</f>
        <v>82.892057026476579</v>
      </c>
      <c r="G26" s="96">
        <f>+(Gender!CT22/'Total 1st Prof'!AV22)*100</f>
        <v>50.234192037470727</v>
      </c>
      <c r="H26" s="64">
        <f>+(Gender!CY22/'Total 1st Prof'!BA22)*100</f>
        <v>54.582484725050918</v>
      </c>
      <c r="I26" s="96">
        <f>+('Hispanic &amp; Non-resident'!BB22/'Total 1st Prof'!AV22)*100</f>
        <v>1.053864168618267</v>
      </c>
      <c r="J26" s="63">
        <f>+('Hispanic &amp; Non-resident'!BG22/'Total 1st Prof'!BA22)*100</f>
        <v>0.61099796334012213</v>
      </c>
      <c r="K26" s="149">
        <f>+(black!AD22/'all race'!AD22)*100</f>
        <v>1.9777503090234856</v>
      </c>
      <c r="L26" s="150">
        <f>+(black!CB22/black!AD22)*100</f>
        <v>0</v>
      </c>
      <c r="M26" s="171">
        <f>+(black!AI22/'all race'!AI22)*100</f>
        <v>7.2131147540983616</v>
      </c>
      <c r="N26" s="172">
        <f>+(black!CG22/black!AI22)*100</f>
        <v>0</v>
      </c>
      <c r="O26" s="96">
        <f>+('Hispanic &amp; Non-resident'!Y22/'all race'!AD22)*100</f>
        <v>0.86526576019777501</v>
      </c>
      <c r="P26" s="63">
        <f>+('Hispanic &amp; Non-resident'!AD22/'all race'!AI22)*100</f>
        <v>3.6065573770491808</v>
      </c>
    </row>
    <row r="27" spans="1:16">
      <c r="A27" s="32" t="s">
        <v>35</v>
      </c>
      <c r="B27" s="32"/>
      <c r="C27" s="32">
        <f>+'Total 1st Prof'!BA23</f>
        <v>20812</v>
      </c>
      <c r="D27" s="65">
        <f>+(('Total 1st Prof'!BA23-'Total 1st Prof'!AV23)/'Total 1st Prof'!AV23)*100</f>
        <v>7.8956918450930589</v>
      </c>
      <c r="E27" s="66">
        <f>+(Public!Y23/'Total 1st Prof'!AV23)*100</f>
        <v>40.603452745087878</v>
      </c>
      <c r="F27" s="65">
        <f>+(Public!AD23/'Total 1st Prof'!BA23)*100</f>
        <v>39.948106861426105</v>
      </c>
      <c r="G27" s="66">
        <f>+(Gender!CT23/'Total 1st Prof'!AV23)*100</f>
        <v>53.735289543263001</v>
      </c>
      <c r="H27" s="65">
        <f>+(Gender!CY23/'Total 1st Prof'!BA23)*100</f>
        <v>57.793580626561599</v>
      </c>
      <c r="I27" s="66">
        <f>+('Hispanic &amp; Non-resident'!BB23/'Total 1st Prof'!AV23)*100</f>
        <v>3.0068951215718802</v>
      </c>
      <c r="J27" s="66">
        <f>+('Hispanic &amp; Non-resident'!BG23/'Total 1st Prof'!BA23)*100</f>
        <v>3.2961752834902942</v>
      </c>
      <c r="K27" s="147">
        <f>+(black!AD23/'all race'!AD23)*100</f>
        <v>3.3098147192106921</v>
      </c>
      <c r="L27" s="148">
        <f>+(black!CB23/black!AD23)*100</f>
        <v>0</v>
      </c>
      <c r="M27" s="66">
        <f>+(black!AI23/'all race'!AI23)*100</f>
        <v>4.3267695582756787</v>
      </c>
      <c r="N27" s="65">
        <f>+(black!CG23/black!AI23)*100</f>
        <v>0</v>
      </c>
      <c r="O27" s="66">
        <f>+('Hispanic &amp; Non-resident'!Y23/'all race'!AD23)*100</f>
        <v>10.606321344576378</v>
      </c>
      <c r="P27" s="66">
        <f>+('Hispanic &amp; Non-resident'!AD23/'all race'!AI23)*100</f>
        <v>12.836615220862161</v>
      </c>
    </row>
    <row r="28" spans="1:16">
      <c r="A28" s="32" t="s">
        <v>18</v>
      </c>
      <c r="B28" s="32"/>
      <c r="C28" s="66">
        <f>+'Total 1st Prof'!BA24</f>
        <v>18.243178092758654</v>
      </c>
      <c r="D28" s="65"/>
      <c r="E28" s="66"/>
      <c r="F28" s="65"/>
      <c r="G28" s="66"/>
      <c r="H28" s="65"/>
      <c r="I28" s="66"/>
      <c r="J28" s="66"/>
      <c r="K28" s="149"/>
      <c r="L28" s="150">
        <f>+(black!CB24/black!AD24)*100</f>
        <v>0</v>
      </c>
      <c r="M28" s="66"/>
      <c r="N28" s="65"/>
      <c r="O28" s="66"/>
      <c r="P28" s="66"/>
    </row>
    <row r="29" spans="1:16">
      <c r="A29" s="33" t="s">
        <v>36</v>
      </c>
      <c r="B29" s="33"/>
      <c r="C29" s="33">
        <f>+'Total 1st Prof'!BA25</f>
        <v>2</v>
      </c>
      <c r="D29" s="67">
        <f>+(('Total 1st Prof'!BA25-'Total 1st Prof'!AV25)/'Total 1st Prof'!AV25)*100</f>
        <v>-75</v>
      </c>
      <c r="E29" s="68">
        <f>+(Public!Y25/'Total 1st Prof'!AV25)*100</f>
        <v>0</v>
      </c>
      <c r="F29" s="67">
        <f>+(Public!AD25/'Total 1st Prof'!BA25)*100</f>
        <v>0</v>
      </c>
      <c r="G29" s="68">
        <f>+(Gender!CT25/'Total 1st Prof'!AV25)*100</f>
        <v>62.5</v>
      </c>
      <c r="H29" s="67">
        <f>+(Gender!CY25/'Total 1st Prof'!BA25)*100</f>
        <v>50</v>
      </c>
      <c r="I29" s="68">
        <f>+('Hispanic &amp; Non-resident'!BB25/'Total 1st Prof'!AV25)*100</f>
        <v>0</v>
      </c>
      <c r="J29" s="68">
        <f>+('Hispanic &amp; Non-resident'!BG25/'Total 1st Prof'!BA25)*100</f>
        <v>0</v>
      </c>
      <c r="K29" s="151">
        <f>+(black!AD25/'all race'!AD25)*100</f>
        <v>0</v>
      </c>
      <c r="L29" s="154" t="s">
        <v>37</v>
      </c>
      <c r="M29" s="68">
        <f>+(black!AI25/'all race'!AI25)*100</f>
        <v>0</v>
      </c>
      <c r="N29" s="165" t="s">
        <v>37</v>
      </c>
      <c r="O29" s="68">
        <f>+('Hispanic &amp; Non-resident'!Y25/'all race'!AD25)*100</f>
        <v>12.5</v>
      </c>
      <c r="P29" s="68">
        <f>+('Hispanic &amp; Non-resident'!AD25/'all race'!AI25)*100</f>
        <v>0</v>
      </c>
    </row>
    <row r="30" spans="1:16">
      <c r="A30" s="33" t="s">
        <v>38</v>
      </c>
      <c r="B30" s="33"/>
      <c r="C30" s="33">
        <f>+'Total 1st Prof'!BA26</f>
        <v>1776</v>
      </c>
      <c r="D30" s="67">
        <f>+(('Total 1st Prof'!BA26-'Total 1st Prof'!AV26)/'Total 1st Prof'!AV26)*100</f>
        <v>-5.5821371610845292</v>
      </c>
      <c r="E30" s="68">
        <f>+(Public!Y26/'Total 1st Prof'!AV26)*100</f>
        <v>37.69271664008506</v>
      </c>
      <c r="F30" s="67">
        <f>+(Public!AD26/'Total 1st Prof'!BA26)*100</f>
        <v>51.238738738738746</v>
      </c>
      <c r="G30" s="68">
        <f>+(Gender!CT26/'Total 1st Prof'!AV26)*100</f>
        <v>50.186071238702823</v>
      </c>
      <c r="H30" s="67">
        <f>+(Gender!CY26/'Total 1st Prof'!BA26)*100</f>
        <v>55.743243243243242</v>
      </c>
      <c r="I30" s="68">
        <f>+('Hispanic &amp; Non-resident'!BB26/'Total 1st Prof'!AV26)*100</f>
        <v>2.8176501860712388</v>
      </c>
      <c r="J30" s="68">
        <f>+('Hispanic &amp; Non-resident'!BG26/'Total 1st Prof'!BA26)*100</f>
        <v>1.7454954954954953</v>
      </c>
      <c r="K30" s="151">
        <f>+(black!AD26/'all race'!AD26)*100</f>
        <v>5.4038004750593824</v>
      </c>
      <c r="L30" s="154">
        <f>+(black!CB26/black!AD26)*100</f>
        <v>0</v>
      </c>
      <c r="M30" s="68">
        <f>+(black!AI26/'all race'!AI26)*100</f>
        <v>2.0974706971005554</v>
      </c>
      <c r="N30" s="67">
        <f>+(black!CG26/black!AI26)*100</f>
        <v>0</v>
      </c>
      <c r="O30" s="68">
        <f>+('Hispanic &amp; Non-resident'!Y26/'all race'!AD26)*100</f>
        <v>9.9762470308788593</v>
      </c>
      <c r="P30" s="68">
        <f>+('Hispanic &amp; Non-resident'!AD26/'all race'!AI26)*100</f>
        <v>11.289327575570637</v>
      </c>
    </row>
    <row r="31" spans="1:16">
      <c r="A31" s="33" t="s">
        <v>39</v>
      </c>
      <c r="B31" s="33"/>
      <c r="C31" s="33">
        <f>+'Total 1st Prof'!BA27</f>
        <v>11227</v>
      </c>
      <c r="D31" s="67">
        <f>+(('Total 1st Prof'!BA27-'Total 1st Prof'!AV27)/'Total 1st Prof'!AV27)*100</f>
        <v>7.9207920792079207</v>
      </c>
      <c r="E31" s="68">
        <f>+(Public!Y27/'Total 1st Prof'!AV27)*100</f>
        <v>25.483033740267231</v>
      </c>
      <c r="F31" s="67">
        <f>+(Public!AD27/'Total 1st Prof'!BA27)*100</f>
        <v>25.313975238264895</v>
      </c>
      <c r="G31" s="68">
        <f>+(Gender!CT27/'Total 1st Prof'!AV27)*100</f>
        <v>54.445832932807846</v>
      </c>
      <c r="H31" s="67">
        <f>+(Gender!CY27/'Total 1st Prof'!BA27)*100</f>
        <v>58.332591075086846</v>
      </c>
      <c r="I31" s="68">
        <f>+('Hispanic &amp; Non-resident'!BB27/'Total 1st Prof'!AV27)*100</f>
        <v>3.5566663462462755</v>
      </c>
      <c r="J31" s="68">
        <f>+('Hispanic &amp; Non-resident'!BG27/'Total 1st Prof'!BA27)*100</f>
        <v>3.4292330987797279</v>
      </c>
      <c r="K31" s="151">
        <f>+(black!AD27/'all race'!AD27)*100</f>
        <v>3.9472284285562291</v>
      </c>
      <c r="L31" s="154">
        <f>+(black!CB27/black!AD27)*100</f>
        <v>0</v>
      </c>
      <c r="M31" s="68">
        <f>+(black!AI27/'all race'!AI27)*100</f>
        <v>5.401960784313725</v>
      </c>
      <c r="N31" s="67">
        <f>+(black!CG27/black!AI27)*100</f>
        <v>0</v>
      </c>
      <c r="O31" s="68">
        <f>+('Hispanic &amp; Non-resident'!Y27/'all race'!AD27)*100</f>
        <v>13.043940844770722</v>
      </c>
      <c r="P31" s="68">
        <f>+('Hispanic &amp; Non-resident'!AD27/'all race'!AI27)*100</f>
        <v>15.421568627450979</v>
      </c>
    </row>
    <row r="32" spans="1:16">
      <c r="A32" s="33" t="s">
        <v>40</v>
      </c>
      <c r="B32" s="33"/>
      <c r="C32" s="33">
        <f>+'Total 1st Prof'!BA28</f>
        <v>1575</v>
      </c>
      <c r="D32" s="67">
        <f>+(('Total 1st Prof'!BA28-'Total 1st Prof'!AV28)/'Total 1st Prof'!AV28)*100</f>
        <v>9.8326359832635983</v>
      </c>
      <c r="E32" s="68">
        <f>+(Public!Y28/'Total 1st Prof'!AV28)*100</f>
        <v>59.553695955369598</v>
      </c>
      <c r="F32" s="67">
        <f>+(Public!AD28/'Total 1st Prof'!BA28)*100</f>
        <v>57.079365079365076</v>
      </c>
      <c r="G32" s="68">
        <f>+(Gender!CT28/'Total 1st Prof'!AV28)*100</f>
        <v>56.903765690376574</v>
      </c>
      <c r="H32" s="67">
        <f>+(Gender!CY28/'Total 1st Prof'!BA28)*100</f>
        <v>59.111111111111114</v>
      </c>
      <c r="I32" s="68">
        <f>+('Hispanic &amp; Non-resident'!BB28/'Total 1st Prof'!AV28)*100</f>
        <v>1.9525801952580195</v>
      </c>
      <c r="J32" s="68">
        <f>+('Hispanic &amp; Non-resident'!BG28/'Total 1st Prof'!BA28)*100</f>
        <v>2.0317460317460316</v>
      </c>
      <c r="K32" s="151">
        <f>+(black!AD28/'all race'!AD28)*100</f>
        <v>2.1686746987951806</v>
      </c>
      <c r="L32" s="154">
        <f>+(black!CB28/black!AD28)*100</f>
        <v>0</v>
      </c>
      <c r="M32" s="68">
        <f>+(black!AI28/'all race'!AI28)*100</f>
        <v>4.9504950495049505</v>
      </c>
      <c r="N32" s="67">
        <f>+(black!CG28/black!AI28)*100</f>
        <v>0</v>
      </c>
      <c r="O32" s="68">
        <f>+('Hispanic &amp; Non-resident'!Y28/'all race'!AD28)*100</f>
        <v>7.9518072289156621</v>
      </c>
      <c r="P32" s="68">
        <f>+('Hispanic &amp; Non-resident'!AD28/'all race'!AI28)*100</f>
        <v>10.961810466760962</v>
      </c>
    </row>
    <row r="33" spans="1:16">
      <c r="A33" s="32" t="s">
        <v>41</v>
      </c>
      <c r="B33" s="32"/>
      <c r="C33" s="32">
        <f>+'Total 1st Prof'!BA29</f>
        <v>301</v>
      </c>
      <c r="D33" s="65">
        <f>+(('Total 1st Prof'!BA29-'Total 1st Prof'!AV29)/'Total 1st Prof'!AV29)*100</f>
        <v>-17.307692307692307</v>
      </c>
      <c r="E33" s="66">
        <f>+(Public!Y29/'Total 1st Prof'!AV29)*100</f>
        <v>93.406593406593402</v>
      </c>
      <c r="F33" s="65">
        <f>+(Public!AD29/'Total 1st Prof'!BA29)*100</f>
        <v>96.013289036544847</v>
      </c>
      <c r="G33" s="66">
        <f>+(Gender!CT29/'Total 1st Prof'!AV29)*100</f>
        <v>57.142857142857139</v>
      </c>
      <c r="H33" s="65">
        <f>+(Gender!CY29/'Total 1st Prof'!BA29)*100</f>
        <v>50.166112956810629</v>
      </c>
      <c r="I33" s="66">
        <f>+('Hispanic &amp; Non-resident'!BB29/'Total 1st Prof'!AV29)*100</f>
        <v>2.7472527472527473</v>
      </c>
      <c r="J33" s="66">
        <f>+('Hispanic &amp; Non-resident'!BG29/'Total 1st Prof'!BA29)*100</f>
        <v>2.3255813953488373</v>
      </c>
      <c r="K33" s="149">
        <f>+(black!AD29/'all race'!AD29)*100</f>
        <v>1.7142857142857144</v>
      </c>
      <c r="L33" s="150">
        <f>+(black!CB29/black!AD29)*100</f>
        <v>0</v>
      </c>
      <c r="M33" s="66">
        <f>+(black!AI29/'all race'!AI29)*100</f>
        <v>1.3698630136986301</v>
      </c>
      <c r="N33" s="65">
        <f>+(black!CG29/black!AI29)*100</f>
        <v>0</v>
      </c>
      <c r="O33" s="66">
        <f>+('Hispanic &amp; Non-resident'!Y29/'all race'!AD29)*100</f>
        <v>6</v>
      </c>
      <c r="P33" s="66">
        <f>+('Hispanic &amp; Non-resident'!AD29/'all race'!AI29)*100</f>
        <v>6.1643835616438354</v>
      </c>
    </row>
    <row r="34" spans="1:16">
      <c r="A34" s="32" t="s">
        <v>42</v>
      </c>
      <c r="B34" s="32"/>
      <c r="C34" s="32">
        <f>+'Total 1st Prof'!BA30</f>
        <v>246</v>
      </c>
      <c r="D34" s="65">
        <f>+(('Total 1st Prof'!BA30-'Total 1st Prof'!AV30)/'Total 1st Prof'!AV30)*100</f>
        <v>3.79746835443038</v>
      </c>
      <c r="E34" s="66">
        <f>+(Public!Y30/'Total 1st Prof'!AV30)*100</f>
        <v>100</v>
      </c>
      <c r="F34" s="65">
        <f>+(Public!AD30/'Total 1st Prof'!BA30)*100</f>
        <v>100</v>
      </c>
      <c r="G34" s="66">
        <f>+(Gender!CT30/'Total 1st Prof'!AV30)*100</f>
        <v>51.054852320675103</v>
      </c>
      <c r="H34" s="65">
        <f>+(Gender!CY30/'Total 1st Prof'!BA30)*100</f>
        <v>57.317073170731703</v>
      </c>
      <c r="I34" s="66">
        <f>+('Hispanic &amp; Non-resident'!BB30/'Total 1st Prof'!AV30)*100</f>
        <v>3.3755274261603372</v>
      </c>
      <c r="J34" s="66">
        <f>+('Hispanic &amp; Non-resident'!BG30/'Total 1st Prof'!BA30)*100</f>
        <v>2.4390243902439024</v>
      </c>
      <c r="K34" s="149">
        <f>+(black!AD30/'all race'!AD30)*100</f>
        <v>1.8433179723502304</v>
      </c>
      <c r="L34" s="150">
        <f>+(black!CB30/black!AD30)*100</f>
        <v>0</v>
      </c>
      <c r="M34" s="66">
        <f>+(black!AI30/'all race'!AI30)*100</f>
        <v>2.1367521367521367</v>
      </c>
      <c r="N34" s="65">
        <f>+(black!CG30/black!AI30)*100</f>
        <v>0</v>
      </c>
      <c r="O34" s="66">
        <f>+('Hispanic &amp; Non-resident'!Y30/'all race'!AD30)*100</f>
        <v>4.6082949308755765</v>
      </c>
      <c r="P34" s="66">
        <f>+('Hispanic &amp; Non-resident'!AD30/'all race'!AI30)*100</f>
        <v>6.4102564102564097</v>
      </c>
    </row>
    <row r="35" spans="1:16">
      <c r="A35" s="32" t="s">
        <v>43</v>
      </c>
      <c r="B35" s="32"/>
      <c r="C35" s="32">
        <f>+'Total 1st Prof'!BA31</f>
        <v>465</v>
      </c>
      <c r="D35" s="65">
        <f>+(('Total 1st Prof'!BA31-'Total 1st Prof'!AV31)/'Total 1st Prof'!AV31)*100</f>
        <v>41.337386018237083</v>
      </c>
      <c r="E35" s="66">
        <f>+(Public!Y31/'Total 1st Prof'!AV31)*100</f>
        <v>100</v>
      </c>
      <c r="F35" s="65">
        <f>+(Public!AD31/'Total 1st Prof'!BA31)*100</f>
        <v>100</v>
      </c>
      <c r="G35" s="66">
        <f>+(Gender!CT31/'Total 1st Prof'!AV31)*100</f>
        <v>61.094224924012153</v>
      </c>
      <c r="H35" s="65">
        <f>+(Gender!CY31/'Total 1st Prof'!BA31)*100</f>
        <v>61.505376344086024</v>
      </c>
      <c r="I35" s="66">
        <f>+('Hispanic &amp; Non-resident'!BB31/'Total 1st Prof'!AV31)*100</f>
        <v>10.030395136778116</v>
      </c>
      <c r="J35" s="66">
        <f>+('Hispanic &amp; Non-resident'!BG31/'Total 1st Prof'!BA31)*100</f>
        <v>19.13978494623656</v>
      </c>
      <c r="K35" s="149">
        <f>+(black!AD31/'all race'!AD31)*100</f>
        <v>1.4492753623188406</v>
      </c>
      <c r="L35" s="150">
        <f>+(black!CB31/black!AD31)*100</f>
        <v>0</v>
      </c>
      <c r="M35" s="66">
        <f>+(black!AI31/'all race'!AI31)*100</f>
        <v>1.6438356164383561</v>
      </c>
      <c r="N35" s="65">
        <f>+(black!CG31/black!AI31)*100</f>
        <v>0</v>
      </c>
      <c r="O35" s="66">
        <f>+('Hispanic &amp; Non-resident'!Y31/'all race'!AD31)*100</f>
        <v>2.8985507246376812</v>
      </c>
      <c r="P35" s="66">
        <f>+('Hispanic &amp; Non-resident'!AD31/'all race'!AI31)*100</f>
        <v>2.4657534246575343</v>
      </c>
    </row>
    <row r="36" spans="1:16">
      <c r="A36" s="32" t="s">
        <v>44</v>
      </c>
      <c r="B36" s="32"/>
      <c r="C36" s="32">
        <f>+'Total 1st Prof'!BA32</f>
        <v>770</v>
      </c>
      <c r="D36" s="65">
        <f>+(('Total 1st Prof'!BA32-'Total 1st Prof'!AV32)/'Total 1st Prof'!AV32)*100</f>
        <v>-3.0226700251889169</v>
      </c>
      <c r="E36" s="66">
        <f>+(Public!Y32/'Total 1st Prof'!AV32)*100</f>
        <v>75.818639798488661</v>
      </c>
      <c r="F36" s="65">
        <f>+(Public!AD32/'Total 1st Prof'!BA32)*100</f>
        <v>35.064935064935064</v>
      </c>
      <c r="G36" s="66">
        <f>+(Gender!CT32/'Total 1st Prof'!AV32)*100</f>
        <v>44.584382871536526</v>
      </c>
      <c r="H36" s="65">
        <f>+(Gender!CY32/'Total 1st Prof'!BA32)*100</f>
        <v>48.831168831168831</v>
      </c>
      <c r="I36" s="66">
        <f>+('Hispanic &amp; Non-resident'!BB32/'Total 1st Prof'!AV32)*100</f>
        <v>1.0075566750629723</v>
      </c>
      <c r="J36" s="66">
        <f>+('Hispanic &amp; Non-resident'!BG32/'Total 1st Prof'!BA32)*100</f>
        <v>0.51948051948051943</v>
      </c>
      <c r="K36" s="149">
        <f>+(black!AD32/'all race'!AD32)*100</f>
        <v>3.7662337662337659</v>
      </c>
      <c r="L36" s="150">
        <f>+(black!CB32/black!AD32)*100</f>
        <v>0</v>
      </c>
      <c r="M36" s="66">
        <f>+(black!AI32/'all race'!AI32)*100</f>
        <v>5.6899004267425317</v>
      </c>
      <c r="N36" s="65">
        <f>+(black!CG32/black!AI32)*100</f>
        <v>0</v>
      </c>
      <c r="O36" s="66">
        <f>+('Hispanic &amp; Non-resident'!Y32/'all race'!AD32)*100</f>
        <v>5.9740259740259738</v>
      </c>
      <c r="P36" s="66">
        <f>+('Hispanic &amp; Non-resident'!AD32/'all race'!AI32)*100</f>
        <v>9.5305832147937402</v>
      </c>
    </row>
    <row r="37" spans="1:16">
      <c r="A37" s="33" t="s">
        <v>45</v>
      </c>
      <c r="B37" s="33"/>
      <c r="C37" s="33">
        <f>+'Total 1st Prof'!BA33</f>
        <v>471</v>
      </c>
      <c r="D37" s="67">
        <f>+(('Total 1st Prof'!BA33-'Total 1st Prof'!AV33)/'Total 1st Prof'!AV33)*100</f>
        <v>43.597560975609753</v>
      </c>
      <c r="E37" s="68">
        <f>+(Public!Y33/'Total 1st Prof'!AV33)*100</f>
        <v>100</v>
      </c>
      <c r="F37" s="67">
        <f>+(Public!AD33/'Total 1st Prof'!BA33)*100</f>
        <v>71.762208067940549</v>
      </c>
      <c r="G37" s="68">
        <f>+(Gender!CT33/'Total 1st Prof'!AV33)*100</f>
        <v>57.621951219512191</v>
      </c>
      <c r="H37" s="67">
        <f>+(Gender!CY33/'Total 1st Prof'!BA33)*100</f>
        <v>54.777070063694268</v>
      </c>
      <c r="I37" s="68">
        <f>+('Hispanic &amp; Non-resident'!BB33/'Total 1st Prof'!AV33)*100</f>
        <v>0.6097560975609756</v>
      </c>
      <c r="J37" s="68">
        <f>+('Hispanic &amp; Non-resident'!BG33/'Total 1st Prof'!BA33)*100</f>
        <v>0.21231422505307856</v>
      </c>
      <c r="K37" s="151">
        <f>+(black!AD33/'all race'!AD33)*100</f>
        <v>1.2738853503184715</v>
      </c>
      <c r="L37" s="153">
        <f>+(black!CB33/black!AD33)*100</f>
        <v>0</v>
      </c>
      <c r="M37" s="68">
        <f>+(black!AI33/'all race'!AI33)*100</f>
        <v>3.3112582781456954</v>
      </c>
      <c r="N37" s="67">
        <f>+(black!CG33/black!AI33)*100</f>
        <v>0</v>
      </c>
      <c r="O37" s="68">
        <f>+('Hispanic &amp; Non-resident'!Y33/'all race'!AD33)*100</f>
        <v>31.847133757961782</v>
      </c>
      <c r="P37" s="68">
        <f>+('Hispanic &amp; Non-resident'!AD33/'all race'!AI33)*100</f>
        <v>33.112582781456958</v>
      </c>
    </row>
    <row r="38" spans="1:16">
      <c r="A38" s="33" t="s">
        <v>46</v>
      </c>
      <c r="B38" s="33"/>
      <c r="C38" s="33">
        <f>+'Total 1st Prof'!BA34</f>
        <v>1473</v>
      </c>
      <c r="D38" s="67">
        <f>+(('Total 1st Prof'!BA34-'Total 1st Prof'!AV34)/'Total 1st Prof'!AV34)*100</f>
        <v>4.0254237288135588</v>
      </c>
      <c r="E38" s="68">
        <f>+(Public!Y34/'Total 1st Prof'!AV34)*100</f>
        <v>34.533898305084747</v>
      </c>
      <c r="F38" s="67">
        <f>+(Public!AD34/'Total 1st Prof'!BA34)*100</f>
        <v>35.302104548540392</v>
      </c>
      <c r="G38" s="68">
        <f>+(Gender!CT34/'Total 1st Prof'!AV34)*100</f>
        <v>53.248587570621467</v>
      </c>
      <c r="H38" s="67">
        <f>+(Gender!CY34/'Total 1st Prof'!BA34)*100</f>
        <v>60.285132382892058</v>
      </c>
      <c r="I38" s="68">
        <f>+('Hispanic &amp; Non-resident'!BB34/'Total 1st Prof'!AV34)*100</f>
        <v>2.4717514124293785</v>
      </c>
      <c r="J38" s="68">
        <f>+('Hispanic &amp; Non-resident'!BG34/'Total 1st Prof'!BA34)*100</f>
        <v>6.9246435845213856</v>
      </c>
      <c r="K38" s="151">
        <f>+(black!AD34/'all race'!AD34)*100</f>
        <v>1.0172143974960877</v>
      </c>
      <c r="L38" s="153">
        <f>+(black!CB34/black!AD34)*100</f>
        <v>0</v>
      </c>
      <c r="M38" s="68">
        <f>+(black!AI34/'all race'!AI34)*100</f>
        <v>2.4505928853754941</v>
      </c>
      <c r="N38" s="67">
        <f>+(black!CG34/black!AI34)*100</f>
        <v>0</v>
      </c>
      <c r="O38" s="68">
        <f>+('Hispanic &amp; Non-resident'!Y34/'all race'!AD34)*100</f>
        <v>5.39906103286385</v>
      </c>
      <c r="P38" s="68">
        <f>+('Hispanic &amp; Non-resident'!AD34/'all race'!AI34)*100</f>
        <v>8.537549407114625</v>
      </c>
    </row>
    <row r="39" spans="1:16">
      <c r="A39" s="33" t="s">
        <v>47</v>
      </c>
      <c r="B39" s="33"/>
      <c r="C39" s="33">
        <f>+'Total 1st Prof'!BA35</f>
        <v>722</v>
      </c>
      <c r="D39" s="67">
        <f>+(('Total 1st Prof'!BA35-'Total 1st Prof'!AV35)/'Total 1st Prof'!AV35)*100</f>
        <v>28.01418439716312</v>
      </c>
      <c r="E39" s="68">
        <f>+(Public!Y35/'Total 1st Prof'!AV35)*100</f>
        <v>68.971631205673759</v>
      </c>
      <c r="F39" s="67">
        <f>+(Public!AD35/'Total 1st Prof'!BA35)*100</f>
        <v>69.667590027700825</v>
      </c>
      <c r="G39" s="68">
        <f>+(Gender!CT35/'Total 1st Prof'!AV35)*100</f>
        <v>46.099290780141843</v>
      </c>
      <c r="H39" s="67">
        <f>+(Gender!CY35/'Total 1st Prof'!BA35)*100</f>
        <v>47.78393351800554</v>
      </c>
      <c r="I39" s="68">
        <f>+('Hispanic &amp; Non-resident'!BB35/'Total 1st Prof'!AV35)*100</f>
        <v>1.2411347517730498</v>
      </c>
      <c r="J39" s="68">
        <f>+('Hispanic &amp; Non-resident'!BG35/'Total 1st Prof'!BA35)*100</f>
        <v>0.13850415512465375</v>
      </c>
      <c r="K39" s="151">
        <f>+(black!AD35/'all race'!AD35)*100</f>
        <v>1.2844036697247707</v>
      </c>
      <c r="L39" s="153">
        <f>+(black!CB35/black!AD35)*100</f>
        <v>0</v>
      </c>
      <c r="M39" s="68">
        <f>+(black!AI35/'all race'!AI35)*100</f>
        <v>1.2802275960170697</v>
      </c>
      <c r="N39" s="67">
        <f>+(black!CG35/black!AI35)*100</f>
        <v>0</v>
      </c>
      <c r="O39" s="68">
        <f>+('Hispanic &amp; Non-resident'!Y35/'all race'!AD35)*100</f>
        <v>6.7889908256880735</v>
      </c>
      <c r="P39" s="68">
        <f>+('Hispanic &amp; Non-resident'!AD35/'all race'!AI35)*100</f>
        <v>5.5476529160739689</v>
      </c>
    </row>
    <row r="40" spans="1:16">
      <c r="A40" s="33" t="s">
        <v>48</v>
      </c>
      <c r="B40" s="33"/>
      <c r="C40" s="33">
        <f>+'Total 1st Prof'!BA36</f>
        <v>1669</v>
      </c>
      <c r="D40" s="67">
        <f>+(('Total 1st Prof'!BA36-'Total 1st Prof'!AV36)/'Total 1st Prof'!AV36)*100</f>
        <v>19.044222539229672</v>
      </c>
      <c r="E40" s="68">
        <f>+(Public!Y36/'Total 1st Prof'!AV36)*100</f>
        <v>55.278174037089869</v>
      </c>
      <c r="F40" s="67">
        <f>+(Public!AD36/'Total 1st Prof'!BA36)*100</f>
        <v>54.943079688436192</v>
      </c>
      <c r="G40" s="68">
        <f>+(Gender!CT36/'Total 1st Prof'!AV36)*100</f>
        <v>56.06276747503567</v>
      </c>
      <c r="H40" s="67">
        <f>+(Gender!CY36/'Total 1st Prof'!BA36)*100</f>
        <v>62.911923307369676</v>
      </c>
      <c r="I40" s="68">
        <f>+('Hispanic &amp; Non-resident'!BB36/'Total 1st Prof'!AV36)*100</f>
        <v>1.7118402282453637</v>
      </c>
      <c r="J40" s="68">
        <f>+('Hispanic &amp; Non-resident'!BG36/'Total 1st Prof'!BA36)*100</f>
        <v>1.6177351707609346</v>
      </c>
      <c r="K40" s="151">
        <f>+(black!AD36/'all race'!AD36)*100</f>
        <v>1.5810276679841897</v>
      </c>
      <c r="L40" s="153">
        <f>+(black!CB36/black!AD36)*100</f>
        <v>0</v>
      </c>
      <c r="M40" s="68">
        <f>+(black!AI36/'all race'!AI36)*100</f>
        <v>3.2821229050279328</v>
      </c>
      <c r="N40" s="67">
        <f>+(black!CG36/black!AI36)*100</f>
        <v>0</v>
      </c>
      <c r="O40" s="68">
        <f>+('Hispanic &amp; Non-resident'!Y36/'all race'!AD36)*100</f>
        <v>4.6640316205533594</v>
      </c>
      <c r="P40" s="68">
        <f>+('Hispanic &amp; Non-resident'!AD36/'all race'!AI36)*100</f>
        <v>6.1452513966480442</v>
      </c>
    </row>
    <row r="41" spans="1:16">
      <c r="A41" s="34" t="s">
        <v>49</v>
      </c>
      <c r="B41" s="34"/>
      <c r="C41" s="34">
        <f>+'Total 1st Prof'!BA37</f>
        <v>115</v>
      </c>
      <c r="D41" s="69">
        <f>+(('Total 1st Prof'!BA37-'Total 1st Prof'!AV37)/'Total 1st Prof'!AV37)*100</f>
        <v>-10.852713178294573</v>
      </c>
      <c r="E41" s="97">
        <f>+(Public!Y37/'Total 1st Prof'!AV37)*100</f>
        <v>100</v>
      </c>
      <c r="F41" s="167">
        <f>+(Public!AD37/'Total 1st Prof'!BA37)*100</f>
        <v>100</v>
      </c>
      <c r="G41" s="97">
        <f>+(Gender!CT37/'Total 1st Prof'!AV37)*100</f>
        <v>48.837209302325576</v>
      </c>
      <c r="H41" s="69">
        <f>+(Gender!CY37/'Total 1st Prof'!BA37)*100</f>
        <v>53.913043478260867</v>
      </c>
      <c r="I41" s="97">
        <f>+('Hispanic &amp; Non-resident'!BB37/'Total 1st Prof'!AV37)*100</f>
        <v>1.5503875968992249</v>
      </c>
      <c r="J41" s="70">
        <f>+('Hispanic &amp; Non-resident'!BG37/'Total 1st Prof'!BA37)*100</f>
        <v>0.86956521739130432</v>
      </c>
      <c r="K41" s="151">
        <f>+(black!AD37/'all race'!AD37)*100</f>
        <v>1.2195121951219512</v>
      </c>
      <c r="L41" s="153">
        <f>+(black!CB37/black!AD37)*100</f>
        <v>0</v>
      </c>
      <c r="M41" s="166">
        <f>+(black!AI37/'all race'!AI37)*100</f>
        <v>0.94339622641509435</v>
      </c>
      <c r="N41" s="167">
        <f>+(black!CG37/black!AI37)*100</f>
        <v>0</v>
      </c>
      <c r="O41" s="168">
        <f>+('Hispanic &amp; Non-resident'!Y37/'all race'!AD37)*100</f>
        <v>6.0975609756097562</v>
      </c>
      <c r="P41" s="70">
        <f>+('Hispanic &amp; Non-resident'!AD37/'all race'!AI37)*100</f>
        <v>6.6037735849056602</v>
      </c>
    </row>
    <row r="42" spans="1:16">
      <c r="A42" s="32" t="s">
        <v>50</v>
      </c>
      <c r="B42" s="32"/>
      <c r="C42" s="32">
        <f>+'Total 1st Prof'!BA38</f>
        <v>27587</v>
      </c>
      <c r="D42" s="65">
        <f>+(('Total 1st Prof'!BA38-'Total 1st Prof'!AV38)/'Total 1st Prof'!AV38)*100</f>
        <v>3.7027291181114204</v>
      </c>
      <c r="E42" s="66">
        <f>+(Public!Y38/'Total 1st Prof'!AV38)*100</f>
        <v>49.191790090970606</v>
      </c>
      <c r="F42" s="65">
        <f>+(Public!AD38/'Total 1st Prof'!BA38)*100</f>
        <v>51.169028890419398</v>
      </c>
      <c r="G42" s="66">
        <f>+(Gender!CT38/'Total 1st Prof'!AV38)*100</f>
        <v>53.417036313059164</v>
      </c>
      <c r="H42" s="65">
        <f>+(Gender!CY38/'Total 1st Prof'!BA38)*100</f>
        <v>57.501721825497519</v>
      </c>
      <c r="I42" s="66">
        <f>+('Hispanic &amp; Non-resident'!BB38/'Total 1st Prof'!AV38)*100</f>
        <v>2.736636343132095</v>
      </c>
      <c r="J42" s="66">
        <f>+('Hispanic &amp; Non-resident'!BG38/'Total 1st Prof'!BA38)*100</f>
        <v>2.6389241309312359</v>
      </c>
      <c r="K42" s="147">
        <f>+(black!AD38/'all race'!AD38)*100</f>
        <v>5.3180996218970904</v>
      </c>
      <c r="L42" s="148">
        <f>+(black!CB38/black!AD38)*100</f>
        <v>0.85007727975270475</v>
      </c>
      <c r="M42" s="66">
        <f>+(black!AI38/'all race'!AI38)*100</f>
        <v>5.8060967944688873</v>
      </c>
      <c r="N42" s="65">
        <f>+(black!CG38/black!AI38)*100</f>
        <v>1.6238159675236805</v>
      </c>
      <c r="O42" s="66">
        <f>+('Hispanic &amp; Non-resident'!Y38/'all race'!AD38)*100</f>
        <v>4.2495479204339963</v>
      </c>
      <c r="P42" s="66">
        <f>+('Hispanic &amp; Non-resident'!AD38/'all race'!AI38)*100</f>
        <v>5.5978944060339408</v>
      </c>
    </row>
    <row r="43" spans="1:16">
      <c r="A43" s="32" t="s">
        <v>18</v>
      </c>
      <c r="B43" s="32"/>
      <c r="C43" s="66">
        <f>+'Total 1st Prof'!BA39</f>
        <v>24.181940901640061</v>
      </c>
      <c r="D43" s="65"/>
      <c r="E43" s="66"/>
      <c r="F43" s="65"/>
      <c r="G43" s="66"/>
      <c r="H43" s="65"/>
      <c r="I43" s="66"/>
      <c r="J43" s="66"/>
      <c r="K43" s="149"/>
      <c r="L43" s="150">
        <f>+(black!CB39/black!AD39)*100</f>
        <v>5.2190446416901031</v>
      </c>
      <c r="M43" s="66"/>
      <c r="N43" s="65"/>
      <c r="O43" s="66"/>
      <c r="P43" s="66"/>
    </row>
    <row r="44" spans="1:16">
      <c r="A44" s="33" t="s">
        <v>51</v>
      </c>
      <c r="B44" s="33"/>
      <c r="C44" s="33">
        <f>+'Total 1st Prof'!BA40</f>
        <v>5786</v>
      </c>
      <c r="D44" s="67">
        <f>+(('Total 1st Prof'!BA40-'Total 1st Prof'!AV40)/'Total 1st Prof'!AV40)*100</f>
        <v>4.0086284378932229</v>
      </c>
      <c r="E44" s="68">
        <f>+(Public!Y40/'Total 1st Prof'!AV40)*100</f>
        <v>27.035772065432322</v>
      </c>
      <c r="F44" s="67">
        <f>+(Public!AD40/'Total 1st Prof'!BA40)*100</f>
        <v>28.188731420670582</v>
      </c>
      <c r="G44" s="68">
        <f>+(Gender!CT40/'Total 1st Prof'!AV40)*100</f>
        <v>54.77260470968902</v>
      </c>
      <c r="H44" s="67">
        <f>+(Gender!CY40/'Total 1st Prof'!BA40)*100</f>
        <v>61.752506049083998</v>
      </c>
      <c r="I44" s="68">
        <f>+('Hispanic &amp; Non-resident'!BB40/'Total 1st Prof'!AV40)*100</f>
        <v>2.4806758943016356</v>
      </c>
      <c r="J44" s="68">
        <f>+('Hispanic &amp; Non-resident'!BG40/'Total 1st Prof'!BA40)*100</f>
        <v>1.952989975803664</v>
      </c>
      <c r="K44" s="151">
        <f>+(black!AD40/'all race'!AD40)*100</f>
        <v>6.3126843657817107</v>
      </c>
      <c r="L44" s="153">
        <f>+(black!CB40/black!AD40)*100</f>
        <v>0</v>
      </c>
      <c r="M44" s="68">
        <f>+(black!AI40/'all race'!AI40)*100</f>
        <v>8.2855557610504906</v>
      </c>
      <c r="N44" s="67">
        <f>+(black!CG40/black!AI40)*100</f>
        <v>5.3571428571428568</v>
      </c>
      <c r="O44" s="68">
        <f>+('Hispanic &amp; Non-resident'!Y40/'all race'!AD40)*100</f>
        <v>7.2959685349065886</v>
      </c>
      <c r="P44" s="68">
        <f>+('Hispanic &amp; Non-resident'!AD40/'all race'!AI40)*100</f>
        <v>8.5259848344738298</v>
      </c>
    </row>
    <row r="45" spans="1:16">
      <c r="A45" s="33" t="s">
        <v>52</v>
      </c>
      <c r="B45" s="33"/>
      <c r="C45" s="33">
        <f>+'Total 1st Prof'!BA41</f>
        <v>2221</v>
      </c>
      <c r="D45" s="67">
        <f>+(('Total 1st Prof'!BA41-'Total 1st Prof'!AV41)/'Total 1st Prof'!AV41)*100</f>
        <v>17.451084082496035</v>
      </c>
      <c r="E45" s="68">
        <f>+(Public!Y41/'Total 1st Prof'!AV41)*100</f>
        <v>69.222633527234265</v>
      </c>
      <c r="F45" s="67">
        <f>+(Public!AD41/'Total 1st Prof'!BA41)*100</f>
        <v>62.629446195407482</v>
      </c>
      <c r="G45" s="68">
        <f>+(Gender!CT41/'Total 1st Prof'!AV41)*100</f>
        <v>54.680063458487574</v>
      </c>
      <c r="H45" s="67">
        <f>+(Gender!CY41/'Total 1st Prof'!BA41)*100</f>
        <v>58.712291760468261</v>
      </c>
      <c r="I45" s="68">
        <f>+('Hispanic &amp; Non-resident'!BB41/'Total 1st Prof'!AV41)*100</f>
        <v>2.2210470650449499</v>
      </c>
      <c r="J45" s="68">
        <f>+('Hispanic &amp; Non-resident'!BG41/'Total 1st Prof'!BA41)*100</f>
        <v>2.1611886537595675</v>
      </c>
      <c r="K45" s="151">
        <f>+(black!AD41/'all race'!AD41)*100</f>
        <v>5.7174887892376685</v>
      </c>
      <c r="L45" s="153">
        <f>+(black!CB41/black!AD41)*100</f>
        <v>0</v>
      </c>
      <c r="M45" s="68">
        <f>+(black!AI41/'all race'!AI41)*100</f>
        <v>5.0539744847890091</v>
      </c>
      <c r="N45" s="67">
        <f>+(black!CG41/black!AI41)*100</f>
        <v>0</v>
      </c>
      <c r="O45" s="68">
        <f>+('Hispanic &amp; Non-resident'!Y41/'all race'!AD41)*100</f>
        <v>4.4843049327354256</v>
      </c>
      <c r="P45" s="68">
        <f>+('Hispanic &amp; Non-resident'!AD41/'all race'!AI41)*100</f>
        <v>6.1334641805691854</v>
      </c>
    </row>
    <row r="46" spans="1:16">
      <c r="A46" s="33" t="s">
        <v>53</v>
      </c>
      <c r="B46" s="33"/>
      <c r="C46" s="33">
        <f>+'Total 1st Prof'!BA42</f>
        <v>1921</v>
      </c>
      <c r="D46" s="67">
        <f>+(('Total 1st Prof'!BA42-'Total 1st Prof'!AV42)/'Total 1st Prof'!AV42)*100</f>
        <v>-5.694648993618066</v>
      </c>
      <c r="E46" s="68">
        <f>+(Public!Y42/'Total 1st Prof'!AV42)*100</f>
        <v>31.27147766323024</v>
      </c>
      <c r="F46" s="67">
        <f>+(Public!AD42/'Total 1st Prof'!BA42)*100</f>
        <v>32.014575741801146</v>
      </c>
      <c r="G46" s="68">
        <f>+(Gender!CT42/'Total 1st Prof'!AV42)*100</f>
        <v>48.355424644084437</v>
      </c>
      <c r="H46" s="67">
        <f>+(Gender!CY42/'Total 1st Prof'!BA42)*100</f>
        <v>52.368558042686097</v>
      </c>
      <c r="I46" s="68">
        <f>+('Hispanic &amp; Non-resident'!BB42/'Total 1st Prof'!AV42)*100</f>
        <v>1.2272950417280315</v>
      </c>
      <c r="J46" s="68">
        <f>+('Hispanic &amp; Non-resident'!BG42/'Total 1st Prof'!BA42)*100</f>
        <v>0.46850598646538261</v>
      </c>
      <c r="K46" s="151">
        <f>+(black!AD42/'all race'!AD42)*100</f>
        <v>2.7582477014602489</v>
      </c>
      <c r="L46" s="153">
        <f>+(black!CB42/black!AD42)*100</f>
        <v>0</v>
      </c>
      <c r="M46" s="68">
        <f>+(black!AI42/'all race'!AI42)*100</f>
        <v>2.828618968386023</v>
      </c>
      <c r="N46" s="67">
        <f>+(black!CG42/black!AI42)*100</f>
        <v>0</v>
      </c>
      <c r="O46" s="68">
        <f>+('Hispanic &amp; Non-resident'!Y42/'all race'!AD42)*100</f>
        <v>4.1103299080584099</v>
      </c>
      <c r="P46" s="68">
        <f>+('Hispanic &amp; Non-resident'!AD42/'all race'!AI42)*100</f>
        <v>6.1564059900166388</v>
      </c>
    </row>
    <row r="47" spans="1:16">
      <c r="A47" s="33" t="s">
        <v>54</v>
      </c>
      <c r="B47" s="33"/>
      <c r="C47" s="33">
        <f>+'Total 1st Prof'!BA43</f>
        <v>1085</v>
      </c>
      <c r="D47" s="67">
        <f>+(('Total 1st Prof'!BA43-'Total 1st Prof'!AV43)/'Total 1st Prof'!AV43)*100</f>
        <v>4.628736740597879</v>
      </c>
      <c r="E47" s="68">
        <f>+(Public!Y43/'Total 1st Prof'!AV43)*100</f>
        <v>81.774349083895856</v>
      </c>
      <c r="F47" s="67">
        <f>+(Public!AD43/'Total 1st Prof'!BA43)*100</f>
        <v>84.792626728110605</v>
      </c>
      <c r="G47" s="68">
        <f>+(Gender!CT43/'Total 1st Prof'!AV43)*100</f>
        <v>51.783992285438764</v>
      </c>
      <c r="H47" s="67">
        <f>+(Gender!CY43/'Total 1st Prof'!BA43)*100</f>
        <v>60.092165898617509</v>
      </c>
      <c r="I47" s="68">
        <f>+('Hispanic &amp; Non-resident'!BB43/'Total 1st Prof'!AV43)*100</f>
        <v>3.085824493731919</v>
      </c>
      <c r="J47" s="68">
        <f>+('Hispanic &amp; Non-resident'!BG43/'Total 1st Prof'!BA43)*100</f>
        <v>0.64516129032258063</v>
      </c>
      <c r="K47" s="151">
        <f>+(black!AD43/'all race'!AD43)*100</f>
        <v>3.4103410341034106</v>
      </c>
      <c r="L47" s="153">
        <f>+(black!CB43/black!AD43)*100</f>
        <v>0</v>
      </c>
      <c r="M47" s="68">
        <f>+(black!AI43/'all race'!AI43)*100</f>
        <v>2.413127413127413</v>
      </c>
      <c r="N47" s="67">
        <f>+(black!CG43/black!AI43)*100</f>
        <v>0</v>
      </c>
      <c r="O47" s="68">
        <f>+('Hispanic &amp; Non-resident'!Y43/'all race'!AD43)*100</f>
        <v>3.8503850385038509</v>
      </c>
      <c r="P47" s="68">
        <f>+('Hispanic &amp; Non-resident'!AD43/'all race'!AI43)*100</f>
        <v>4.5366795366795367</v>
      </c>
    </row>
    <row r="48" spans="1:16">
      <c r="A48" s="32" t="s">
        <v>55</v>
      </c>
      <c r="B48" s="32"/>
      <c r="C48" s="32">
        <f>+'Total 1st Prof'!BA44</f>
        <v>3658</v>
      </c>
      <c r="D48" s="65">
        <f>+(('Total 1st Prof'!BA44-'Total 1st Prof'!AV44)/'Total 1st Prof'!AV44)*100</f>
        <v>-0.51672559151482189</v>
      </c>
      <c r="E48" s="66">
        <f>+(Public!Y44/'Total 1st Prof'!AV44)*100</f>
        <v>65.760130541202074</v>
      </c>
      <c r="F48" s="65">
        <f>+(Public!AD44/'Total 1st Prof'!BA44)*100</f>
        <v>79.387643521049753</v>
      </c>
      <c r="G48" s="66">
        <f>+(Gender!CT44/'Total 1st Prof'!AV44)*100</f>
        <v>51.427794397606739</v>
      </c>
      <c r="H48" s="65">
        <f>+(Gender!CY44/'Total 1st Prof'!BA44)*100</f>
        <v>54.729360306178243</v>
      </c>
      <c r="I48" s="66">
        <f>+('Hispanic &amp; Non-resident'!BB44/'Total 1st Prof'!AV44)*100</f>
        <v>5.7111775904269786</v>
      </c>
      <c r="J48" s="66">
        <f>+('Hispanic &amp; Non-resident'!BG44/'Total 1st Prof'!BA44)*100</f>
        <v>6.4516129032258061</v>
      </c>
      <c r="K48" s="149">
        <f>+(black!AD44/'all race'!AD44)*100</f>
        <v>7.6689906032130954</v>
      </c>
      <c r="L48" s="150">
        <f>+(black!CB44/black!AD44)*100</f>
        <v>4.3478260869565215</v>
      </c>
      <c r="M48" s="66">
        <f>+(black!AI44/'all race'!AI44)*100</f>
        <v>7.8922345483359742</v>
      </c>
      <c r="N48" s="65">
        <f>+(black!CG44/black!AI44)*100</f>
        <v>0</v>
      </c>
      <c r="O48" s="66">
        <f>+('Hispanic &amp; Non-resident'!Y44/'all race'!AD44)*100</f>
        <v>4.1527735677478024</v>
      </c>
      <c r="P48" s="66">
        <f>+('Hispanic &amp; Non-resident'!AD44/'all race'!AI44)*100</f>
        <v>4.6909667194928684</v>
      </c>
    </row>
    <row r="49" spans="1:16">
      <c r="A49" s="32" t="s">
        <v>56</v>
      </c>
      <c r="B49" s="32"/>
      <c r="C49" s="32">
        <f>+'Total 1st Prof'!BA45</f>
        <v>2067</v>
      </c>
      <c r="D49" s="65">
        <f>+(('Total 1st Prof'!BA45-'Total 1st Prof'!AV45)/'Total 1st Prof'!AV45)*100</f>
        <v>3.8693467336683418</v>
      </c>
      <c r="E49" s="66">
        <f>+(Public!Y45/'Total 1st Prof'!AV45)*100</f>
        <v>52.060301507537687</v>
      </c>
      <c r="F49" s="65">
        <f>+(Public!AD45/'Total 1st Prof'!BA45)*100</f>
        <v>48.476052249637149</v>
      </c>
      <c r="G49" s="66">
        <f>+(Gender!CT45/'Total 1st Prof'!AV45)*100</f>
        <v>57.336683417085432</v>
      </c>
      <c r="H49" s="65">
        <f>+(Gender!CY45/'Total 1st Prof'!BA45)*100</f>
        <v>61.0062893081761</v>
      </c>
      <c r="I49" s="66">
        <f>+('Hispanic &amp; Non-resident'!BB45/'Total 1st Prof'!AV45)*100</f>
        <v>3.5175879396984926</v>
      </c>
      <c r="J49" s="66">
        <f>+('Hispanic &amp; Non-resident'!BG45/'Total 1st Prof'!BA45)*100</f>
        <v>2.8543783260764393</v>
      </c>
      <c r="K49" s="149">
        <f>+(black!AD45/'all race'!AD45)*100</f>
        <v>2.947845804988662</v>
      </c>
      <c r="L49" s="150">
        <f>+(black!CB45/black!AD45)*100</f>
        <v>0</v>
      </c>
      <c r="M49" s="66">
        <f>+(black!AI45/'all race'!AI45)*100</f>
        <v>4.7205642973412916</v>
      </c>
      <c r="N49" s="65">
        <f>+(black!CG45/black!AI45)*100</f>
        <v>0</v>
      </c>
      <c r="O49" s="66">
        <f>+('Hispanic &amp; Non-resident'!Y45/'all race'!AD45)*100</f>
        <v>2.7777777777777777</v>
      </c>
      <c r="P49" s="66">
        <f>+('Hispanic &amp; Non-resident'!AD45/'all race'!AI45)*100</f>
        <v>3.9609332609875203</v>
      </c>
    </row>
    <row r="50" spans="1:16">
      <c r="A50" s="32" t="s">
        <v>57</v>
      </c>
      <c r="B50" s="32"/>
      <c r="C50" s="32">
        <f>+'Total 1st Prof'!BA46</f>
        <v>3234</v>
      </c>
      <c r="D50" s="65">
        <f>+(('Total 1st Prof'!BA46-'Total 1st Prof'!AV46)/'Total 1st Prof'!AV46)*100</f>
        <v>1.4747411358644493</v>
      </c>
      <c r="E50" s="66">
        <f>+(Public!Y46/'Total 1st Prof'!AV46)*100</f>
        <v>28.898650768748041</v>
      </c>
      <c r="F50" s="65">
        <f>+(Public!AD46/'Total 1st Prof'!BA46)*100</f>
        <v>31.539888682745826</v>
      </c>
      <c r="G50" s="66">
        <f>+(Gender!CT46/'Total 1st Prof'!AV46)*100</f>
        <v>53.122058362096013</v>
      </c>
      <c r="H50" s="65">
        <f>+(Gender!CY46/'Total 1st Prof'!BA46)*100</f>
        <v>53.184910327767469</v>
      </c>
      <c r="I50" s="66">
        <f>+('Hispanic &amp; Non-resident'!BB46/'Total 1st Prof'!AV46)*100</f>
        <v>2.4474427361154691</v>
      </c>
      <c r="J50" s="66">
        <f>+('Hispanic &amp; Non-resident'!BG46/'Total 1st Prof'!BA46)*100</f>
        <v>3.525046382189239</v>
      </c>
      <c r="K50" s="149">
        <f>+(black!AD46/'all race'!AD46)*100</f>
        <v>3.7012113055181697</v>
      </c>
      <c r="L50" s="150">
        <f>+(black!CB46/black!AD46)*100</f>
        <v>0</v>
      </c>
      <c r="M50" s="66">
        <f>+(black!AI46/'all race'!AI46)*100</f>
        <v>5.4218908844459506</v>
      </c>
      <c r="N50" s="65">
        <f>+(black!CG46/black!AI46)*100</f>
        <v>0</v>
      </c>
      <c r="O50" s="66">
        <f>+('Hispanic &amp; Non-resident'!Y46/'all race'!AD46)*100</f>
        <v>3.0619111709286675</v>
      </c>
      <c r="P50" s="66">
        <f>+('Hispanic &amp; Non-resident'!AD46/'all race'!AI46)*100</f>
        <v>4.5747204337512706</v>
      </c>
    </row>
    <row r="51" spans="1:16">
      <c r="A51" s="32" t="s">
        <v>58</v>
      </c>
      <c r="B51" s="32"/>
      <c r="C51" s="32">
        <f>+'Total 1st Prof'!BA47</f>
        <v>1152</v>
      </c>
      <c r="D51" s="65">
        <f>+(('Total 1st Prof'!BA47-'Total 1st Prof'!AV47)/'Total 1st Prof'!AV47)*100</f>
        <v>2.2182786157941439</v>
      </c>
      <c r="E51" s="66">
        <f>+(Public!Y47/'Total 1st Prof'!AV47)*100</f>
        <v>37.799467613132208</v>
      </c>
      <c r="F51" s="65">
        <f>+(Public!AD47/'Total 1st Prof'!BA47)*100</f>
        <v>37.413194444444443</v>
      </c>
      <c r="G51" s="66">
        <f>+(Gender!CT47/'Total 1st Prof'!AV47)*100</f>
        <v>52.528837622005319</v>
      </c>
      <c r="H51" s="65">
        <f>+(Gender!CY47/'Total 1st Prof'!BA47)*100</f>
        <v>58.246527777777779</v>
      </c>
      <c r="I51" s="66">
        <f>+('Hispanic &amp; Non-resident'!BB47/'Total 1st Prof'!AV47)*100</f>
        <v>0.88731144631765746</v>
      </c>
      <c r="J51" s="66">
        <f>+('Hispanic &amp; Non-resident'!BG47/'Total 1st Prof'!BA47)*100</f>
        <v>1.4756944444444444</v>
      </c>
      <c r="K51" s="149">
        <f>+(black!AD47/'all race'!AD47)*100</f>
        <v>3.1307550644567224</v>
      </c>
      <c r="L51" s="150">
        <f>+(black!CB47/black!AD47)*100</f>
        <v>0</v>
      </c>
      <c r="M51" s="66">
        <f>+(black!AI47/'all race'!AI47)*100</f>
        <v>2.3978685612788633</v>
      </c>
      <c r="N51" s="65">
        <f>+(black!CG47/black!AI47)*100</f>
        <v>0</v>
      </c>
      <c r="O51" s="66">
        <f>+('Hispanic &amp; Non-resident'!Y47/'all race'!AD47)*100</f>
        <v>3.4990791896869244</v>
      </c>
      <c r="P51" s="66">
        <f>+('Hispanic &amp; Non-resident'!AD47/'all race'!AI47)*100</f>
        <v>5.2397868561278864</v>
      </c>
    </row>
    <row r="52" spans="1:16">
      <c r="A52" s="33" t="s">
        <v>59</v>
      </c>
      <c r="B52" s="33"/>
      <c r="C52" s="33">
        <f>+'Total 1st Prof'!BA48</f>
        <v>363</v>
      </c>
      <c r="D52" s="67">
        <f>+(('Total 1st Prof'!BA48-'Total 1st Prof'!AV48)/'Total 1st Prof'!AV48)*100</f>
        <v>14.150943396226415</v>
      </c>
      <c r="E52" s="68">
        <f>+(Public!Y48/'Total 1st Prof'!AV48)*100</f>
        <v>88.993710691823907</v>
      </c>
      <c r="F52" s="67">
        <f>+(Public!AD48/'Total 1st Prof'!BA48)*100</f>
        <v>79.614325068870528</v>
      </c>
      <c r="G52" s="68">
        <f>+(Gender!CT48/'Total 1st Prof'!AV48)*100</f>
        <v>56.289308176100626</v>
      </c>
      <c r="H52" s="67">
        <f>+(Gender!CY48/'Total 1st Prof'!BA48)*100</f>
        <v>55.096418732782368</v>
      </c>
      <c r="I52" s="68">
        <f>+('Hispanic &amp; Non-resident'!BB48/'Total 1st Prof'!AV48)*100</f>
        <v>4.4025157232704402</v>
      </c>
      <c r="J52" s="68">
        <f>+('Hispanic &amp; Non-resident'!BG48/'Total 1st Prof'!BA48)*100</f>
        <v>2.2038567493112948</v>
      </c>
      <c r="K52" s="151">
        <f>+(black!AD48/'all race'!AD48)*100</f>
        <v>0.35714285714285715</v>
      </c>
      <c r="L52" s="153">
        <f>+(black!CB48/black!AD48)*100</f>
        <v>0</v>
      </c>
      <c r="M52" s="169">
        <f>+(black!AI48/'all race'!AI48)*100</f>
        <v>2.3809523809523809</v>
      </c>
      <c r="N52" s="67">
        <f>+(black!CG48/black!AI48)*100</f>
        <v>0</v>
      </c>
      <c r="O52" s="68">
        <f>+('Hispanic &amp; Non-resident'!Y48/'all race'!AD48)*100</f>
        <v>1.0714285714285714</v>
      </c>
      <c r="P52" s="68">
        <f>+('Hispanic &amp; Non-resident'!AD48/'all race'!AI48)*100</f>
        <v>1.7857142857142856</v>
      </c>
    </row>
    <row r="53" spans="1:16">
      <c r="A53" s="33" t="s">
        <v>60</v>
      </c>
      <c r="B53" s="33"/>
      <c r="C53" s="33">
        <f>+'Total 1st Prof'!BA49</f>
        <v>4121</v>
      </c>
      <c r="D53" s="67">
        <f>+(('Total 1st Prof'!BA49-'Total 1st Prof'!AV49)/'Total 1st Prof'!AV49)*100</f>
        <v>4.4084114517354953</v>
      </c>
      <c r="E53" s="68">
        <f>+(Public!Y49/'Total 1st Prof'!AV49)*100</f>
        <v>68.077020521915372</v>
      </c>
      <c r="F53" s="67">
        <f>+(Public!AD49/'Total 1st Prof'!BA49)*100</f>
        <v>68.527056539674831</v>
      </c>
      <c r="G53" s="68">
        <f>+(Gender!CT49/'Total 1st Prof'!AV49)*100</f>
        <v>53.002280212819862</v>
      </c>
      <c r="H53" s="67">
        <f>+(Gender!CY49/'Total 1st Prof'!BA49)*100</f>
        <v>56.199951468090269</v>
      </c>
      <c r="I53" s="68">
        <f>+('Hispanic &amp; Non-resident'!BB49/'Total 1st Prof'!AV49)*100</f>
        <v>2.482898403851026</v>
      </c>
      <c r="J53" s="68">
        <f>+('Hispanic &amp; Non-resident'!BG49/'Total 1st Prof'!BA49)*100</f>
        <v>2.2324678476098034</v>
      </c>
      <c r="K53" s="151">
        <f>+(black!AD49/'all race'!AD49)*100</f>
        <v>7.5027995520716688</v>
      </c>
      <c r="L53" s="153">
        <f>+(black!CB49/black!AD49)*100</f>
        <v>0</v>
      </c>
      <c r="M53" s="169">
        <f>+(black!AI49/'all race'!AI49)*100</f>
        <v>6.7441860465116283</v>
      </c>
      <c r="N53" s="67">
        <f>+(black!CG49/black!AI49)*100</f>
        <v>0</v>
      </c>
      <c r="O53" s="68">
        <f>+('Hispanic &amp; Non-resident'!Y49/'all race'!AD49)*100</f>
        <v>2.8275475923852182</v>
      </c>
      <c r="P53" s="68">
        <f>+('Hispanic &amp; Non-resident'!AD49/'all race'!AI49)*100</f>
        <v>4.4961240310077519</v>
      </c>
    </row>
    <row r="54" spans="1:16">
      <c r="A54" s="33" t="s">
        <v>61</v>
      </c>
      <c r="B54" s="33"/>
      <c r="C54" s="33">
        <f>+'Total 1st Prof'!BA50</f>
        <v>337</v>
      </c>
      <c r="D54" s="67">
        <f>+(('Total 1st Prof'!BA50-'Total 1st Prof'!AV50)/'Total 1st Prof'!AV50)*100</f>
        <v>29.615384615384617</v>
      </c>
      <c r="E54" s="68">
        <f>+(Public!Y50/'Total 1st Prof'!AV50)*100</f>
        <v>98.846153846153854</v>
      </c>
      <c r="F54" s="67">
        <f>+(Public!AD50/'Total 1st Prof'!BA50)*100</f>
        <v>88.130563798219583</v>
      </c>
      <c r="G54" s="68">
        <f>+(Gender!CT50/'Total 1st Prof'!AV50)*100</f>
        <v>60</v>
      </c>
      <c r="H54" s="67">
        <f>+(Gender!CY50/'Total 1st Prof'!BA50)*100</f>
        <v>59.64391691394659</v>
      </c>
      <c r="I54" s="68">
        <f>+('Hispanic &amp; Non-resident'!BB50/'Total 1st Prof'!AV50)*100</f>
        <v>0.76923076923076927</v>
      </c>
      <c r="J54" s="68">
        <f>+('Hispanic &amp; Non-resident'!BG50/'Total 1st Prof'!BA50)*100</f>
        <v>2.6706231454005933</v>
      </c>
      <c r="K54" s="151">
        <f>+(black!AD50/'all race'!AD50)*100</f>
        <v>1.1811023622047243</v>
      </c>
      <c r="L54" s="153">
        <f>+(black!CB50/black!AD50)*100</f>
        <v>0</v>
      </c>
      <c r="M54" s="169">
        <f>+(black!AI50/'all race'!AI50)*100</f>
        <v>0.6211180124223602</v>
      </c>
      <c r="N54" s="67">
        <f>+(black!CG50/black!AI50)*100</f>
        <v>0</v>
      </c>
      <c r="O54" s="68">
        <f>+('Hispanic &amp; Non-resident'!Y50/'all race'!AD50)*100</f>
        <v>0.78740157480314954</v>
      </c>
      <c r="P54" s="68">
        <f>+('Hispanic &amp; Non-resident'!AD50/'all race'!AI50)*100</f>
        <v>1.5527950310559007</v>
      </c>
    </row>
    <row r="55" spans="1:16">
      <c r="A55" s="33" t="s">
        <v>62</v>
      </c>
      <c r="B55" s="33"/>
      <c r="C55" s="33">
        <f>+'Total 1st Prof'!BA51</f>
        <v>1642</v>
      </c>
      <c r="D55" s="69">
        <f>+(('Total 1st Prof'!BA51-'Total 1st Prof'!AV51)/'Total 1st Prof'!AV51)*100</f>
        <v>4.7193877551020407</v>
      </c>
      <c r="E55" s="97">
        <f>+(Public!Y51/'Total 1st Prof'!AV51)*100</f>
        <v>48.469387755102041</v>
      </c>
      <c r="F55" s="69">
        <f>+(Public!AD51/'Total 1st Prof'!BA51)*100</f>
        <v>48.233861144945188</v>
      </c>
      <c r="G55" s="68">
        <f>+(Gender!CT51/'Total 1st Prof'!AV51)*100</f>
        <v>55.038265306122447</v>
      </c>
      <c r="H55" s="167">
        <f>+(Gender!CY51/'Total 1st Prof'!BA51)*100</f>
        <v>58.282582216808763</v>
      </c>
      <c r="I55" s="97">
        <f>+('Hispanic &amp; Non-resident'!BB51/'Total 1st Prof'!AV51)*100</f>
        <v>0.57397959183673475</v>
      </c>
      <c r="J55" s="70">
        <f>+('Hispanic &amp; Non-resident'!BG51/'Total 1st Prof'!BA51)*100</f>
        <v>0.97442143727161989</v>
      </c>
      <c r="K55" s="151">
        <f>+(black!AD51/'all race'!AD51)*100</f>
        <v>4.6008119079837613</v>
      </c>
      <c r="L55" s="153">
        <f>+(black!CB51/black!AD51)*100</f>
        <v>0</v>
      </c>
      <c r="M55" s="166">
        <f>+(black!AI51/'all race'!AI51)*100</f>
        <v>3.6328871892925432</v>
      </c>
      <c r="N55" s="167">
        <f>+(black!CG51/black!AI51)*100</f>
        <v>0</v>
      </c>
      <c r="O55" s="168">
        <f>+('Hispanic &amp; Non-resident'!Y51/'all race'!AD51)*100</f>
        <v>3.4506089309878218</v>
      </c>
      <c r="P55" s="70">
        <f>+('Hispanic &amp; Non-resident'!AD51/'all race'!AI51)*100</f>
        <v>5.1625239005736141</v>
      </c>
    </row>
    <row r="56" spans="1:16">
      <c r="A56" s="35" t="s">
        <v>63</v>
      </c>
      <c r="B56" s="35"/>
      <c r="C56" s="35">
        <f>+'Total 1st Prof'!BA52</f>
        <v>27178</v>
      </c>
      <c r="D56" s="65">
        <f>+(('Total 1st Prof'!BA52-'Total 1st Prof'!AV52)/'Total 1st Prof'!AV52)*100</f>
        <v>5.3206742879286955</v>
      </c>
      <c r="E56" s="66">
        <f>+(Public!X52/'Total 1st Prof'!AU52)*100</f>
        <v>20.857655182938462</v>
      </c>
      <c r="F56" s="65">
        <f>+(Public!AD52/'Total 1st Prof'!BA52)*100</f>
        <v>23.081168592243724</v>
      </c>
      <c r="G56" s="71">
        <f>+(Gender!CT52/'Total 1st Prof'!AV52)*100</f>
        <v>54.384809145514431</v>
      </c>
      <c r="H56" s="65">
        <f>+(Gender!CY52/'Total 1st Prof'!BA52)*100</f>
        <v>57.123408639340646</v>
      </c>
      <c r="I56" s="66">
        <f>+('Hispanic &amp; Non-resident'!BB52/'Total 1st Prof'!AV52)*100</f>
        <v>4.2007362914163924</v>
      </c>
      <c r="J56" s="66">
        <f>+('Hispanic &amp; Non-resident'!BG52/'Total 1st Prof'!BA52)*100</f>
        <v>4.7023327691515195</v>
      </c>
      <c r="K56" s="147">
        <f>+(black!AD52/'all race'!AD52)*100</f>
        <v>6.0538813190715013</v>
      </c>
      <c r="L56" s="148">
        <f>+(black!CB52/black!AD52)*100</f>
        <v>1.2463343108504399</v>
      </c>
      <c r="M56" s="66">
        <f>+(black!AI52/'all race'!AI52)*100</f>
        <v>6.577225130890052</v>
      </c>
      <c r="N56" s="65">
        <f>+(black!CG52/black!AI52)*100</f>
        <v>1.0572139303482588</v>
      </c>
      <c r="O56" s="66">
        <f>+('Hispanic &amp; Non-resident'!Y52/'all race'!AD52)*100</f>
        <v>6.5554125427189209</v>
      </c>
      <c r="P56" s="66">
        <f>+('Hispanic &amp; Non-resident'!AD52/'all race'!AI52)*100</f>
        <v>8.070189790575915</v>
      </c>
    </row>
    <row r="57" spans="1:16">
      <c r="A57" s="32" t="s">
        <v>18</v>
      </c>
      <c r="B57" s="32"/>
      <c r="C57" s="66">
        <f>+'Total 1st Prof'!BA53</f>
        <v>23.823423707716447</v>
      </c>
      <c r="D57" s="65"/>
      <c r="E57" s="66"/>
      <c r="F57" s="65"/>
      <c r="G57" s="66"/>
      <c r="H57" s="65"/>
      <c r="I57" s="66"/>
      <c r="J57" s="66"/>
      <c r="K57" s="149"/>
      <c r="L57" s="150">
        <f>+(black!CB53/black!AD53)*100</f>
        <v>7.6518624385429792</v>
      </c>
      <c r="M57" s="66"/>
      <c r="N57" s="65"/>
      <c r="O57" s="66"/>
      <c r="P57" s="66"/>
    </row>
    <row r="58" spans="1:16">
      <c r="A58" s="33" t="s">
        <v>64</v>
      </c>
      <c r="B58" s="33"/>
      <c r="C58" s="33">
        <f>+'Total 1st Prof'!BA54</f>
        <v>1458</v>
      </c>
      <c r="D58" s="67">
        <f>+(('Total 1st Prof'!BA54-'Total 1st Prof'!AV54)/'Total 1st Prof'!AV54)*100</f>
        <v>13.463035019455253</v>
      </c>
      <c r="E58" s="68">
        <f>+(Public!Y54/'Total 1st Prof'!AV54)*100</f>
        <v>33.385214007782096</v>
      </c>
      <c r="F58" s="67">
        <f>+(Public!AD54/'Total 1st Prof'!BA54)*100</f>
        <v>31.207133058984908</v>
      </c>
      <c r="G58" s="68">
        <f>+(Gender!CT54/'Total 1st Prof'!AV54)*100</f>
        <v>60.077821011673151</v>
      </c>
      <c r="H58" s="67">
        <f>+(Gender!CY54/'Total 1st Prof'!BA54)*100</f>
        <v>59.259259259259252</v>
      </c>
      <c r="I58" s="68">
        <f>+('Hispanic &amp; Non-resident'!BB54/'Total 1st Prof'!AV54)*100</f>
        <v>3.5797665369649803</v>
      </c>
      <c r="J58" s="68">
        <f>+('Hispanic &amp; Non-resident'!BG54/'Total 1st Prof'!BA54)*100</f>
        <v>2.6063100137174211</v>
      </c>
      <c r="K58" s="151">
        <f>+(black!AD54/'all race'!AD54)*100</f>
        <v>5.2951388888888884</v>
      </c>
      <c r="L58" s="153">
        <f>+(black!CB54/black!AD54)*100</f>
        <v>0</v>
      </c>
      <c r="M58" s="68">
        <f>+(black!AI54/'all race'!AI54)*100</f>
        <v>7.1635311143270624</v>
      </c>
      <c r="N58" s="67">
        <f>+(black!CG54/black!AI54)*100</f>
        <v>0</v>
      </c>
      <c r="O58" s="68">
        <f>+('Hispanic &amp; Non-resident'!Y54/'all race'!AD54)*100</f>
        <v>5.6423611111111116</v>
      </c>
      <c r="P58" s="68">
        <f>+('Hispanic &amp; Non-resident'!AD54/'all race'!AI54)*100</f>
        <v>8.6830680173661356</v>
      </c>
    </row>
    <row r="59" spans="1:16">
      <c r="A59" s="33" t="s">
        <v>65</v>
      </c>
      <c r="B59" s="33"/>
      <c r="C59" s="33">
        <f>+'Total 1st Prof'!BA55</f>
        <v>521</v>
      </c>
      <c r="D59" s="67">
        <f>+(('Total 1st Prof'!BA55-'Total 1st Prof'!AV55)/'Total 1st Prof'!AV55)*100</f>
        <v>14.505494505494507</v>
      </c>
      <c r="E59" s="68">
        <f>+(Public!Y55/'Total 1st Prof'!AV55)*100</f>
        <v>17.142857142857142</v>
      </c>
      <c r="F59" s="67">
        <f>+(Public!AD55/'Total 1st Prof'!BA55)*100</f>
        <v>14.779270633397312</v>
      </c>
      <c r="G59" s="68">
        <f>+(Gender!CT55/'Total 1st Prof'!AV55)*100</f>
        <v>59.560439560439562</v>
      </c>
      <c r="H59" s="67">
        <f>+(Gender!CY55/'Total 1st Prof'!BA55)*100</f>
        <v>55.854126679462567</v>
      </c>
      <c r="I59" s="68">
        <f>+('Hispanic &amp; Non-resident'!BB55/'Total 1st Prof'!AV55)*100</f>
        <v>3.0769230769230771</v>
      </c>
      <c r="J59" s="68">
        <f>+('Hispanic &amp; Non-resident'!BG55/'Total 1st Prof'!BA55)*100</f>
        <v>1.727447216890595</v>
      </c>
      <c r="K59" s="151">
        <f>+(black!AD55/'all race'!AD55)*100</f>
        <v>4.6004842615012107</v>
      </c>
      <c r="L59" s="153">
        <f>+(black!CB55/black!AD55)*100</f>
        <v>0</v>
      </c>
      <c r="M59" s="68">
        <f>+(black!AI55/'all race'!AI55)*100</f>
        <v>4.6025104602510458</v>
      </c>
      <c r="N59" s="67">
        <f>+(black!CG55/black!AI55)*100</f>
        <v>0</v>
      </c>
      <c r="O59" s="68">
        <f>+('Hispanic &amp; Non-resident'!Y55/'all race'!AD55)*100</f>
        <v>1.4527845036319613</v>
      </c>
      <c r="P59" s="68">
        <f>+('Hispanic &amp; Non-resident'!AD55/'all race'!AI55)*100</f>
        <v>2.510460251046025</v>
      </c>
    </row>
    <row r="60" spans="1:16">
      <c r="A60" s="33" t="s">
        <v>66</v>
      </c>
      <c r="B60" s="33"/>
      <c r="C60" s="33">
        <f>+'Total 1st Prof'!BA56</f>
        <v>4936</v>
      </c>
      <c r="D60" s="67">
        <f>+(('Total 1st Prof'!BA56-'Total 1st Prof'!AV56)/'Total 1st Prof'!AV56)*100</f>
        <v>-0.92332396627860303</v>
      </c>
      <c r="E60" s="68">
        <f>+(Public!Y56/'Total 1st Prof'!AV56)*100</f>
        <v>5.5198715375351268</v>
      </c>
      <c r="F60" s="67">
        <f>+(Public!AD56/'Total 1st Prof'!BA56)*100</f>
        <v>6.766612641815235</v>
      </c>
      <c r="G60" s="68">
        <f>+(Gender!CT56/'Total 1st Prof'!AV56)*100</f>
        <v>57.386591730228822</v>
      </c>
      <c r="H60" s="67">
        <f>+(Gender!CY56/'Total 1st Prof'!BA56)*100</f>
        <v>60.595623987034031</v>
      </c>
      <c r="I60" s="68">
        <f>+('Hispanic &amp; Non-resident'!BB56/'Total 1st Prof'!AV56)*100</f>
        <v>6.0818948213568849</v>
      </c>
      <c r="J60" s="68">
        <f>+('Hispanic &amp; Non-resident'!BG56/'Total 1st Prof'!BA56)*100</f>
        <v>7.2123176661264177</v>
      </c>
      <c r="K60" s="151">
        <f>+(black!AD56/'all race'!AD56)*100</f>
        <v>6.2685093780848966</v>
      </c>
      <c r="L60" s="153">
        <f>+(black!CB56/black!AD56)*100</f>
        <v>0</v>
      </c>
      <c r="M60" s="68">
        <f>+(black!AI56/'all race'!AI56)*100</f>
        <v>6.6138798323241739</v>
      </c>
      <c r="N60" s="67">
        <f>+(black!CG56/black!AI56)*100</f>
        <v>0</v>
      </c>
      <c r="O60" s="68">
        <f>+('Hispanic &amp; Non-resident'!Y56/'all race'!AD56)*100</f>
        <v>7.082922013820335</v>
      </c>
      <c r="P60" s="68">
        <f>+('Hispanic &amp; Non-resident'!AD56/'all race'!AI56)*100</f>
        <v>8.7796925943176518</v>
      </c>
    </row>
    <row r="61" spans="1:16">
      <c r="A61" s="33" t="s">
        <v>67</v>
      </c>
      <c r="B61" s="33"/>
      <c r="C61" s="33">
        <f>+'Total 1st Prof'!BA57</f>
        <v>320</v>
      </c>
      <c r="D61" s="67">
        <f>+(('Total 1st Prof'!BA57-'Total 1st Prof'!AV57)/'Total 1st Prof'!AV57)*100</f>
        <v>20.754716981132077</v>
      </c>
      <c r="E61" s="68">
        <f>+(Public!Y57/'Total 1st Prof'!AV57)*100</f>
        <v>1.5094339622641511</v>
      </c>
      <c r="F61" s="67">
        <f>+(Public!AD57/'Total 1st Prof'!BA57)*100</f>
        <v>33.4375</v>
      </c>
      <c r="G61" s="68">
        <f>+(Gender!CT57/'Total 1st Prof'!AV57)*100</f>
        <v>52.452830188679243</v>
      </c>
      <c r="H61" s="67">
        <f>+(Gender!CY57/'Total 1st Prof'!BA57)*100</f>
        <v>62.5</v>
      </c>
      <c r="I61" s="68">
        <f>+('Hispanic &amp; Non-resident'!BB57/'Total 1st Prof'!AV57)*100</f>
        <v>7.1698113207547172</v>
      </c>
      <c r="J61" s="68">
        <f>+('Hispanic &amp; Non-resident'!BG57/'Total 1st Prof'!BA57)*100</f>
        <v>2.8125</v>
      </c>
      <c r="K61" s="151">
        <f>+(black!AD57/'all race'!AD57)*100</f>
        <v>2.6315789473684208</v>
      </c>
      <c r="L61" s="68">
        <f>+(black!CB57/black!AD57)*100</f>
        <v>0</v>
      </c>
      <c r="M61" s="68">
        <f>+(black!AI57/'all race'!AI57)*100</f>
        <v>4.1958041958041958</v>
      </c>
      <c r="N61" s="153">
        <f>+(black!CG57/black!AI57)*100</f>
        <v>0</v>
      </c>
      <c r="O61" s="68">
        <f>+('Hispanic &amp; Non-resident'!Y57/'all race'!AD57)*100</f>
        <v>5.2631578947368416</v>
      </c>
      <c r="P61" s="68">
        <f>+('Hispanic &amp; Non-resident'!AD57/'all race'!AI57)*100</f>
        <v>10.48951048951049</v>
      </c>
    </row>
    <row r="62" spans="1:16">
      <c r="A62" s="32" t="s">
        <v>68</v>
      </c>
      <c r="B62" s="32"/>
      <c r="C62" s="32">
        <f>+'Total 1st Prof'!BA58</f>
        <v>1747</v>
      </c>
      <c r="D62" s="65">
        <f>+(('Total 1st Prof'!BA58-'Total 1st Prof'!AV58)/'Total 1st Prof'!AV58)*100</f>
        <v>11.70076726342711</v>
      </c>
      <c r="E62" s="66">
        <f>+(Public!Y58/'Total 1st Prof'!AV58)*100</f>
        <v>81.585677749360613</v>
      </c>
      <c r="F62" s="65">
        <f>+(Public!AD58/'Total 1st Prof'!BA58)*100</f>
        <v>79.564968517458496</v>
      </c>
      <c r="G62" s="66">
        <f>+(Gender!CT58/'Total 1st Prof'!AV58)*100</f>
        <v>49.61636828644501</v>
      </c>
      <c r="H62" s="65">
        <f>+(Gender!CY58/'Total 1st Prof'!BA58)*100</f>
        <v>53.291356611333718</v>
      </c>
      <c r="I62" s="66">
        <f>+('Hispanic &amp; Non-resident'!BB58/'Total 1st Prof'!AV58)*100</f>
        <v>1.9820971867007673</v>
      </c>
      <c r="J62" s="66">
        <f>+('Hispanic &amp; Non-resident'!BG58/'Total 1st Prof'!BA58)*100</f>
        <v>3.3772180881511162</v>
      </c>
      <c r="K62" s="149">
        <f>+(black!AD58/'all race'!AD58)*100</f>
        <v>9.0122566690699344</v>
      </c>
      <c r="L62" s="150">
        <f>+(black!CB58/black!AD58)*100</f>
        <v>0</v>
      </c>
      <c r="M62" s="66">
        <f>+(black!AI58/'all race'!AI58)*100</f>
        <v>7.9900124843945068</v>
      </c>
      <c r="N62" s="65">
        <f>+(black!CG58/black!AI58)*100</f>
        <v>0</v>
      </c>
      <c r="O62" s="66">
        <f>+('Hispanic &amp; Non-resident'!Y58/'all race'!AD58)*100</f>
        <v>9.0122566690699344</v>
      </c>
      <c r="P62" s="66">
        <f>+('Hispanic &amp; Non-resident'!AD58/'all race'!AI58)*100</f>
        <v>11.735330836454432</v>
      </c>
    </row>
    <row r="63" spans="1:16">
      <c r="A63" s="32" t="s">
        <v>69</v>
      </c>
      <c r="B63" s="32"/>
      <c r="C63" s="32">
        <f>+'Total 1st Prof'!BA59</f>
        <v>10025</v>
      </c>
      <c r="D63" s="65">
        <f>+(('Total 1st Prof'!BA59-'Total 1st Prof'!AV59)/'Total 1st Prof'!AV59)*100</f>
        <v>2.5260789527510741</v>
      </c>
      <c r="E63" s="66">
        <f>+(Public!Y59/'Total 1st Prof'!AV59)*100</f>
        <v>12.12926978932297</v>
      </c>
      <c r="F63" s="65">
        <f>+(Public!AD59/'Total 1st Prof'!BA59)*100</f>
        <v>15.660847880299253</v>
      </c>
      <c r="G63" s="66">
        <f>+(Gender!CT59/'Total 1st Prof'!AV59)*100</f>
        <v>52.209040703620367</v>
      </c>
      <c r="H63" s="65">
        <f>+(Gender!CY59/'Total 1st Prof'!BA59)*100</f>
        <v>54.902743142144637</v>
      </c>
      <c r="I63" s="66">
        <f>+('Hispanic &amp; Non-resident'!BB59/'Total 1st Prof'!AV59)*100</f>
        <v>5.7271425649417056</v>
      </c>
      <c r="J63" s="66">
        <f>+('Hispanic &amp; Non-resident'!BG59/'Total 1st Prof'!BA59)*100</f>
        <v>5.2967581047381547</v>
      </c>
      <c r="K63" s="149">
        <f>+(black!AD59/'all race'!AD59)*100</f>
        <v>6.4310202151554554</v>
      </c>
      <c r="L63" s="150">
        <f>+(black!CB59/black!AD59)*100</f>
        <v>3.125</v>
      </c>
      <c r="M63" s="66">
        <f>+(black!AI59/'all race'!AI59)*100</f>
        <v>6.8276249298147116</v>
      </c>
      <c r="N63" s="65">
        <f>+(black!CG59/black!AI59)*100</f>
        <v>2.7960526315789473</v>
      </c>
      <c r="O63" s="66">
        <f>+('Hispanic &amp; Non-resident'!Y59/'all race'!AD59)*100</f>
        <v>8.0387752689443186</v>
      </c>
      <c r="P63" s="66">
        <f>+('Hispanic &amp; Non-resident'!AD59/'all race'!AI59)*100</f>
        <v>8.8377316114542381</v>
      </c>
    </row>
    <row r="64" spans="1:16">
      <c r="A64" s="32" t="s">
        <v>70</v>
      </c>
      <c r="B64" s="32"/>
      <c r="C64" s="32">
        <f>+'Total 1st Prof'!BA60</f>
        <v>7435</v>
      </c>
      <c r="D64" s="65">
        <f>+(('Total 1st Prof'!BA60-'Total 1st Prof'!AV60)/'Total 1st Prof'!AV60)*100</f>
        <v>9.6607669616519178</v>
      </c>
      <c r="E64" s="66">
        <f>+(Public!Y60/'Total 1st Prof'!AV60)*100</f>
        <v>26.666666666666668</v>
      </c>
      <c r="F64" s="65">
        <f>+(Public!AD60/'Total 1st Prof'!BA60)*100</f>
        <v>27.410894418291864</v>
      </c>
      <c r="G64" s="66">
        <f>+(Gender!CT60/'Total 1st Prof'!AV60)*100</f>
        <v>55.058997050147497</v>
      </c>
      <c r="H64" s="65">
        <f>+(Gender!CY60/'Total 1st Prof'!BA60)*100</f>
        <v>58.117014122394082</v>
      </c>
      <c r="I64" s="66">
        <f>+('Hispanic &amp; Non-resident'!BB60/'Total 1st Prof'!AV60)*100</f>
        <v>1.5486725663716814</v>
      </c>
      <c r="J64" s="66">
        <f>+('Hispanic &amp; Non-resident'!BG60/'Total 1st Prof'!BA60)*100</f>
        <v>3.604572965702757</v>
      </c>
      <c r="K64" s="149">
        <f>+(black!AD60/'all race'!AD60)*100</f>
        <v>5.2224371373307541</v>
      </c>
      <c r="L64" s="150">
        <f>+(black!CB60/black!AD60)*100</f>
        <v>0</v>
      </c>
      <c r="M64" s="66">
        <f>+(black!AI60/'all race'!AI60)*100</f>
        <v>6.2169312169312168</v>
      </c>
      <c r="N64" s="65">
        <f>+(black!CG60/black!AI60)*100</f>
        <v>0</v>
      </c>
      <c r="O64" s="66">
        <f>+('Hispanic &amp; Non-resident'!Y60/'all race'!AD60)*100</f>
        <v>4.0135396518375241</v>
      </c>
      <c r="P64" s="66">
        <f>+('Hispanic &amp; Non-resident'!AD60/'all race'!AI60)*100</f>
        <v>5.7025279247501466</v>
      </c>
    </row>
    <row r="65" spans="1:16">
      <c r="A65" s="32" t="s">
        <v>71</v>
      </c>
      <c r="B65" s="32"/>
      <c r="C65" s="32">
        <f>+'Total 1st Prof'!BA61</f>
        <v>413</v>
      </c>
      <c r="D65" s="65">
        <f>+(('Total 1st Prof'!BA61-'Total 1st Prof'!AV61)/'Total 1st Prof'!AV61)*100</f>
        <v>6.4432989690721643</v>
      </c>
      <c r="E65" s="66">
        <f>+(Public!Y61/'Total 1st Prof'!AV61)*100</f>
        <v>39.432989690721648</v>
      </c>
      <c r="F65" s="65">
        <f>+(Public!AD61/'Total 1st Prof'!BA61)*100</f>
        <v>29.297820823244553</v>
      </c>
      <c r="G65" s="66">
        <f>+(Gender!CT61/'Total 1st Prof'!AV61)*100</f>
        <v>55.927835051546396</v>
      </c>
      <c r="H65" s="65">
        <f>+(Gender!CY61/'Total 1st Prof'!BA61)*100</f>
        <v>57.627118644067799</v>
      </c>
      <c r="I65" s="66">
        <f>+('Hispanic &amp; Non-resident'!BB61/'Total 1st Prof'!AV61)*100</f>
        <v>1.2886597938144329</v>
      </c>
      <c r="J65" s="66">
        <f>+('Hispanic &amp; Non-resident'!BG61/'Total 1st Prof'!BA61)*100</f>
        <v>1.2106537530266344</v>
      </c>
      <c r="K65" s="149">
        <f>+(black!AD61/'all race'!AD61)*100</f>
        <v>6.303724928366762</v>
      </c>
      <c r="L65" s="150">
        <f>+(black!CB61/black!AD61)*100</f>
        <v>0</v>
      </c>
      <c r="M65" s="66">
        <f>+(black!AI61/'all race'!AI61)*100</f>
        <v>5.6701030927835054</v>
      </c>
      <c r="N65" s="65">
        <f>+(black!CG61/black!AI61)*100</f>
        <v>0</v>
      </c>
      <c r="O65" s="66">
        <f>+('Hispanic &amp; Non-resident'!Y61/'all race'!AD61)*100</f>
        <v>10.028653295128938</v>
      </c>
      <c r="P65" s="66">
        <f>+('Hispanic &amp; Non-resident'!AD61/'all race'!AI61)*100</f>
        <v>10.824742268041238</v>
      </c>
    </row>
    <row r="66" spans="1:16">
      <c r="A66" s="30" t="s">
        <v>72</v>
      </c>
      <c r="B66" s="30"/>
      <c r="C66" s="30">
        <f>+'Total 1st Prof'!BA62</f>
        <v>323</v>
      </c>
      <c r="D66" s="64">
        <f>+(('Total 1st Prof'!BA62-'Total 1st Prof'!AV62)/'Total 1st Prof'!AV62)*100</f>
        <v>4.8701298701298708</v>
      </c>
      <c r="E66" s="66">
        <f>+(Public!Y62/'Total 1st Prof'!AV62)*100</f>
        <v>47.077922077922082</v>
      </c>
      <c r="F66" s="64">
        <f>+(Public!AD62/'Total 1st Prof'!BA62)*100</f>
        <v>56.037151702786382</v>
      </c>
      <c r="G66" s="96">
        <f>+(Gender!CT62/'Total 1st Prof'!AV62)*100</f>
        <v>52.597402597402599</v>
      </c>
      <c r="H66" s="64">
        <f>+(Gender!CY62/'Total 1st Prof'!BA62)*100</f>
        <v>57.275541795665632</v>
      </c>
      <c r="I66" s="96">
        <f>+('Hispanic &amp; Non-resident'!BB62/'Total 1st Prof'!AV62)*100</f>
        <v>0.32467532467532467</v>
      </c>
      <c r="J66" s="63">
        <f>+('Hispanic &amp; Non-resident'!BG62/'Total 1st Prof'!BA62)*100</f>
        <v>0.92879256965944268</v>
      </c>
      <c r="K66" s="149">
        <f>+(black!AD62/'all race'!AD62)*100</f>
        <v>3.1358885017421603</v>
      </c>
      <c r="L66" s="150">
        <f>+(black!CB62/black!AD62)*100</f>
        <v>0</v>
      </c>
      <c r="M66" s="63">
        <f>+(black!AI62/'all race'!AI62)*100</f>
        <v>3.2362459546925564</v>
      </c>
      <c r="N66" s="65">
        <f>+(black!CG62/black!AI62)*100</f>
        <v>0</v>
      </c>
      <c r="O66" s="96">
        <f>+('Hispanic &amp; Non-resident'!Y62/'all race'!AD62)*100</f>
        <v>6.2717770034843205</v>
      </c>
      <c r="P66" s="63">
        <f>+('Hispanic &amp; Non-resident'!AD62/'all race'!AI62)*100</f>
        <v>9.3851132686084142</v>
      </c>
    </row>
    <row r="67" spans="1:16">
      <c r="A67" s="36" t="s">
        <v>73</v>
      </c>
      <c r="B67" s="36"/>
      <c r="C67" s="34">
        <f>+'Total 1st Prof'!BA63</f>
        <v>2651</v>
      </c>
      <c r="D67" s="69">
        <f>+(('Total 1st Prof'!BA63-'Total 1st Prof'!AV63)/'Total 1st Prof'!AV63)*100</f>
        <v>-3.2481751824817517</v>
      </c>
      <c r="E67" s="156">
        <f>+(Public!Y63/'Total 1st Prof'!AV63)*100</f>
        <v>2.4817518248175183</v>
      </c>
      <c r="F67" s="69">
        <f>+(Public!AD63/'Total 1st Prof'!BA63)*100</f>
        <v>2.942285929837797</v>
      </c>
      <c r="G67" s="98">
        <f>+(Gender!CT63/'Total 1st Prof'!AV63)*100</f>
        <v>52.883211678832119</v>
      </c>
      <c r="H67" s="72">
        <f>+(Gender!CY63/'Total 1st Prof'!BA63)*100</f>
        <v>58.355337608449645</v>
      </c>
      <c r="I67" s="97">
        <f>+('Hispanic &amp; Non-resident'!BB63/'Total 1st Prof'!AV63)*100</f>
        <v>3.7956204379562042</v>
      </c>
      <c r="J67" s="70">
        <f>+('Hispanic &amp; Non-resident'!BG63/'Total 1st Prof'!BA63)*100</f>
        <v>4.9792531120331951</v>
      </c>
      <c r="K67" s="152">
        <f>+(black!AD63/'all race'!AD63)*100</f>
        <v>21.610738255033556</v>
      </c>
      <c r="L67" s="155">
        <f>+(black!CB63/black!AD63)*100</f>
        <v>59.627329192546583</v>
      </c>
      <c r="M67" s="73">
        <f>+(black!AI63/'all race'!AI63)*100</f>
        <v>21.922054915854737</v>
      </c>
      <c r="N67" s="170">
        <f>+(black!CG63/black!AI63)*100</f>
        <v>57.575757575757578</v>
      </c>
      <c r="O67" s="97">
        <f>+('Hispanic &amp; Non-resident'!Y63/'all race'!AD63)*100</f>
        <v>7.7852348993288594</v>
      </c>
      <c r="P67" s="73">
        <f>+('Hispanic &amp; Non-resident'!AD63/'all race'!AI63)*100</f>
        <v>9.0345438441098302</v>
      </c>
    </row>
    <row r="68" spans="1:16" ht="22.5" customHeight="1">
      <c r="A68" s="75" t="s">
        <v>74</v>
      </c>
    </row>
    <row r="69" spans="1:16" s="89" customFormat="1" ht="33" customHeight="1">
      <c r="A69" s="174" t="s">
        <v>75</v>
      </c>
      <c r="B69" s="174"/>
      <c r="C69" s="174"/>
      <c r="D69" s="174"/>
      <c r="E69" s="174"/>
      <c r="F69" s="174"/>
      <c r="G69" s="174"/>
      <c r="H69" s="174"/>
      <c r="I69" s="174"/>
      <c r="J69" s="174"/>
      <c r="K69" s="174"/>
      <c r="L69" s="174"/>
      <c r="M69" s="174"/>
      <c r="N69" s="174"/>
      <c r="O69" s="174"/>
      <c r="P69" s="174"/>
    </row>
    <row r="70" spans="1:16" ht="17.25" customHeight="1">
      <c r="A70" s="174" t="s">
        <v>76</v>
      </c>
      <c r="B70" s="174"/>
      <c r="C70" s="174"/>
      <c r="D70" s="174"/>
      <c r="E70" s="174"/>
      <c r="F70" s="174"/>
      <c r="G70" s="174"/>
      <c r="H70" s="174"/>
      <c r="I70" s="174"/>
      <c r="J70" s="174"/>
      <c r="K70" s="174"/>
      <c r="L70" s="174"/>
      <c r="M70" s="174"/>
      <c r="N70" s="174"/>
      <c r="O70" s="174"/>
      <c r="P70" s="174"/>
    </row>
    <row r="71" spans="1:16" ht="36.75" customHeight="1">
      <c r="A71" s="174" t="s">
        <v>77</v>
      </c>
      <c r="B71" s="174"/>
      <c r="C71" s="174"/>
      <c r="D71" s="174"/>
      <c r="E71" s="174"/>
      <c r="F71" s="174"/>
      <c r="G71" s="174"/>
      <c r="H71" s="174"/>
      <c r="I71" s="174"/>
      <c r="J71" s="174"/>
      <c r="K71" s="174"/>
      <c r="L71" s="174"/>
      <c r="M71" s="174"/>
      <c r="N71" s="174"/>
      <c r="O71" s="174"/>
      <c r="P71" s="174"/>
    </row>
    <row r="72" spans="1:16" ht="15" customHeight="1">
      <c r="A72" s="175" t="s">
        <v>78</v>
      </c>
      <c r="B72" s="176"/>
      <c r="C72" s="176"/>
      <c r="D72" s="176"/>
      <c r="E72" s="176"/>
      <c r="F72" s="176"/>
      <c r="G72" s="176"/>
      <c r="H72" s="176"/>
      <c r="I72" s="176"/>
      <c r="J72" s="176"/>
      <c r="K72" s="176"/>
      <c r="L72" s="176"/>
      <c r="M72" s="176"/>
      <c r="N72" s="176"/>
      <c r="O72" s="176"/>
      <c r="P72" s="176"/>
    </row>
    <row r="73" spans="1:16">
      <c r="C73" s="8"/>
      <c r="O73" s="173" t="s">
        <v>79</v>
      </c>
      <c r="P73" s="173"/>
    </row>
  </sheetData>
  <mergeCells count="6">
    <mergeCell ref="E5:F5"/>
    <mergeCell ref="O73:P73"/>
    <mergeCell ref="A69:P69"/>
    <mergeCell ref="A70:P70"/>
    <mergeCell ref="A71:P71"/>
    <mergeCell ref="A72:P72"/>
  </mergeCells>
  <pageMargins left="0.5" right="0.5" top="0.5" bottom="0.5" header="0.5" footer="0.5"/>
  <pageSetup scale="61" orientation="portrait" verticalDpi="300"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BA100"/>
  <sheetViews>
    <sheetView zoomScale="90" zoomScaleNormal="90" workbookViewId="0">
      <pane xSplit="1" ySplit="4" topLeftCell="BD62" activePane="bottomRight" state="frozen"/>
      <selection pane="bottomRight" activeCell="BD62" sqref="BD62"/>
      <selection pane="bottomLeft" activeCell="A5" sqref="A5"/>
      <selection pane="topRight" activeCell="B1" sqref="B1"/>
    </sheetView>
  </sheetViews>
  <sheetFormatPr defaultColWidth="9.140625" defaultRowHeight="12.6"/>
  <cols>
    <col min="1" max="1" width="19.140625" style="1" customWidth="1"/>
    <col min="2" max="37" width="8.85546875" style="1" customWidth="1"/>
    <col min="38" max="16384" width="9.140625" style="1"/>
  </cols>
  <sheetData>
    <row r="1" spans="1:53" ht="12.95">
      <c r="A1" s="16" t="s">
        <v>80</v>
      </c>
      <c r="B1" s="11"/>
    </row>
    <row r="3" spans="1:53" s="114" customFormat="1" ht="12.95">
      <c r="B3" s="114" t="s">
        <v>81</v>
      </c>
      <c r="C3" s="114" t="s">
        <v>82</v>
      </c>
      <c r="D3" s="114" t="s">
        <v>83</v>
      </c>
      <c r="E3" s="114" t="s">
        <v>84</v>
      </c>
      <c r="F3" s="114" t="s">
        <v>85</v>
      </c>
      <c r="G3" s="114" t="s">
        <v>86</v>
      </c>
      <c r="H3" s="114" t="s">
        <v>87</v>
      </c>
      <c r="I3" s="114" t="s">
        <v>88</v>
      </c>
      <c r="J3" s="114" t="s">
        <v>89</v>
      </c>
      <c r="K3" s="114" t="s">
        <v>90</v>
      </c>
      <c r="L3" s="114" t="s">
        <v>91</v>
      </c>
      <c r="M3" s="114" t="s">
        <v>92</v>
      </c>
      <c r="N3" s="114" t="s">
        <v>93</v>
      </c>
      <c r="O3" s="114" t="s">
        <v>94</v>
      </c>
      <c r="P3" s="114" t="s">
        <v>95</v>
      </c>
      <c r="Q3" s="114" t="s">
        <v>96</v>
      </c>
      <c r="R3" s="114" t="s">
        <v>97</v>
      </c>
      <c r="S3" s="114" t="s">
        <v>98</v>
      </c>
      <c r="T3" s="114" t="s">
        <v>99</v>
      </c>
      <c r="U3" s="114" t="s">
        <v>100</v>
      </c>
      <c r="V3" s="114" t="s">
        <v>101</v>
      </c>
      <c r="W3" s="114" t="s">
        <v>102</v>
      </c>
      <c r="X3" s="114" t="s">
        <v>103</v>
      </c>
      <c r="Y3" s="114" t="s">
        <v>104</v>
      </c>
      <c r="Z3" s="114" t="s">
        <v>105</v>
      </c>
      <c r="AA3" s="114" t="s">
        <v>106</v>
      </c>
      <c r="AB3" s="114" t="s">
        <v>107</v>
      </c>
      <c r="AC3" s="114" t="s">
        <v>108</v>
      </c>
      <c r="AD3" s="114" t="s">
        <v>109</v>
      </c>
      <c r="AE3" s="114" t="s">
        <v>110</v>
      </c>
      <c r="AF3" s="114" t="s">
        <v>111</v>
      </c>
      <c r="AG3" s="114" t="s">
        <v>112</v>
      </c>
      <c r="AH3" s="114" t="s">
        <v>113</v>
      </c>
      <c r="AI3" s="114" t="s">
        <v>114</v>
      </c>
      <c r="AJ3" s="114" t="s">
        <v>115</v>
      </c>
      <c r="AK3" s="114" t="s">
        <v>116</v>
      </c>
      <c r="AL3" s="114" t="s">
        <v>117</v>
      </c>
      <c r="AM3" s="114" t="s">
        <v>118</v>
      </c>
      <c r="AN3" s="114" t="s">
        <v>119</v>
      </c>
      <c r="AO3" s="114" t="s">
        <v>120</v>
      </c>
      <c r="AP3" s="114" t="s">
        <v>121</v>
      </c>
      <c r="AQ3" s="114" t="s">
        <v>122</v>
      </c>
      <c r="AR3" s="114" t="s">
        <v>123</v>
      </c>
      <c r="AS3" s="114" t="s">
        <v>124</v>
      </c>
      <c r="AT3" s="114" t="s">
        <v>125</v>
      </c>
      <c r="AU3" s="114" t="s">
        <v>126</v>
      </c>
      <c r="AV3" s="114" t="s">
        <v>14</v>
      </c>
      <c r="AW3" s="114" t="s">
        <v>127</v>
      </c>
      <c r="AX3" s="114" t="s">
        <v>128</v>
      </c>
      <c r="AY3" s="114" t="s">
        <v>129</v>
      </c>
      <c r="AZ3" s="114" t="s">
        <v>130</v>
      </c>
      <c r="BA3" s="115" t="s">
        <v>13</v>
      </c>
    </row>
    <row r="4" spans="1:53">
      <c r="A4" s="40" t="s">
        <v>16</v>
      </c>
      <c r="B4" s="41">
        <v>36447</v>
      </c>
      <c r="C4" s="41">
        <f t="shared" ref="C4:AP4" si="0">C5+C23+C38+C52+C63</f>
        <v>34918</v>
      </c>
      <c r="D4" s="41">
        <f t="shared" si="0"/>
        <v>37946</v>
      </c>
      <c r="E4" s="41">
        <f t="shared" si="0"/>
        <v>43411</v>
      </c>
      <c r="F4" s="41">
        <f t="shared" si="0"/>
        <v>50018</v>
      </c>
      <c r="G4" s="41">
        <f t="shared" si="0"/>
        <v>53816</v>
      </c>
      <c r="H4" s="41">
        <f t="shared" si="0"/>
        <v>55916</v>
      </c>
      <c r="I4" s="41">
        <f t="shared" si="0"/>
        <v>62649</v>
      </c>
      <c r="J4" s="41">
        <f t="shared" si="0"/>
        <v>64359</v>
      </c>
      <c r="K4" s="41">
        <f t="shared" si="0"/>
        <v>66581</v>
      </c>
      <c r="L4" s="41">
        <f t="shared" si="0"/>
        <v>68848</v>
      </c>
      <c r="M4" s="41">
        <f t="shared" si="0"/>
        <v>70103</v>
      </c>
      <c r="N4" s="41">
        <f t="shared" si="0"/>
        <v>71889</v>
      </c>
      <c r="O4" s="41">
        <f t="shared" si="0"/>
        <v>71929</v>
      </c>
      <c r="P4" s="41">
        <f t="shared" si="0"/>
        <v>72933</v>
      </c>
      <c r="Q4" s="41">
        <f t="shared" si="0"/>
        <v>74347</v>
      </c>
      <c r="R4" s="41">
        <f t="shared" si="0"/>
        <v>74911</v>
      </c>
      <c r="S4" s="41">
        <f t="shared" si="0"/>
        <v>73757</v>
      </c>
      <c r="T4" s="41">
        <f t="shared" si="0"/>
        <v>71463</v>
      </c>
      <c r="U4" s="41">
        <f t="shared" si="0"/>
        <v>70266</v>
      </c>
      <c r="V4" s="41">
        <f t="shared" si="0"/>
        <v>70607</v>
      </c>
      <c r="W4" s="41">
        <f t="shared" si="0"/>
        <v>70837</v>
      </c>
      <c r="X4" s="41">
        <f t="shared" si="0"/>
        <v>71799</v>
      </c>
      <c r="Y4" s="41">
        <f t="shared" si="0"/>
        <v>73967</v>
      </c>
      <c r="Z4" s="41">
        <f t="shared" si="0"/>
        <v>75232</v>
      </c>
      <c r="AA4" s="41">
        <f t="shared" si="0"/>
        <v>75263</v>
      </c>
      <c r="AB4" s="41">
        <f t="shared" si="0"/>
        <v>75643</v>
      </c>
      <c r="AC4" s="41">
        <f t="shared" si="0"/>
        <v>76578</v>
      </c>
      <c r="AD4" s="41">
        <f t="shared" si="0"/>
        <v>78566</v>
      </c>
      <c r="AE4" s="41">
        <f t="shared" si="0"/>
        <v>78598</v>
      </c>
      <c r="AF4" s="41">
        <f t="shared" si="0"/>
        <v>78439</v>
      </c>
      <c r="AG4" s="41">
        <f t="shared" si="0"/>
        <v>80057</v>
      </c>
      <c r="AH4" s="41">
        <f t="shared" si="0"/>
        <v>79707</v>
      </c>
      <c r="AI4" s="41">
        <f t="shared" si="0"/>
        <v>80698</v>
      </c>
      <c r="AJ4" s="41">
        <f t="shared" si="0"/>
        <v>80897</v>
      </c>
      <c r="AK4" s="41">
        <f t="shared" si="0"/>
        <v>83041</v>
      </c>
      <c r="AL4" s="41">
        <f t="shared" si="0"/>
        <v>87289</v>
      </c>
      <c r="AM4" s="41">
        <f t="shared" si="0"/>
        <v>87655</v>
      </c>
      <c r="AN4" s="41">
        <f t="shared" si="0"/>
        <v>90064</v>
      </c>
      <c r="AO4" s="41">
        <f t="shared" si="0"/>
        <v>92085</v>
      </c>
      <c r="AP4" s="41">
        <f t="shared" si="0"/>
        <v>94931</v>
      </c>
      <c r="AQ4" s="41">
        <f>AQ5+AQ23+AQ38+AQ52+AQ63</f>
        <v>99409</v>
      </c>
      <c r="AR4" s="41">
        <f>AR5+AR23+AR38+AR52+AR63</f>
        <v>102813</v>
      </c>
      <c r="AS4" s="41">
        <f>AS5+AS23+AS38+AS52+AS63</f>
        <v>106726</v>
      </c>
      <c r="AT4" s="41">
        <f>AT5+AT23+AT38+AT52+AT63</f>
        <v>108908</v>
      </c>
      <c r="AU4" s="41">
        <f t="shared" ref="AU4:AV4" si="1">AU5+AU23+AU38+AU52+AU63</f>
        <v>108533</v>
      </c>
      <c r="AV4" s="41">
        <f t="shared" si="1"/>
        <v>107924</v>
      </c>
      <c r="AW4" s="41">
        <f t="shared" ref="AW4:AX4" si="2">AW5+AW23+AW38+AW52+AW63</f>
        <v>106388</v>
      </c>
      <c r="AX4" s="41">
        <f t="shared" si="2"/>
        <v>108332</v>
      </c>
      <c r="AY4" s="41">
        <f t="shared" ref="AY4:AZ4" si="3">AY5+AY23+AY38+AY52+AY63</f>
        <v>109405</v>
      </c>
      <c r="AZ4" s="41">
        <f t="shared" si="3"/>
        <v>111635</v>
      </c>
      <c r="BA4" s="41">
        <f t="shared" ref="BA4" si="4">BA5+BA23+BA38+BA52+BA63</f>
        <v>114081</v>
      </c>
    </row>
    <row r="5" spans="1:53">
      <c r="A5" s="42" t="s">
        <v>17</v>
      </c>
      <c r="B5" s="43">
        <f>SUM(B7:B22)</f>
        <v>8595</v>
      </c>
      <c r="C5" s="43">
        <f t="shared" ref="C5:AP5" si="5">SUM(C7:C22)</f>
        <v>9484</v>
      </c>
      <c r="D5" s="43">
        <f t="shared" si="5"/>
        <v>9866</v>
      </c>
      <c r="E5" s="43">
        <f t="shared" si="5"/>
        <v>11078</v>
      </c>
      <c r="F5" s="43">
        <f t="shared" si="5"/>
        <v>13213</v>
      </c>
      <c r="G5" s="43">
        <f t="shared" si="5"/>
        <v>14725</v>
      </c>
      <c r="H5" s="43">
        <f t="shared" si="5"/>
        <v>15009</v>
      </c>
      <c r="I5" s="43">
        <f t="shared" si="5"/>
        <v>16099</v>
      </c>
      <c r="J5" s="43">
        <f t="shared" si="5"/>
        <v>16790</v>
      </c>
      <c r="K5" s="43">
        <f t="shared" si="5"/>
        <v>17297</v>
      </c>
      <c r="L5" s="43">
        <f t="shared" si="5"/>
        <v>17925</v>
      </c>
      <c r="M5" s="43">
        <f t="shared" si="5"/>
        <v>18393</v>
      </c>
      <c r="N5" s="43">
        <f t="shared" si="5"/>
        <v>19753</v>
      </c>
      <c r="O5" s="43">
        <f t="shared" si="5"/>
        <v>20003</v>
      </c>
      <c r="P5" s="43">
        <f t="shared" si="5"/>
        <v>20237</v>
      </c>
      <c r="Q5" s="43">
        <f t="shared" si="5"/>
        <v>20339</v>
      </c>
      <c r="R5" s="43">
        <f t="shared" si="5"/>
        <v>20907</v>
      </c>
      <c r="S5" s="43">
        <f t="shared" si="5"/>
        <v>20946</v>
      </c>
      <c r="T5" s="43">
        <f t="shared" si="5"/>
        <v>20006</v>
      </c>
      <c r="U5" s="43">
        <f t="shared" si="5"/>
        <v>19979</v>
      </c>
      <c r="V5" s="43">
        <f t="shared" si="5"/>
        <v>20222</v>
      </c>
      <c r="W5" s="43">
        <f t="shared" si="5"/>
        <v>20031</v>
      </c>
      <c r="X5" s="43">
        <f t="shared" si="5"/>
        <v>20789</v>
      </c>
      <c r="Y5" s="43">
        <f t="shared" si="5"/>
        <v>21125</v>
      </c>
      <c r="Z5" s="43">
        <f t="shared" si="5"/>
        <v>21734</v>
      </c>
      <c r="AA5" s="43">
        <f t="shared" si="5"/>
        <v>21773</v>
      </c>
      <c r="AB5" s="43">
        <f t="shared" si="5"/>
        <v>22369</v>
      </c>
      <c r="AC5" s="43">
        <f t="shared" si="5"/>
        <v>22623</v>
      </c>
      <c r="AD5" s="43">
        <f t="shared" si="5"/>
        <v>23526</v>
      </c>
      <c r="AE5" s="43">
        <f t="shared" si="5"/>
        <v>23936</v>
      </c>
      <c r="AF5" s="43">
        <f t="shared" si="5"/>
        <v>23994</v>
      </c>
      <c r="AG5" s="43">
        <f t="shared" si="5"/>
        <v>24838</v>
      </c>
      <c r="AH5" s="43">
        <f t="shared" si="5"/>
        <v>24063</v>
      </c>
      <c r="AI5" s="43">
        <f t="shared" si="5"/>
        <v>24372</v>
      </c>
      <c r="AJ5" s="43">
        <f t="shared" si="5"/>
        <v>24012</v>
      </c>
      <c r="AK5" s="43">
        <f t="shared" si="5"/>
        <v>24908</v>
      </c>
      <c r="AL5" s="43">
        <f t="shared" si="5"/>
        <v>25755</v>
      </c>
      <c r="AM5" s="43">
        <f t="shared" si="5"/>
        <v>26215</v>
      </c>
      <c r="AN5" s="43">
        <f t="shared" si="5"/>
        <v>27101</v>
      </c>
      <c r="AO5" s="43">
        <f t="shared" si="5"/>
        <v>27931</v>
      </c>
      <c r="AP5" s="43">
        <f t="shared" si="5"/>
        <v>28789</v>
      </c>
      <c r="AQ5" s="43">
        <f>SUM(AQ7:AQ22)</f>
        <v>30599</v>
      </c>
      <c r="AR5" s="43">
        <f>SUM(AR7:AR22)</f>
        <v>31516</v>
      </c>
      <c r="AS5" s="43">
        <f>SUM(AS7:AS22)</f>
        <v>33403</v>
      </c>
      <c r="AT5" s="43">
        <f>SUM(AT7:AT22)</f>
        <v>33485</v>
      </c>
      <c r="AU5" s="43">
        <f t="shared" ref="AU5:AV5" si="6">SUM(AU7:AU22)</f>
        <v>33652</v>
      </c>
      <c r="AV5" s="43">
        <f t="shared" si="6"/>
        <v>33488</v>
      </c>
      <c r="AW5" s="43">
        <f t="shared" ref="AW5:AX5" si="7">SUM(AW7:AW22)</f>
        <v>33036</v>
      </c>
      <c r="AX5" s="43">
        <f t="shared" si="7"/>
        <v>33499</v>
      </c>
      <c r="AY5" s="43">
        <f t="shared" ref="AY5:AZ5" si="8">SUM(AY7:AY22)</f>
        <v>33789</v>
      </c>
      <c r="AZ5" s="43">
        <f t="shared" si="8"/>
        <v>34902</v>
      </c>
      <c r="BA5" s="43">
        <f t="shared" ref="BA5" si="9">SUM(BA7:BA22)</f>
        <v>35853</v>
      </c>
    </row>
    <row r="6" spans="1:53" s="14" customFormat="1">
      <c r="A6" s="44" t="s">
        <v>131</v>
      </c>
      <c r="B6" s="45">
        <f>(B5/B4)*100</f>
        <v>23.582187834389661</v>
      </c>
      <c r="C6" s="45">
        <f t="shared" ref="C6:AP6" si="10">(C5/C4)*100</f>
        <v>27.160776676785613</v>
      </c>
      <c r="D6" s="45">
        <f t="shared" si="10"/>
        <v>26.000105412955254</v>
      </c>
      <c r="E6" s="45">
        <f t="shared" si="10"/>
        <v>25.518877703807792</v>
      </c>
      <c r="F6" s="45">
        <f t="shared" si="10"/>
        <v>26.416490063577115</v>
      </c>
      <c r="G6" s="45">
        <f t="shared" si="10"/>
        <v>27.361751152073733</v>
      </c>
      <c r="H6" s="45">
        <f t="shared" si="10"/>
        <v>26.842048787466915</v>
      </c>
      <c r="I6" s="45">
        <f t="shared" si="10"/>
        <v>25.697138022953283</v>
      </c>
      <c r="J6" s="45">
        <f t="shared" si="10"/>
        <v>26.088037415124539</v>
      </c>
      <c r="K6" s="45">
        <f t="shared" si="10"/>
        <v>25.978882864480855</v>
      </c>
      <c r="L6" s="45">
        <f t="shared" si="10"/>
        <v>26.035614687427376</v>
      </c>
      <c r="M6" s="45">
        <f t="shared" si="10"/>
        <v>26.237108254996222</v>
      </c>
      <c r="N6" s="45">
        <f t="shared" si="10"/>
        <v>27.477082724756219</v>
      </c>
      <c r="O6" s="45">
        <f t="shared" si="10"/>
        <v>27.809367570798983</v>
      </c>
      <c r="P6" s="45">
        <f t="shared" si="10"/>
        <v>27.747384585852767</v>
      </c>
      <c r="Q6" s="45">
        <f t="shared" si="10"/>
        <v>27.356853672643144</v>
      </c>
      <c r="R6" s="45">
        <f t="shared" si="10"/>
        <v>27.909118821000924</v>
      </c>
      <c r="S6" s="45">
        <f t="shared" si="10"/>
        <v>28.398660466125246</v>
      </c>
      <c r="T6" s="45">
        <f t="shared" si="10"/>
        <v>27.994906455088646</v>
      </c>
      <c r="U6" s="45">
        <f t="shared" si="10"/>
        <v>28.433381720889194</v>
      </c>
      <c r="V6" s="45">
        <f t="shared" si="10"/>
        <v>28.640219808234313</v>
      </c>
      <c r="W6" s="45">
        <f t="shared" si="10"/>
        <v>28.277595042138998</v>
      </c>
      <c r="X6" s="45">
        <f t="shared" si="10"/>
        <v>28.954442262427055</v>
      </c>
      <c r="Y6" s="45">
        <f t="shared" si="10"/>
        <v>28.560033528465397</v>
      </c>
      <c r="Z6" s="45">
        <f t="shared" si="10"/>
        <v>28.889302424500212</v>
      </c>
      <c r="AA6" s="45">
        <f t="shared" si="10"/>
        <v>28.929221529835374</v>
      </c>
      <c r="AB6" s="45">
        <f t="shared" si="10"/>
        <v>29.571804396969974</v>
      </c>
      <c r="AC6" s="45">
        <f t="shared" si="10"/>
        <v>29.542427328997885</v>
      </c>
      <c r="AD6" s="45">
        <f t="shared" si="10"/>
        <v>29.944250693684292</v>
      </c>
      <c r="AE6" s="45">
        <f t="shared" si="10"/>
        <v>30.453701111987581</v>
      </c>
      <c r="AF6" s="45">
        <f t="shared" si="10"/>
        <v>30.589375183263428</v>
      </c>
      <c r="AG6" s="45">
        <f t="shared" si="10"/>
        <v>31.025394406485379</v>
      </c>
      <c r="AH6" s="45">
        <f t="shared" si="10"/>
        <v>30.189318378561481</v>
      </c>
      <c r="AI6" s="45">
        <f t="shared" si="10"/>
        <v>30.201491982453099</v>
      </c>
      <c r="AJ6" s="45">
        <f t="shared" si="10"/>
        <v>29.682188461871267</v>
      </c>
      <c r="AK6" s="45">
        <f t="shared" si="10"/>
        <v>29.994821834997172</v>
      </c>
      <c r="AL6" s="45">
        <f t="shared" si="10"/>
        <v>29.505435965585587</v>
      </c>
      <c r="AM6" s="45">
        <f t="shared" si="10"/>
        <v>29.907021847013858</v>
      </c>
      <c r="AN6" s="45">
        <f t="shared" si="10"/>
        <v>30.090824302718065</v>
      </c>
      <c r="AO6" s="45">
        <f t="shared" si="10"/>
        <v>30.331758701199981</v>
      </c>
      <c r="AP6" s="45">
        <f t="shared" si="10"/>
        <v>30.326236951048656</v>
      </c>
      <c r="AQ6" s="45">
        <f>(AQ5/AQ4)*100</f>
        <v>30.780915208884508</v>
      </c>
      <c r="AR6" s="45">
        <f>(AR5/AR4)*100</f>
        <v>30.653711106572125</v>
      </c>
      <c r="AS6" s="45">
        <f>(AS5/AS4)*100</f>
        <v>31.297903041433202</v>
      </c>
      <c r="AT6" s="45">
        <f>(AT5/AT4)*100</f>
        <v>30.74613435193007</v>
      </c>
      <c r="AU6" s="45">
        <f t="shared" ref="AU6:AV6" si="11">(AU5/AU4)*100</f>
        <v>31.006237734145376</v>
      </c>
      <c r="AV6" s="45">
        <f t="shared" si="11"/>
        <v>31.029242800489232</v>
      </c>
      <c r="AW6" s="45">
        <f t="shared" ref="AW6:AX6" si="12">(AW5/AW4)*100</f>
        <v>31.052374327931719</v>
      </c>
      <c r="AX6" s="45">
        <f t="shared" si="12"/>
        <v>30.922534431193</v>
      </c>
      <c r="AY6" s="45">
        <f t="shared" ref="AY6:AZ6" si="13">(AY5/AY4)*100</f>
        <v>30.884328869795713</v>
      </c>
      <c r="AZ6" s="45">
        <f t="shared" si="13"/>
        <v>31.264388408653197</v>
      </c>
      <c r="BA6" s="45">
        <f t="shared" ref="BA6" si="14">(BA5/BA4)*100</f>
        <v>31.427669813553528</v>
      </c>
    </row>
    <row r="7" spans="1:53">
      <c r="A7" s="42" t="s">
        <v>19</v>
      </c>
      <c r="B7" s="46">
        <v>267</v>
      </c>
      <c r="C7" s="46">
        <v>413</v>
      </c>
      <c r="D7" s="46">
        <v>425</v>
      </c>
      <c r="E7" s="46">
        <v>486</v>
      </c>
      <c r="F7" s="46">
        <v>510</v>
      </c>
      <c r="G7" s="46">
        <v>720</v>
      </c>
      <c r="H7" s="46">
        <v>838</v>
      </c>
      <c r="I7" s="46">
        <v>727</v>
      </c>
      <c r="J7" s="46">
        <v>747</v>
      </c>
      <c r="K7" s="46">
        <v>809</v>
      </c>
      <c r="L7" s="46">
        <v>870</v>
      </c>
      <c r="M7" s="46">
        <v>893</v>
      </c>
      <c r="N7" s="46">
        <v>940</v>
      </c>
      <c r="O7" s="46">
        <v>878</v>
      </c>
      <c r="P7" s="46">
        <v>902</v>
      </c>
      <c r="Q7" s="46">
        <v>921</v>
      </c>
      <c r="R7" s="46">
        <v>855</v>
      </c>
      <c r="S7" s="46">
        <v>842</v>
      </c>
      <c r="T7" s="46">
        <v>797</v>
      </c>
      <c r="U7" s="46">
        <v>817</v>
      </c>
      <c r="V7" s="46">
        <v>787</v>
      </c>
      <c r="W7" s="46">
        <v>832</v>
      </c>
      <c r="X7" s="46">
        <v>850</v>
      </c>
      <c r="Y7" s="46">
        <v>850</v>
      </c>
      <c r="Z7" s="46">
        <v>866</v>
      </c>
      <c r="AA7" s="46">
        <v>908</v>
      </c>
      <c r="AB7" s="46">
        <v>963</v>
      </c>
      <c r="AC7" s="46">
        <v>1035</v>
      </c>
      <c r="AD7" s="46">
        <v>1123</v>
      </c>
      <c r="AE7" s="46">
        <v>1095</v>
      </c>
      <c r="AF7" s="46">
        <v>1103</v>
      </c>
      <c r="AG7" s="46">
        <v>1085</v>
      </c>
      <c r="AH7" s="46">
        <v>1124</v>
      </c>
      <c r="AI7" s="46">
        <v>1066</v>
      </c>
      <c r="AJ7" s="46">
        <v>1019</v>
      </c>
      <c r="AK7" s="46">
        <v>1016</v>
      </c>
      <c r="AL7" s="46">
        <v>1100</v>
      </c>
      <c r="AM7" s="46">
        <v>1120</v>
      </c>
      <c r="AN7" s="46">
        <v>1126</v>
      </c>
      <c r="AO7" s="46">
        <v>1132</v>
      </c>
      <c r="AP7" s="46">
        <v>1199</v>
      </c>
      <c r="AQ7" s="46">
        <v>1486</v>
      </c>
      <c r="AR7" s="1">
        <v>1518</v>
      </c>
      <c r="AS7" s="1">
        <v>1554</v>
      </c>
      <c r="AT7" s="1">
        <v>1576</v>
      </c>
      <c r="AU7" s="1">
        <v>1557</v>
      </c>
      <c r="AV7" s="1">
        <v>1611</v>
      </c>
      <c r="AW7" s="1">
        <v>1595</v>
      </c>
      <c r="AX7" s="1">
        <v>1723</v>
      </c>
      <c r="AY7" s="1">
        <v>1848</v>
      </c>
      <c r="AZ7" s="1">
        <v>1866</v>
      </c>
      <c r="BA7" s="1">
        <v>1917</v>
      </c>
    </row>
    <row r="8" spans="1:53">
      <c r="A8" s="42" t="s">
        <v>20</v>
      </c>
      <c r="B8" s="46">
        <v>126</v>
      </c>
      <c r="C8" s="46">
        <v>191</v>
      </c>
      <c r="D8" s="46">
        <v>206</v>
      </c>
      <c r="E8" s="46">
        <v>208</v>
      </c>
      <c r="F8" s="46">
        <v>262</v>
      </c>
      <c r="G8" s="46">
        <v>248</v>
      </c>
      <c r="H8" s="46">
        <v>218</v>
      </c>
      <c r="I8" s="46">
        <v>299</v>
      </c>
      <c r="J8" s="46">
        <v>327</v>
      </c>
      <c r="K8" s="46">
        <v>350</v>
      </c>
      <c r="L8" s="46">
        <v>379</v>
      </c>
      <c r="M8" s="46">
        <v>345</v>
      </c>
      <c r="N8" s="46">
        <v>391</v>
      </c>
      <c r="O8" s="46">
        <v>382</v>
      </c>
      <c r="P8" s="46">
        <v>363</v>
      </c>
      <c r="Q8" s="46">
        <v>342</v>
      </c>
      <c r="R8" s="46">
        <v>354</v>
      </c>
      <c r="S8" s="46">
        <v>355</v>
      </c>
      <c r="T8" s="46">
        <v>319</v>
      </c>
      <c r="U8" s="46">
        <v>369</v>
      </c>
      <c r="V8" s="46">
        <v>343</v>
      </c>
      <c r="W8" s="46">
        <v>324</v>
      </c>
      <c r="X8" s="46">
        <v>354</v>
      </c>
      <c r="Y8" s="46">
        <v>363</v>
      </c>
      <c r="Z8" s="46">
        <v>449</v>
      </c>
      <c r="AA8" s="46">
        <v>441</v>
      </c>
      <c r="AB8" s="46">
        <v>482</v>
      </c>
      <c r="AC8" s="46">
        <v>499</v>
      </c>
      <c r="AD8" s="46">
        <v>469</v>
      </c>
      <c r="AE8" s="46">
        <v>460</v>
      </c>
      <c r="AF8" s="46">
        <v>471</v>
      </c>
      <c r="AG8" s="46">
        <v>494</v>
      </c>
      <c r="AH8" s="46">
        <v>512</v>
      </c>
      <c r="AI8" s="46">
        <v>490</v>
      </c>
      <c r="AJ8" s="46">
        <v>477</v>
      </c>
      <c r="AK8" s="46">
        <v>465</v>
      </c>
      <c r="AL8" s="46">
        <v>505</v>
      </c>
      <c r="AM8" s="46">
        <v>526</v>
      </c>
      <c r="AN8" s="46">
        <v>512</v>
      </c>
      <c r="AO8" s="46">
        <v>517</v>
      </c>
      <c r="AP8" s="46">
        <v>509</v>
      </c>
      <c r="AQ8" s="46">
        <v>524</v>
      </c>
      <c r="AR8" s="1">
        <v>521</v>
      </c>
      <c r="AS8" s="1">
        <v>655</v>
      </c>
      <c r="AT8" s="1">
        <v>689</v>
      </c>
      <c r="AU8" s="1">
        <v>712</v>
      </c>
      <c r="AV8" s="1">
        <v>677</v>
      </c>
      <c r="AW8" s="1">
        <v>733</v>
      </c>
      <c r="AX8" s="1">
        <v>731</v>
      </c>
      <c r="AY8" s="1">
        <v>703</v>
      </c>
      <c r="AZ8" s="1">
        <v>739</v>
      </c>
      <c r="BA8" s="1">
        <v>768</v>
      </c>
    </row>
    <row r="9" spans="1:53">
      <c r="A9" s="42" t="s">
        <v>21</v>
      </c>
      <c r="B9" s="46"/>
      <c r="C9" s="46"/>
      <c r="D9" s="46"/>
      <c r="E9" s="46"/>
      <c r="F9" s="46"/>
      <c r="G9" s="46"/>
      <c r="H9" s="46"/>
      <c r="I9" s="46"/>
      <c r="J9" s="46"/>
      <c r="K9" s="46"/>
      <c r="L9" s="46"/>
      <c r="M9" s="46"/>
      <c r="N9" s="46"/>
      <c r="O9" s="46">
        <v>221</v>
      </c>
      <c r="P9" s="46">
        <v>222</v>
      </c>
      <c r="Q9" s="46">
        <v>238</v>
      </c>
      <c r="R9" s="46">
        <v>265</v>
      </c>
      <c r="S9" s="46">
        <v>265</v>
      </c>
      <c r="T9" s="46">
        <v>245</v>
      </c>
      <c r="U9" s="46">
        <v>284</v>
      </c>
      <c r="V9" s="46">
        <v>317</v>
      </c>
      <c r="W9" s="46">
        <v>329</v>
      </c>
      <c r="X9" s="46">
        <v>418</v>
      </c>
      <c r="Y9" s="46">
        <v>578</v>
      </c>
      <c r="Z9" s="46">
        <v>550</v>
      </c>
      <c r="AA9" s="46">
        <v>461</v>
      </c>
      <c r="AB9" s="46">
        <v>418</v>
      </c>
      <c r="AC9" s="46">
        <v>391</v>
      </c>
      <c r="AD9" s="46">
        <v>368</v>
      </c>
      <c r="AE9" s="46">
        <v>344</v>
      </c>
      <c r="AF9" s="46">
        <v>322</v>
      </c>
      <c r="AG9" s="46">
        <v>315</v>
      </c>
      <c r="AH9" s="46">
        <v>267</v>
      </c>
      <c r="AI9" s="46">
        <v>291</v>
      </c>
      <c r="AJ9" s="46">
        <v>312</v>
      </c>
      <c r="AK9" s="46">
        <v>243</v>
      </c>
      <c r="AL9" s="46">
        <v>335</v>
      </c>
      <c r="AM9" s="46">
        <v>320</v>
      </c>
      <c r="AN9" s="46">
        <v>291</v>
      </c>
      <c r="AO9" s="46">
        <v>314</v>
      </c>
      <c r="AP9" s="46">
        <v>279</v>
      </c>
      <c r="AQ9" s="46">
        <v>307</v>
      </c>
      <c r="AR9" s="1">
        <v>288</v>
      </c>
      <c r="AS9" s="1">
        <v>305</v>
      </c>
      <c r="AT9" s="1">
        <v>302</v>
      </c>
      <c r="AU9" s="1">
        <v>274</v>
      </c>
      <c r="AV9" s="1">
        <v>207</v>
      </c>
      <c r="AW9" s="1">
        <v>32</v>
      </c>
      <c r="AX9" s="1">
        <v>56</v>
      </c>
      <c r="AY9" s="1">
        <v>55</v>
      </c>
      <c r="AZ9" s="1">
        <v>54</v>
      </c>
      <c r="BA9" s="1">
        <v>65</v>
      </c>
    </row>
    <row r="10" spans="1:53">
      <c r="A10" s="42" t="s">
        <v>22</v>
      </c>
      <c r="B10" s="46">
        <v>766</v>
      </c>
      <c r="C10" s="46">
        <v>632</v>
      </c>
      <c r="D10" s="46">
        <v>666</v>
      </c>
      <c r="E10" s="46">
        <v>916</v>
      </c>
      <c r="F10" s="46">
        <v>1133</v>
      </c>
      <c r="G10" s="46">
        <v>1212</v>
      </c>
      <c r="H10" s="46">
        <v>1187</v>
      </c>
      <c r="I10" s="46">
        <v>1380</v>
      </c>
      <c r="J10" s="46">
        <v>1699</v>
      </c>
      <c r="K10" s="46">
        <v>1714</v>
      </c>
      <c r="L10" s="46">
        <v>1702</v>
      </c>
      <c r="M10" s="46">
        <v>1799</v>
      </c>
      <c r="N10" s="46">
        <v>1804</v>
      </c>
      <c r="O10" s="46">
        <v>1762</v>
      </c>
      <c r="P10" s="46">
        <v>1762</v>
      </c>
      <c r="Q10" s="46">
        <v>1731</v>
      </c>
      <c r="R10" s="46">
        <v>1823</v>
      </c>
      <c r="S10" s="46">
        <v>1878</v>
      </c>
      <c r="T10" s="46">
        <v>2105</v>
      </c>
      <c r="U10" s="46">
        <v>2046</v>
      </c>
      <c r="V10" s="46">
        <v>2051</v>
      </c>
      <c r="W10" s="46">
        <v>2138</v>
      </c>
      <c r="X10" s="46">
        <v>2303</v>
      </c>
      <c r="Y10" s="46">
        <v>2312</v>
      </c>
      <c r="Z10" s="46">
        <v>2322</v>
      </c>
      <c r="AA10" s="46">
        <v>2382</v>
      </c>
      <c r="AB10" s="46">
        <v>2494</v>
      </c>
      <c r="AC10" s="46">
        <v>2486</v>
      </c>
      <c r="AD10" s="46">
        <v>2623</v>
      </c>
      <c r="AE10" s="46">
        <v>2762</v>
      </c>
      <c r="AF10" s="46">
        <v>2858</v>
      </c>
      <c r="AG10" s="46">
        <v>3144</v>
      </c>
      <c r="AH10" s="46">
        <v>3027</v>
      </c>
      <c r="AI10" s="46">
        <v>3217</v>
      </c>
      <c r="AJ10" s="46">
        <v>3312</v>
      </c>
      <c r="AK10" s="46">
        <v>3469</v>
      </c>
      <c r="AL10" s="46">
        <v>3716</v>
      </c>
      <c r="AM10" s="46">
        <v>3992</v>
      </c>
      <c r="AN10" s="46">
        <v>4531</v>
      </c>
      <c r="AO10" s="46">
        <v>4933</v>
      </c>
      <c r="AP10" s="46">
        <v>4888</v>
      </c>
      <c r="AQ10" s="46">
        <v>6129</v>
      </c>
      <c r="AR10" s="1">
        <v>6297</v>
      </c>
      <c r="AS10" s="1">
        <v>6373</v>
      </c>
      <c r="AT10" s="1">
        <v>5967</v>
      </c>
      <c r="AU10" s="1">
        <v>5860</v>
      </c>
      <c r="AV10" s="1">
        <v>5938</v>
      </c>
      <c r="AW10" s="1">
        <v>5838</v>
      </c>
      <c r="AX10" s="1">
        <v>5812</v>
      </c>
      <c r="AY10" s="1">
        <v>5745</v>
      </c>
      <c r="AZ10" s="1">
        <v>5715</v>
      </c>
      <c r="BA10" s="1">
        <v>5706</v>
      </c>
    </row>
    <row r="11" spans="1:53">
      <c r="A11" s="42" t="s">
        <v>23</v>
      </c>
      <c r="B11" s="46">
        <v>704</v>
      </c>
      <c r="C11" s="46">
        <v>759</v>
      </c>
      <c r="D11" s="46">
        <v>769</v>
      </c>
      <c r="E11" s="46">
        <v>789</v>
      </c>
      <c r="F11" s="46">
        <v>997</v>
      </c>
      <c r="G11" s="46">
        <v>1033</v>
      </c>
      <c r="H11" s="46">
        <v>1130</v>
      </c>
      <c r="I11" s="46">
        <v>1261</v>
      </c>
      <c r="J11" s="46">
        <v>1193</v>
      </c>
      <c r="K11" s="46">
        <v>1263</v>
      </c>
      <c r="L11" s="46">
        <v>1355</v>
      </c>
      <c r="M11" s="46">
        <v>1603</v>
      </c>
      <c r="N11" s="46">
        <v>1540</v>
      </c>
      <c r="O11" s="46">
        <v>1775</v>
      </c>
      <c r="P11" s="46">
        <v>1812</v>
      </c>
      <c r="Q11" s="46">
        <v>1831</v>
      </c>
      <c r="R11" s="46">
        <v>1946</v>
      </c>
      <c r="S11" s="46">
        <v>2083</v>
      </c>
      <c r="T11" s="46">
        <v>1990</v>
      </c>
      <c r="U11" s="46">
        <v>1875</v>
      </c>
      <c r="V11" s="46">
        <v>1846</v>
      </c>
      <c r="W11" s="46">
        <v>1835</v>
      </c>
      <c r="X11" s="46">
        <v>1952</v>
      </c>
      <c r="Y11" s="46">
        <v>1833</v>
      </c>
      <c r="Z11" s="46">
        <v>1949</v>
      </c>
      <c r="AA11" s="46">
        <v>2015</v>
      </c>
      <c r="AB11" s="46">
        <v>2061</v>
      </c>
      <c r="AC11" s="46">
        <v>2379</v>
      </c>
      <c r="AD11" s="46">
        <v>2514</v>
      </c>
      <c r="AE11" s="46">
        <v>2489</v>
      </c>
      <c r="AF11" s="46">
        <v>2436</v>
      </c>
      <c r="AG11" s="46">
        <v>2437</v>
      </c>
      <c r="AH11" s="46">
        <v>2336</v>
      </c>
      <c r="AI11" s="46">
        <v>2326</v>
      </c>
      <c r="AJ11" s="46">
        <v>2108</v>
      </c>
      <c r="AK11" s="46">
        <v>2118</v>
      </c>
      <c r="AL11" s="46">
        <v>2029</v>
      </c>
      <c r="AM11" s="46">
        <v>2086</v>
      </c>
      <c r="AN11" s="46">
        <v>2178</v>
      </c>
      <c r="AO11" s="46">
        <v>2138</v>
      </c>
      <c r="AP11" s="46">
        <v>2309</v>
      </c>
      <c r="AQ11" s="46">
        <v>2289</v>
      </c>
      <c r="AR11" s="1">
        <v>2300</v>
      </c>
      <c r="AS11" s="1">
        <v>2542</v>
      </c>
      <c r="AT11" s="1">
        <v>2694</v>
      </c>
      <c r="AU11" s="1">
        <v>2738</v>
      </c>
      <c r="AV11" s="1">
        <v>2670</v>
      </c>
      <c r="AW11" s="1">
        <v>2816</v>
      </c>
      <c r="AX11" s="1">
        <v>2822</v>
      </c>
      <c r="AY11" s="1">
        <v>2845</v>
      </c>
      <c r="AZ11" s="1">
        <v>2906</v>
      </c>
      <c r="BA11" s="1">
        <v>2824</v>
      </c>
    </row>
    <row r="12" spans="1:53">
      <c r="A12" s="42" t="s">
        <v>24</v>
      </c>
      <c r="B12" s="46">
        <v>693</v>
      </c>
      <c r="C12" s="46">
        <v>731</v>
      </c>
      <c r="D12" s="46">
        <v>844</v>
      </c>
      <c r="E12" s="46">
        <v>930</v>
      </c>
      <c r="F12" s="46">
        <v>1050</v>
      </c>
      <c r="G12" s="46">
        <v>1166</v>
      </c>
      <c r="H12" s="46">
        <v>1135</v>
      </c>
      <c r="I12" s="46">
        <v>1171</v>
      </c>
      <c r="J12" s="46">
        <v>1196</v>
      </c>
      <c r="K12" s="46">
        <v>1303</v>
      </c>
      <c r="L12" s="46">
        <v>1352</v>
      </c>
      <c r="M12" s="46">
        <v>1330</v>
      </c>
      <c r="N12" s="46">
        <v>1319</v>
      </c>
      <c r="O12" s="46">
        <v>1320</v>
      </c>
      <c r="P12" s="46">
        <v>1283</v>
      </c>
      <c r="Q12" s="46">
        <v>1219</v>
      </c>
      <c r="R12" s="46">
        <v>1281</v>
      </c>
      <c r="S12" s="46">
        <v>1168</v>
      </c>
      <c r="T12" s="46">
        <v>1113</v>
      </c>
      <c r="U12" s="46">
        <v>1161</v>
      </c>
      <c r="V12" s="46">
        <v>1167</v>
      </c>
      <c r="W12" s="46">
        <v>1127</v>
      </c>
      <c r="X12" s="46">
        <v>1130</v>
      </c>
      <c r="Y12" s="46">
        <v>896</v>
      </c>
      <c r="Z12" s="46">
        <v>985</v>
      </c>
      <c r="AA12" s="46">
        <v>1118</v>
      </c>
      <c r="AB12" s="46">
        <v>1127</v>
      </c>
      <c r="AC12" s="46">
        <v>1141</v>
      </c>
      <c r="AD12" s="46">
        <v>1206</v>
      </c>
      <c r="AE12" s="46">
        <v>1180</v>
      </c>
      <c r="AF12" s="46">
        <v>1162</v>
      </c>
      <c r="AG12" s="46">
        <v>1112</v>
      </c>
      <c r="AH12" s="46">
        <v>1018</v>
      </c>
      <c r="AI12" s="46">
        <v>1004</v>
      </c>
      <c r="AJ12" s="46">
        <v>1031</v>
      </c>
      <c r="AK12" s="46">
        <v>1040</v>
      </c>
      <c r="AL12" s="46">
        <v>1111</v>
      </c>
      <c r="AM12" s="46">
        <v>1089</v>
      </c>
      <c r="AN12" s="46">
        <v>1093</v>
      </c>
      <c r="AO12" s="46">
        <v>1100</v>
      </c>
      <c r="AP12" s="46">
        <v>1105</v>
      </c>
      <c r="AQ12" s="46">
        <v>1096</v>
      </c>
      <c r="AR12" s="1">
        <v>1270</v>
      </c>
      <c r="AS12" s="1">
        <v>1301</v>
      </c>
      <c r="AT12" s="1">
        <v>1322</v>
      </c>
      <c r="AU12" s="1">
        <v>1351</v>
      </c>
      <c r="AV12" s="1">
        <v>1339</v>
      </c>
      <c r="AW12" s="1">
        <v>1442</v>
      </c>
      <c r="AX12" s="1">
        <v>1364</v>
      </c>
      <c r="AY12" s="1">
        <v>1452</v>
      </c>
      <c r="AZ12" s="1">
        <v>1548</v>
      </c>
      <c r="BA12" s="1">
        <v>1679</v>
      </c>
    </row>
    <row r="13" spans="1:53">
      <c r="A13" s="42" t="s">
        <v>25</v>
      </c>
      <c r="B13" s="46">
        <v>796</v>
      </c>
      <c r="C13" s="46">
        <v>784</v>
      </c>
      <c r="D13" s="46">
        <v>820</v>
      </c>
      <c r="E13" s="46">
        <v>844</v>
      </c>
      <c r="F13" s="46">
        <v>952</v>
      </c>
      <c r="G13" s="46">
        <v>1056</v>
      </c>
      <c r="H13" s="46">
        <v>1134</v>
      </c>
      <c r="I13" s="46">
        <v>1213</v>
      </c>
      <c r="J13" s="46">
        <v>1277</v>
      </c>
      <c r="K13" s="46">
        <v>1308</v>
      </c>
      <c r="L13" s="46">
        <v>1377</v>
      </c>
      <c r="M13" s="46">
        <v>1396</v>
      </c>
      <c r="N13" s="46">
        <v>1427</v>
      </c>
      <c r="O13" s="46">
        <v>1546</v>
      </c>
      <c r="P13" s="46">
        <v>1559</v>
      </c>
      <c r="Q13" s="46">
        <v>1449</v>
      </c>
      <c r="R13" s="46">
        <v>1522</v>
      </c>
      <c r="S13" s="46">
        <v>1521</v>
      </c>
      <c r="T13" s="46">
        <v>1392</v>
      </c>
      <c r="U13" s="46">
        <v>1400</v>
      </c>
      <c r="V13" s="46">
        <v>1505</v>
      </c>
      <c r="W13" s="46">
        <v>1459</v>
      </c>
      <c r="X13" s="46">
        <v>1640</v>
      </c>
      <c r="Y13" s="46">
        <v>1562</v>
      </c>
      <c r="Z13" s="46">
        <v>1502</v>
      </c>
      <c r="AA13" s="46">
        <v>1582</v>
      </c>
      <c r="AB13" s="46">
        <v>1680</v>
      </c>
      <c r="AC13" s="46">
        <v>1528</v>
      </c>
      <c r="AD13" s="46">
        <v>1636</v>
      </c>
      <c r="AE13" s="46">
        <v>1723</v>
      </c>
      <c r="AF13" s="46">
        <v>1564</v>
      </c>
      <c r="AG13" s="46">
        <v>1528</v>
      </c>
      <c r="AH13" s="46">
        <v>1565</v>
      </c>
      <c r="AI13" s="46">
        <v>1510</v>
      </c>
      <c r="AJ13" s="46">
        <v>1592</v>
      </c>
      <c r="AK13" s="46">
        <v>1710</v>
      </c>
      <c r="AL13" s="46">
        <v>1651</v>
      </c>
      <c r="AM13" s="46">
        <v>1646</v>
      </c>
      <c r="AN13" s="46">
        <v>1622</v>
      </c>
      <c r="AO13" s="46">
        <v>1630</v>
      </c>
      <c r="AP13" s="46">
        <v>1617</v>
      </c>
      <c r="AQ13" s="46">
        <v>1770</v>
      </c>
      <c r="AR13" s="1">
        <v>1690</v>
      </c>
      <c r="AS13" s="1">
        <v>1882</v>
      </c>
      <c r="AT13" s="1">
        <v>1843</v>
      </c>
      <c r="AU13" s="1">
        <v>1816</v>
      </c>
      <c r="AV13" s="1">
        <v>1824</v>
      </c>
      <c r="AW13" s="1">
        <v>1838</v>
      </c>
      <c r="AX13" s="1">
        <v>1752</v>
      </c>
      <c r="AY13" s="1">
        <v>1732</v>
      </c>
      <c r="AZ13" s="1">
        <v>1716</v>
      </c>
      <c r="BA13" s="1">
        <v>1809</v>
      </c>
    </row>
    <row r="14" spans="1:53">
      <c r="A14" s="42" t="s">
        <v>26</v>
      </c>
      <c r="B14" s="46">
        <v>500</v>
      </c>
      <c r="C14" s="46">
        <v>782</v>
      </c>
      <c r="D14" s="46">
        <v>602</v>
      </c>
      <c r="E14" s="46">
        <v>643</v>
      </c>
      <c r="F14" s="46">
        <v>917</v>
      </c>
      <c r="G14" s="46">
        <v>971</v>
      </c>
      <c r="H14" s="46">
        <v>1029</v>
      </c>
      <c r="I14" s="46">
        <v>894</v>
      </c>
      <c r="J14" s="46">
        <v>918</v>
      </c>
      <c r="K14" s="46">
        <v>899</v>
      </c>
      <c r="L14" s="46">
        <v>921</v>
      </c>
      <c r="M14" s="46">
        <v>907</v>
      </c>
      <c r="N14" s="46">
        <v>894</v>
      </c>
      <c r="O14" s="46">
        <v>918</v>
      </c>
      <c r="P14" s="46">
        <v>905</v>
      </c>
      <c r="Q14" s="46">
        <v>891</v>
      </c>
      <c r="R14" s="46">
        <v>899</v>
      </c>
      <c r="S14" s="46">
        <v>1124</v>
      </c>
      <c r="T14" s="46">
        <v>968</v>
      </c>
      <c r="U14" s="46">
        <v>932</v>
      </c>
      <c r="V14" s="46">
        <v>973</v>
      </c>
      <c r="W14" s="46">
        <v>971</v>
      </c>
      <c r="X14" s="46">
        <v>997</v>
      </c>
      <c r="Y14" s="46">
        <v>946</v>
      </c>
      <c r="Z14" s="46">
        <v>1050</v>
      </c>
      <c r="AA14" s="46">
        <v>972</v>
      </c>
      <c r="AB14" s="46">
        <v>1001</v>
      </c>
      <c r="AC14" s="46">
        <v>913</v>
      </c>
      <c r="AD14" s="46">
        <v>1087</v>
      </c>
      <c r="AE14" s="46">
        <v>1115</v>
      </c>
      <c r="AF14" s="46">
        <v>1144</v>
      </c>
      <c r="AG14" s="46">
        <v>1049</v>
      </c>
      <c r="AH14" s="46">
        <v>1028</v>
      </c>
      <c r="AI14" s="46">
        <v>1129</v>
      </c>
      <c r="AJ14" s="46">
        <v>1046</v>
      </c>
      <c r="AK14" s="46">
        <v>1140</v>
      </c>
      <c r="AL14" s="46">
        <v>1080</v>
      </c>
      <c r="AM14" s="46">
        <v>1122</v>
      </c>
      <c r="AN14" s="46">
        <v>1140</v>
      </c>
      <c r="AO14" s="46">
        <v>1103</v>
      </c>
      <c r="AP14" s="46">
        <v>1202</v>
      </c>
      <c r="AQ14" s="46">
        <v>1374</v>
      </c>
      <c r="AR14" s="1">
        <v>1363</v>
      </c>
      <c r="AS14" s="1">
        <v>1447</v>
      </c>
      <c r="AT14" s="1">
        <v>1537</v>
      </c>
      <c r="AU14" s="1">
        <v>1526</v>
      </c>
      <c r="AV14" s="1">
        <v>1476</v>
      </c>
      <c r="AW14" s="1">
        <v>1406</v>
      </c>
      <c r="AX14" s="1">
        <v>1391</v>
      </c>
      <c r="AY14" s="1">
        <v>1481</v>
      </c>
      <c r="AZ14" s="1">
        <v>1464</v>
      </c>
      <c r="BA14" s="1">
        <v>1427</v>
      </c>
    </row>
    <row r="15" spans="1:53">
      <c r="A15" s="42" t="s">
        <v>27</v>
      </c>
      <c r="B15" s="46">
        <v>114</v>
      </c>
      <c r="C15" s="46">
        <v>188</v>
      </c>
      <c r="D15" s="46">
        <v>195</v>
      </c>
      <c r="E15" s="46">
        <v>218</v>
      </c>
      <c r="F15" s="46">
        <v>266</v>
      </c>
      <c r="G15" s="46">
        <v>391</v>
      </c>
      <c r="H15" s="46">
        <v>294</v>
      </c>
      <c r="I15" s="46">
        <v>391</v>
      </c>
      <c r="J15" s="46">
        <v>421</v>
      </c>
      <c r="K15" s="46">
        <v>460</v>
      </c>
      <c r="L15" s="46">
        <v>461</v>
      </c>
      <c r="M15" s="46">
        <v>375</v>
      </c>
      <c r="N15" s="46">
        <v>684</v>
      </c>
      <c r="O15" s="46">
        <v>469</v>
      </c>
      <c r="P15" s="46">
        <v>387</v>
      </c>
      <c r="Q15" s="46">
        <v>409</v>
      </c>
      <c r="R15" s="46">
        <v>500</v>
      </c>
      <c r="S15" s="46">
        <v>491</v>
      </c>
      <c r="T15" s="46">
        <v>461</v>
      </c>
      <c r="U15" s="46">
        <v>473</v>
      </c>
      <c r="V15" s="46">
        <v>414</v>
      </c>
      <c r="W15" s="46">
        <v>477</v>
      </c>
      <c r="X15" s="46">
        <v>452</v>
      </c>
      <c r="Y15" s="46">
        <v>513</v>
      </c>
      <c r="Z15" s="46">
        <v>466</v>
      </c>
      <c r="AA15" s="46">
        <v>478</v>
      </c>
      <c r="AB15" s="46">
        <v>492</v>
      </c>
      <c r="AC15" s="46">
        <v>445</v>
      </c>
      <c r="AD15" s="46">
        <v>464</v>
      </c>
      <c r="AE15" s="46">
        <v>494</v>
      </c>
      <c r="AF15" s="46">
        <v>583</v>
      </c>
      <c r="AG15" s="46">
        <v>506</v>
      </c>
      <c r="AH15" s="46">
        <v>481</v>
      </c>
      <c r="AI15" s="46">
        <v>541</v>
      </c>
      <c r="AJ15" s="46">
        <v>520</v>
      </c>
      <c r="AK15" s="46">
        <v>528</v>
      </c>
      <c r="AL15" s="46">
        <v>607</v>
      </c>
      <c r="AM15" s="46">
        <v>597</v>
      </c>
      <c r="AN15" s="46">
        <v>590</v>
      </c>
      <c r="AO15" s="46">
        <v>613</v>
      </c>
      <c r="AP15" s="46">
        <v>669</v>
      </c>
      <c r="AQ15" s="46">
        <v>680</v>
      </c>
      <c r="AR15" s="1">
        <v>710</v>
      </c>
      <c r="AS15" s="1">
        <v>714</v>
      </c>
      <c r="AT15" s="1">
        <v>769</v>
      </c>
      <c r="AU15" s="1">
        <v>798</v>
      </c>
      <c r="AV15" s="1">
        <v>720</v>
      </c>
      <c r="AW15" s="1">
        <v>754</v>
      </c>
      <c r="AX15" s="1">
        <v>791</v>
      </c>
      <c r="AY15" s="1">
        <v>770</v>
      </c>
      <c r="AZ15" s="1">
        <v>776</v>
      </c>
      <c r="BA15" s="1">
        <v>785</v>
      </c>
    </row>
    <row r="16" spans="1:53">
      <c r="A16" s="42" t="s">
        <v>28</v>
      </c>
      <c r="B16" s="46">
        <v>872</v>
      </c>
      <c r="C16" s="46">
        <v>665</v>
      </c>
      <c r="D16" s="46">
        <v>737</v>
      </c>
      <c r="E16" s="46">
        <v>870</v>
      </c>
      <c r="F16" s="46">
        <v>1010</v>
      </c>
      <c r="G16" s="46">
        <v>1120</v>
      </c>
      <c r="H16" s="46">
        <v>1090</v>
      </c>
      <c r="I16" s="46">
        <v>1262</v>
      </c>
      <c r="J16" s="46">
        <v>1218</v>
      </c>
      <c r="K16" s="46">
        <v>1284</v>
      </c>
      <c r="L16" s="46">
        <v>1384</v>
      </c>
      <c r="M16" s="46">
        <v>1468</v>
      </c>
      <c r="N16" s="46">
        <v>1508</v>
      </c>
      <c r="O16" s="46">
        <v>1519</v>
      </c>
      <c r="P16" s="46">
        <v>1582</v>
      </c>
      <c r="Q16" s="46">
        <v>1630</v>
      </c>
      <c r="R16" s="46">
        <v>1662</v>
      </c>
      <c r="S16" s="46">
        <v>1573</v>
      </c>
      <c r="T16" s="46">
        <v>1620</v>
      </c>
      <c r="U16" s="46">
        <v>1594</v>
      </c>
      <c r="V16" s="46">
        <v>1632</v>
      </c>
      <c r="W16" s="46">
        <v>1597</v>
      </c>
      <c r="X16" s="46">
        <v>1625</v>
      </c>
      <c r="Y16" s="46">
        <v>1537</v>
      </c>
      <c r="Z16" s="46">
        <v>1709</v>
      </c>
      <c r="AA16" s="46">
        <v>1673</v>
      </c>
      <c r="AB16" s="46">
        <v>1696</v>
      </c>
      <c r="AC16" s="46">
        <v>1741</v>
      </c>
      <c r="AD16" s="46">
        <v>1764</v>
      </c>
      <c r="AE16" s="46">
        <v>1902</v>
      </c>
      <c r="AF16" s="46">
        <v>1931</v>
      </c>
      <c r="AG16" s="46">
        <v>1951</v>
      </c>
      <c r="AH16" s="46">
        <v>1900</v>
      </c>
      <c r="AI16" s="46">
        <v>1831</v>
      </c>
      <c r="AJ16" s="46">
        <v>1861</v>
      </c>
      <c r="AK16" s="46">
        <v>1888</v>
      </c>
      <c r="AL16" s="46">
        <v>1925</v>
      </c>
      <c r="AM16" s="46">
        <v>1904</v>
      </c>
      <c r="AN16" s="46">
        <v>2083</v>
      </c>
      <c r="AO16" s="46">
        <v>2063</v>
      </c>
      <c r="AP16" s="46">
        <v>2265</v>
      </c>
      <c r="AQ16" s="46">
        <v>2315</v>
      </c>
      <c r="AR16" s="1">
        <v>2415</v>
      </c>
      <c r="AS16" s="1">
        <v>2535</v>
      </c>
      <c r="AT16" s="1">
        <v>2783</v>
      </c>
      <c r="AU16" s="1">
        <v>2838</v>
      </c>
      <c r="AV16" s="1">
        <v>2678</v>
      </c>
      <c r="AW16" s="1">
        <v>2295</v>
      </c>
      <c r="AX16" s="1">
        <v>2537</v>
      </c>
      <c r="AY16" s="1">
        <v>2573</v>
      </c>
      <c r="AZ16" s="1">
        <v>2635</v>
      </c>
      <c r="BA16" s="1">
        <v>2745</v>
      </c>
    </row>
    <row r="17" spans="1:53">
      <c r="A17" s="42" t="s">
        <v>29</v>
      </c>
      <c r="B17" s="46">
        <v>365</v>
      </c>
      <c r="C17" s="46">
        <v>404</v>
      </c>
      <c r="D17" s="46">
        <v>352</v>
      </c>
      <c r="E17" s="46">
        <v>420</v>
      </c>
      <c r="F17" s="46">
        <v>495</v>
      </c>
      <c r="G17" s="46">
        <v>571</v>
      </c>
      <c r="H17" s="46">
        <v>736</v>
      </c>
      <c r="I17" s="46">
        <v>705</v>
      </c>
      <c r="J17" s="46">
        <v>789</v>
      </c>
      <c r="K17" s="46">
        <v>859</v>
      </c>
      <c r="L17" s="46">
        <v>857</v>
      </c>
      <c r="M17" s="46">
        <v>960</v>
      </c>
      <c r="N17" s="46">
        <v>767</v>
      </c>
      <c r="O17" s="46">
        <v>956</v>
      </c>
      <c r="P17" s="46">
        <v>992</v>
      </c>
      <c r="Q17" s="46">
        <v>1009</v>
      </c>
      <c r="R17" s="46">
        <v>1020</v>
      </c>
      <c r="S17" s="46">
        <v>1022</v>
      </c>
      <c r="T17" s="46">
        <v>999</v>
      </c>
      <c r="U17" s="46">
        <v>1031</v>
      </c>
      <c r="V17" s="46">
        <v>950</v>
      </c>
      <c r="W17" s="46">
        <v>923</v>
      </c>
      <c r="X17" s="46">
        <v>909</v>
      </c>
      <c r="Y17" s="46">
        <v>989</v>
      </c>
      <c r="Z17" s="46">
        <v>928</v>
      </c>
      <c r="AA17" s="46">
        <v>846</v>
      </c>
      <c r="AB17" s="46">
        <v>955</v>
      </c>
      <c r="AC17" s="46">
        <v>699</v>
      </c>
      <c r="AD17" s="46">
        <v>807</v>
      </c>
      <c r="AE17" s="46">
        <v>1026</v>
      </c>
      <c r="AF17" s="46">
        <v>911</v>
      </c>
      <c r="AG17" s="46">
        <v>1001</v>
      </c>
      <c r="AH17" s="46">
        <v>989</v>
      </c>
      <c r="AI17" s="46">
        <v>1025</v>
      </c>
      <c r="AJ17" s="46">
        <v>1082</v>
      </c>
      <c r="AK17" s="46">
        <v>1098</v>
      </c>
      <c r="AL17" s="46">
        <v>1094</v>
      </c>
      <c r="AM17" s="46">
        <v>1200</v>
      </c>
      <c r="AN17" s="46">
        <v>1149</v>
      </c>
      <c r="AO17" s="46">
        <v>1128</v>
      </c>
      <c r="AP17" s="46">
        <v>1139</v>
      </c>
      <c r="AQ17" s="46">
        <v>1104</v>
      </c>
      <c r="AR17" s="1">
        <v>1179</v>
      </c>
      <c r="AS17" s="1">
        <v>1239</v>
      </c>
      <c r="AT17" s="1">
        <v>1139</v>
      </c>
      <c r="AU17" s="1">
        <v>1104</v>
      </c>
      <c r="AV17" s="1">
        <v>1083</v>
      </c>
      <c r="AW17" s="1">
        <v>1083</v>
      </c>
      <c r="AX17" s="1">
        <v>1140</v>
      </c>
      <c r="AY17" s="1">
        <v>1000</v>
      </c>
      <c r="AZ17" s="1">
        <v>1081</v>
      </c>
      <c r="BA17" s="1">
        <v>1112</v>
      </c>
    </row>
    <row r="18" spans="1:53">
      <c r="A18" s="42" t="s">
        <v>30</v>
      </c>
      <c r="B18" s="46">
        <v>175</v>
      </c>
      <c r="C18" s="46">
        <v>233</v>
      </c>
      <c r="D18" s="46">
        <v>278</v>
      </c>
      <c r="E18" s="46">
        <v>277</v>
      </c>
      <c r="F18" s="46">
        <v>434</v>
      </c>
      <c r="G18" s="46">
        <v>471</v>
      </c>
      <c r="H18" s="46">
        <v>541</v>
      </c>
      <c r="I18" s="46">
        <v>534</v>
      </c>
      <c r="J18" s="46">
        <v>559</v>
      </c>
      <c r="K18" s="46">
        <v>623</v>
      </c>
      <c r="L18" s="46">
        <v>581</v>
      </c>
      <c r="M18" s="46">
        <v>405</v>
      </c>
      <c r="N18" s="46">
        <v>696</v>
      </c>
      <c r="O18" s="46">
        <v>690</v>
      </c>
      <c r="P18" s="46">
        <v>658</v>
      </c>
      <c r="Q18" s="46">
        <v>647</v>
      </c>
      <c r="R18" s="46">
        <v>661</v>
      </c>
      <c r="S18" s="46">
        <v>690</v>
      </c>
      <c r="T18" s="46">
        <v>738</v>
      </c>
      <c r="U18" s="46">
        <v>683</v>
      </c>
      <c r="V18" s="46">
        <v>738</v>
      </c>
      <c r="W18" s="46">
        <v>587</v>
      </c>
      <c r="X18" s="46">
        <v>591</v>
      </c>
      <c r="Y18" s="46">
        <v>621</v>
      </c>
      <c r="Z18" s="46">
        <v>604</v>
      </c>
      <c r="AA18" s="46">
        <v>627</v>
      </c>
      <c r="AB18" s="46">
        <v>614</v>
      </c>
      <c r="AC18" s="46">
        <v>705</v>
      </c>
      <c r="AD18" s="46">
        <v>724</v>
      </c>
      <c r="AE18" s="46">
        <v>737</v>
      </c>
      <c r="AF18" s="46">
        <v>794</v>
      </c>
      <c r="AG18" s="46">
        <v>853</v>
      </c>
      <c r="AH18" s="46">
        <v>755</v>
      </c>
      <c r="AI18" s="46">
        <v>777</v>
      </c>
      <c r="AJ18" s="46">
        <v>738</v>
      </c>
      <c r="AK18" s="46">
        <v>820</v>
      </c>
      <c r="AL18" s="46">
        <v>857</v>
      </c>
      <c r="AM18" s="46">
        <v>850</v>
      </c>
      <c r="AN18" s="46">
        <v>843</v>
      </c>
      <c r="AO18" s="46">
        <v>1000</v>
      </c>
      <c r="AP18" s="46">
        <v>1029</v>
      </c>
      <c r="AQ18" s="46">
        <v>918</v>
      </c>
      <c r="AR18" s="1">
        <v>966</v>
      </c>
      <c r="AS18" s="1">
        <v>939</v>
      </c>
      <c r="AT18" s="1">
        <v>1025</v>
      </c>
      <c r="AU18" s="1">
        <v>1095</v>
      </c>
      <c r="AV18" s="1">
        <v>1023</v>
      </c>
      <c r="AW18" s="1">
        <v>1092</v>
      </c>
      <c r="AX18" s="1">
        <v>1072</v>
      </c>
      <c r="AY18" s="1">
        <v>1065</v>
      </c>
      <c r="AZ18" s="1">
        <v>1217</v>
      </c>
      <c r="BA18" s="1">
        <v>1221</v>
      </c>
    </row>
    <row r="19" spans="1:53">
      <c r="A19" s="42" t="s">
        <v>31</v>
      </c>
      <c r="B19" s="46">
        <v>795</v>
      </c>
      <c r="C19" s="46">
        <v>814</v>
      </c>
      <c r="D19" s="46">
        <v>868</v>
      </c>
      <c r="E19" s="46">
        <v>1007</v>
      </c>
      <c r="F19" s="46">
        <v>1140</v>
      </c>
      <c r="G19" s="46">
        <v>1382</v>
      </c>
      <c r="H19" s="46">
        <v>1222</v>
      </c>
      <c r="I19" s="46">
        <v>1373</v>
      </c>
      <c r="J19" s="46">
        <v>1320</v>
      </c>
      <c r="K19" s="46">
        <v>1311</v>
      </c>
      <c r="L19" s="46">
        <v>1409</v>
      </c>
      <c r="M19" s="46">
        <v>1349</v>
      </c>
      <c r="N19" s="46">
        <v>1523</v>
      </c>
      <c r="O19" s="46">
        <v>1527</v>
      </c>
      <c r="P19" s="46">
        <v>1566</v>
      </c>
      <c r="Q19" s="46">
        <v>1540</v>
      </c>
      <c r="R19" s="46">
        <v>1482</v>
      </c>
      <c r="S19" s="46">
        <v>1392</v>
      </c>
      <c r="T19" s="46">
        <v>1305</v>
      </c>
      <c r="U19" s="46">
        <v>1308</v>
      </c>
      <c r="V19" s="46">
        <v>1343</v>
      </c>
      <c r="W19" s="46">
        <v>1289</v>
      </c>
      <c r="X19" s="46">
        <v>1268</v>
      </c>
      <c r="Y19" s="46">
        <v>1352</v>
      </c>
      <c r="Z19" s="46">
        <v>1341</v>
      </c>
      <c r="AA19" s="46">
        <v>1296</v>
      </c>
      <c r="AB19" s="46">
        <v>1436</v>
      </c>
      <c r="AC19" s="46">
        <v>1338</v>
      </c>
      <c r="AD19" s="46">
        <v>1385</v>
      </c>
      <c r="AE19" s="46">
        <v>1453</v>
      </c>
      <c r="AF19" s="46">
        <v>1416</v>
      </c>
      <c r="AG19" s="46">
        <v>1518</v>
      </c>
      <c r="AH19" s="46">
        <v>1446</v>
      </c>
      <c r="AI19" s="46">
        <v>1435</v>
      </c>
      <c r="AJ19" s="46">
        <v>1411</v>
      </c>
      <c r="AK19" s="46">
        <v>1431</v>
      </c>
      <c r="AL19" s="46">
        <v>1402</v>
      </c>
      <c r="AM19" s="46">
        <v>1432</v>
      </c>
      <c r="AN19" s="46">
        <v>1450</v>
      </c>
      <c r="AO19" s="46">
        <v>1531</v>
      </c>
      <c r="AP19" s="46">
        <v>1479</v>
      </c>
      <c r="AQ19" s="46">
        <v>1630</v>
      </c>
      <c r="AR19" s="1">
        <v>1733</v>
      </c>
      <c r="AS19" s="1">
        <v>1992</v>
      </c>
      <c r="AT19" s="1">
        <v>2059</v>
      </c>
      <c r="AU19" s="1">
        <v>2145</v>
      </c>
      <c r="AV19" s="1">
        <v>2257</v>
      </c>
      <c r="AW19" s="1">
        <v>2184</v>
      </c>
      <c r="AX19" s="1">
        <v>2299</v>
      </c>
      <c r="AY19" s="1">
        <v>2438</v>
      </c>
      <c r="AZ19" s="1">
        <v>2514</v>
      </c>
      <c r="BA19" s="1">
        <v>2677</v>
      </c>
    </row>
    <row r="20" spans="1:53">
      <c r="A20" s="42" t="s">
        <v>32</v>
      </c>
      <c r="B20" s="46">
        <v>1713</v>
      </c>
      <c r="C20" s="46">
        <v>2073</v>
      </c>
      <c r="D20" s="46">
        <v>2112</v>
      </c>
      <c r="E20" s="46">
        <v>2381</v>
      </c>
      <c r="F20" s="46">
        <v>2812</v>
      </c>
      <c r="G20" s="46">
        <v>3166</v>
      </c>
      <c r="H20" s="46">
        <v>3201</v>
      </c>
      <c r="I20" s="46">
        <v>3498</v>
      </c>
      <c r="J20" s="46">
        <v>3691</v>
      </c>
      <c r="K20" s="46">
        <v>3589</v>
      </c>
      <c r="L20" s="46">
        <v>3596</v>
      </c>
      <c r="M20" s="46">
        <v>3860</v>
      </c>
      <c r="N20" s="46">
        <v>4207</v>
      </c>
      <c r="O20" s="46">
        <v>4167</v>
      </c>
      <c r="P20" s="46">
        <v>4331</v>
      </c>
      <c r="Q20" s="46">
        <v>4465</v>
      </c>
      <c r="R20" s="46">
        <v>4624</v>
      </c>
      <c r="S20" s="46">
        <v>4557</v>
      </c>
      <c r="T20" s="46">
        <v>4028</v>
      </c>
      <c r="U20" s="46">
        <v>3999</v>
      </c>
      <c r="V20" s="46">
        <v>4146</v>
      </c>
      <c r="W20" s="46">
        <v>4109</v>
      </c>
      <c r="X20" s="46">
        <v>4208</v>
      </c>
      <c r="Y20" s="46">
        <v>4817</v>
      </c>
      <c r="Z20" s="46">
        <v>4882</v>
      </c>
      <c r="AA20" s="46">
        <v>4768</v>
      </c>
      <c r="AB20" s="46">
        <v>4775</v>
      </c>
      <c r="AC20" s="46">
        <v>5096</v>
      </c>
      <c r="AD20" s="46">
        <v>5062</v>
      </c>
      <c r="AE20" s="46">
        <v>4821</v>
      </c>
      <c r="AF20" s="46">
        <v>4963</v>
      </c>
      <c r="AG20" s="46">
        <v>5288</v>
      </c>
      <c r="AH20" s="46">
        <v>5044</v>
      </c>
      <c r="AI20" s="46">
        <v>5110</v>
      </c>
      <c r="AJ20" s="46">
        <v>4899</v>
      </c>
      <c r="AK20" s="46">
        <v>5082</v>
      </c>
      <c r="AL20" s="46">
        <v>5398</v>
      </c>
      <c r="AM20" s="46">
        <v>5362</v>
      </c>
      <c r="AN20" s="46">
        <v>5325</v>
      </c>
      <c r="AO20" s="46">
        <v>5362</v>
      </c>
      <c r="AP20" s="46">
        <v>5400</v>
      </c>
      <c r="AQ20" s="46">
        <v>5659</v>
      </c>
      <c r="AR20" s="1">
        <v>5843</v>
      </c>
      <c r="AS20" s="1">
        <v>5885</v>
      </c>
      <c r="AT20" s="1">
        <v>5959</v>
      </c>
      <c r="AU20" s="1">
        <v>6065</v>
      </c>
      <c r="AV20" s="1">
        <v>6091</v>
      </c>
      <c r="AW20" s="1">
        <v>6067</v>
      </c>
      <c r="AX20" s="1">
        <v>6063</v>
      </c>
      <c r="AY20" s="1">
        <v>6157</v>
      </c>
      <c r="AZ20" s="1">
        <v>6348</v>
      </c>
      <c r="BA20" s="1">
        <v>6532</v>
      </c>
    </row>
    <row r="21" spans="1:53">
      <c r="A21" s="42" t="s">
        <v>33</v>
      </c>
      <c r="B21" s="46">
        <v>633</v>
      </c>
      <c r="C21" s="46">
        <v>657</v>
      </c>
      <c r="D21" s="46">
        <v>808</v>
      </c>
      <c r="E21" s="46">
        <v>890</v>
      </c>
      <c r="F21" s="46">
        <v>1014</v>
      </c>
      <c r="G21" s="46">
        <v>993</v>
      </c>
      <c r="H21" s="46">
        <v>1028</v>
      </c>
      <c r="I21" s="46">
        <v>1154</v>
      </c>
      <c r="J21" s="46">
        <v>1183</v>
      </c>
      <c r="K21" s="46">
        <v>1232</v>
      </c>
      <c r="L21" s="46">
        <v>1346</v>
      </c>
      <c r="M21" s="46">
        <v>1352</v>
      </c>
      <c r="N21" s="46">
        <v>1715</v>
      </c>
      <c r="O21" s="46">
        <v>1520</v>
      </c>
      <c r="P21" s="46">
        <v>1517</v>
      </c>
      <c r="Q21" s="46">
        <v>1669</v>
      </c>
      <c r="R21" s="46">
        <v>1651</v>
      </c>
      <c r="S21" s="46">
        <v>1666</v>
      </c>
      <c r="T21" s="46">
        <v>1597</v>
      </c>
      <c r="U21" s="46">
        <v>1699</v>
      </c>
      <c r="V21" s="46">
        <v>1695</v>
      </c>
      <c r="W21" s="46">
        <v>1732</v>
      </c>
      <c r="X21" s="46">
        <v>1739</v>
      </c>
      <c r="Y21" s="46">
        <v>1627</v>
      </c>
      <c r="Z21" s="46">
        <v>1811</v>
      </c>
      <c r="AA21" s="46">
        <v>1839</v>
      </c>
      <c r="AB21" s="46">
        <v>1817</v>
      </c>
      <c r="AC21" s="46">
        <v>1877</v>
      </c>
      <c r="AD21" s="46">
        <v>1936</v>
      </c>
      <c r="AE21" s="46">
        <v>1953</v>
      </c>
      <c r="AF21" s="46">
        <v>1945</v>
      </c>
      <c r="AG21" s="46">
        <v>2181</v>
      </c>
      <c r="AH21" s="46">
        <v>2134</v>
      </c>
      <c r="AI21" s="46">
        <v>2213</v>
      </c>
      <c r="AJ21" s="46">
        <v>2133</v>
      </c>
      <c r="AK21" s="46">
        <v>2407</v>
      </c>
      <c r="AL21" s="46">
        <v>2496</v>
      </c>
      <c r="AM21" s="46">
        <v>2490</v>
      </c>
      <c r="AN21" s="46">
        <v>2626</v>
      </c>
      <c r="AO21" s="46">
        <v>2845</v>
      </c>
      <c r="AP21" s="46">
        <v>3142</v>
      </c>
      <c r="AQ21" s="46">
        <v>2533</v>
      </c>
      <c r="AR21" s="1">
        <v>2594</v>
      </c>
      <c r="AS21" s="1">
        <v>3233</v>
      </c>
      <c r="AT21" s="1">
        <v>2963</v>
      </c>
      <c r="AU21" s="1">
        <v>2929</v>
      </c>
      <c r="AV21" s="1">
        <v>3040</v>
      </c>
      <c r="AW21" s="1">
        <v>2930</v>
      </c>
      <c r="AX21" s="1">
        <v>2972</v>
      </c>
      <c r="AY21" s="1">
        <v>3003</v>
      </c>
      <c r="AZ21" s="1">
        <v>3404</v>
      </c>
      <c r="BA21" s="1">
        <v>3604</v>
      </c>
    </row>
    <row r="22" spans="1:53" s="3" customFormat="1">
      <c r="A22" s="47" t="s">
        <v>34</v>
      </c>
      <c r="B22" s="48">
        <v>76</v>
      </c>
      <c r="C22" s="48">
        <v>158</v>
      </c>
      <c r="D22" s="48">
        <v>184</v>
      </c>
      <c r="E22" s="48">
        <v>199</v>
      </c>
      <c r="F22" s="48">
        <v>221</v>
      </c>
      <c r="G22" s="48">
        <v>225</v>
      </c>
      <c r="H22" s="48">
        <v>226</v>
      </c>
      <c r="I22" s="48">
        <v>237</v>
      </c>
      <c r="J22" s="48">
        <v>252</v>
      </c>
      <c r="K22" s="48">
        <v>293</v>
      </c>
      <c r="L22" s="48">
        <v>335</v>
      </c>
      <c r="M22" s="48">
        <v>351</v>
      </c>
      <c r="N22" s="48">
        <v>338</v>
      </c>
      <c r="O22" s="48">
        <v>353</v>
      </c>
      <c r="P22" s="48">
        <v>396</v>
      </c>
      <c r="Q22" s="48">
        <v>348</v>
      </c>
      <c r="R22" s="48">
        <v>362</v>
      </c>
      <c r="S22" s="48">
        <v>319</v>
      </c>
      <c r="T22" s="48">
        <v>329</v>
      </c>
      <c r="U22" s="48">
        <v>308</v>
      </c>
      <c r="V22" s="48">
        <v>315</v>
      </c>
      <c r="W22" s="48">
        <v>302</v>
      </c>
      <c r="X22" s="48">
        <v>353</v>
      </c>
      <c r="Y22" s="48">
        <v>329</v>
      </c>
      <c r="Z22" s="48">
        <v>320</v>
      </c>
      <c r="AA22" s="48">
        <v>367</v>
      </c>
      <c r="AB22" s="48">
        <v>358</v>
      </c>
      <c r="AC22" s="48">
        <v>350</v>
      </c>
      <c r="AD22" s="48">
        <v>358</v>
      </c>
      <c r="AE22" s="48">
        <v>382</v>
      </c>
      <c r="AF22" s="48">
        <v>391</v>
      </c>
      <c r="AG22" s="48">
        <v>376</v>
      </c>
      <c r="AH22" s="48">
        <v>437</v>
      </c>
      <c r="AI22" s="48">
        <v>407</v>
      </c>
      <c r="AJ22" s="48">
        <v>471</v>
      </c>
      <c r="AK22" s="48">
        <v>453</v>
      </c>
      <c r="AL22" s="48">
        <v>449</v>
      </c>
      <c r="AM22" s="48">
        <v>479</v>
      </c>
      <c r="AN22" s="48">
        <v>542</v>
      </c>
      <c r="AO22" s="48">
        <v>522</v>
      </c>
      <c r="AP22" s="48">
        <v>558</v>
      </c>
      <c r="AQ22" s="48">
        <v>785</v>
      </c>
      <c r="AR22" s="3">
        <v>829</v>
      </c>
      <c r="AS22" s="3">
        <v>807</v>
      </c>
      <c r="AT22" s="3">
        <v>858</v>
      </c>
      <c r="AU22" s="3">
        <v>844</v>
      </c>
      <c r="AV22" s="3">
        <v>854</v>
      </c>
      <c r="AW22" s="3">
        <v>931</v>
      </c>
      <c r="AX22" s="3">
        <v>974</v>
      </c>
      <c r="AY22" s="3">
        <v>922</v>
      </c>
      <c r="AZ22" s="3">
        <v>919</v>
      </c>
      <c r="BA22" s="3">
        <v>982</v>
      </c>
    </row>
    <row r="23" spans="1:53">
      <c r="A23" s="42" t="s">
        <v>35</v>
      </c>
      <c r="B23" s="43">
        <f t="shared" ref="B23:AP23" si="15">SUM(B25:B37)</f>
        <v>0</v>
      </c>
      <c r="C23" s="43">
        <f t="shared" si="15"/>
        <v>4757</v>
      </c>
      <c r="D23" s="43">
        <f t="shared" si="15"/>
        <v>5834</v>
      </c>
      <c r="E23" s="43">
        <f t="shared" si="15"/>
        <v>6838</v>
      </c>
      <c r="F23" s="43">
        <f t="shared" si="15"/>
        <v>7652</v>
      </c>
      <c r="G23" s="43">
        <f t="shared" si="15"/>
        <v>8480</v>
      </c>
      <c r="H23" s="43">
        <f t="shared" si="15"/>
        <v>8948</v>
      </c>
      <c r="I23" s="43">
        <f t="shared" si="15"/>
        <v>11320</v>
      </c>
      <c r="J23" s="43">
        <f t="shared" si="15"/>
        <v>11667</v>
      </c>
      <c r="K23" s="43">
        <f t="shared" si="15"/>
        <v>12163</v>
      </c>
      <c r="L23" s="43">
        <f t="shared" si="15"/>
        <v>12531</v>
      </c>
      <c r="M23" s="43">
        <f t="shared" si="15"/>
        <v>12557</v>
      </c>
      <c r="N23" s="43">
        <f t="shared" si="15"/>
        <v>12856</v>
      </c>
      <c r="O23" s="43">
        <f t="shared" si="15"/>
        <v>12368</v>
      </c>
      <c r="P23" s="43">
        <f t="shared" si="15"/>
        <v>12616</v>
      </c>
      <c r="Q23" s="43">
        <f t="shared" si="15"/>
        <v>13202</v>
      </c>
      <c r="R23" s="43">
        <f t="shared" si="15"/>
        <v>12852</v>
      </c>
      <c r="S23" s="43">
        <f t="shared" si="15"/>
        <v>12282</v>
      </c>
      <c r="T23" s="43">
        <f t="shared" si="15"/>
        <v>11770</v>
      </c>
      <c r="U23" s="43">
        <f t="shared" si="15"/>
        <v>11844</v>
      </c>
      <c r="V23" s="43">
        <f t="shared" si="15"/>
        <v>11564</v>
      </c>
      <c r="W23" s="43">
        <f t="shared" si="15"/>
        <v>11779</v>
      </c>
      <c r="X23" s="43">
        <f t="shared" si="15"/>
        <v>11615</v>
      </c>
      <c r="Y23" s="43">
        <f t="shared" si="15"/>
        <v>13017</v>
      </c>
      <c r="Z23" s="43">
        <f t="shared" si="15"/>
        <v>13431</v>
      </c>
      <c r="AA23" s="43">
        <f t="shared" si="15"/>
        <v>13417</v>
      </c>
      <c r="AB23" s="43">
        <f t="shared" si="15"/>
        <v>12948</v>
      </c>
      <c r="AC23" s="43">
        <f t="shared" si="15"/>
        <v>12846</v>
      </c>
      <c r="AD23" s="43">
        <f t="shared" si="15"/>
        <v>13587</v>
      </c>
      <c r="AE23" s="43">
        <f t="shared" si="15"/>
        <v>12943</v>
      </c>
      <c r="AF23" s="43">
        <f t="shared" si="15"/>
        <v>12917</v>
      </c>
      <c r="AG23" s="43">
        <f t="shared" si="15"/>
        <v>13469</v>
      </c>
      <c r="AH23" s="43">
        <f t="shared" si="15"/>
        <v>13475</v>
      </c>
      <c r="AI23" s="43">
        <f t="shared" si="15"/>
        <v>13167</v>
      </c>
      <c r="AJ23" s="43">
        <f t="shared" si="15"/>
        <v>13986</v>
      </c>
      <c r="AK23" s="43">
        <f t="shared" si="15"/>
        <v>14059</v>
      </c>
      <c r="AL23" s="43">
        <f t="shared" si="15"/>
        <v>14959</v>
      </c>
      <c r="AM23" s="43">
        <f t="shared" si="15"/>
        <v>14650</v>
      </c>
      <c r="AN23" s="43">
        <f t="shared" si="15"/>
        <v>15138</v>
      </c>
      <c r="AO23" s="43">
        <f t="shared" si="15"/>
        <v>15124</v>
      </c>
      <c r="AP23" s="43">
        <f t="shared" si="15"/>
        <v>15488</v>
      </c>
      <c r="AQ23" s="43">
        <f>SUM(AQ25:AQ37)</f>
        <v>16145</v>
      </c>
      <c r="AR23" s="43">
        <f>SUM(AR25:AR37)</f>
        <v>17212</v>
      </c>
      <c r="AS23" s="43">
        <f>SUM(AS25:AS37)</f>
        <v>18128</v>
      </c>
      <c r="AT23" s="43">
        <f>SUM(AT25:AT37)</f>
        <v>19411</v>
      </c>
      <c r="AU23" s="43">
        <f t="shared" ref="AU23:AV23" si="16">SUM(AU25:AU37)</f>
        <v>19208</v>
      </c>
      <c r="AV23" s="43">
        <f t="shared" si="16"/>
        <v>19289</v>
      </c>
      <c r="AW23" s="43">
        <f t="shared" ref="AW23:AX23" si="17">SUM(AW25:AW37)</f>
        <v>18923</v>
      </c>
      <c r="AX23" s="43">
        <f t="shared" si="17"/>
        <v>19640</v>
      </c>
      <c r="AY23" s="43">
        <f t="shared" ref="AY23:AZ23" si="18">SUM(AY25:AY37)</f>
        <v>19721</v>
      </c>
      <c r="AZ23" s="43">
        <f t="shared" si="18"/>
        <v>19879</v>
      </c>
      <c r="BA23" s="43">
        <f t="shared" ref="BA23" si="19">SUM(BA25:BA37)</f>
        <v>20812</v>
      </c>
    </row>
    <row r="24" spans="1:53">
      <c r="A24" s="44" t="s">
        <v>131</v>
      </c>
      <c r="B24" s="45">
        <f t="shared" ref="B24:AP24" si="20">(B23/B4)*100</f>
        <v>0</v>
      </c>
      <c r="C24" s="45">
        <f t="shared" si="20"/>
        <v>13.623346125207631</v>
      </c>
      <c r="D24" s="45">
        <f t="shared" si="20"/>
        <v>15.374479523533443</v>
      </c>
      <c r="E24" s="45">
        <f t="shared" si="20"/>
        <v>15.751767985072906</v>
      </c>
      <c r="F24" s="45">
        <f t="shared" si="20"/>
        <v>15.298492542684633</v>
      </c>
      <c r="G24" s="45">
        <f t="shared" si="20"/>
        <v>15.757395570090679</v>
      </c>
      <c r="H24" s="45">
        <f t="shared" si="20"/>
        <v>16.002575291508691</v>
      </c>
      <c r="I24" s="45">
        <f t="shared" si="20"/>
        <v>18.068923685932738</v>
      </c>
      <c r="J24" s="45">
        <f t="shared" si="20"/>
        <v>18.128000745816436</v>
      </c>
      <c r="K24" s="45">
        <f t="shared" si="20"/>
        <v>18.267974347035942</v>
      </c>
      <c r="L24" s="45">
        <f t="shared" si="20"/>
        <v>18.200964443411575</v>
      </c>
      <c r="M24" s="45">
        <f t="shared" si="20"/>
        <v>17.912214883813817</v>
      </c>
      <c r="N24" s="45">
        <f t="shared" si="20"/>
        <v>17.883125373840226</v>
      </c>
      <c r="O24" s="45">
        <f t="shared" si="20"/>
        <v>17.194733695727731</v>
      </c>
      <c r="P24" s="45">
        <f t="shared" si="20"/>
        <v>17.298068089890723</v>
      </c>
      <c r="Q24" s="45">
        <f t="shared" si="20"/>
        <v>17.757273326428773</v>
      </c>
      <c r="R24" s="45">
        <f t="shared" si="20"/>
        <v>17.156358879203321</v>
      </c>
      <c r="S24" s="45">
        <f t="shared" si="20"/>
        <v>16.651978795232996</v>
      </c>
      <c r="T24" s="45">
        <f t="shared" si="20"/>
        <v>16.470061430390551</v>
      </c>
      <c r="U24" s="45">
        <f t="shared" si="20"/>
        <v>16.855947399880456</v>
      </c>
      <c r="V24" s="45">
        <f t="shared" si="20"/>
        <v>16.37797952044415</v>
      </c>
      <c r="W24" s="45">
        <f t="shared" si="20"/>
        <v>16.628315710716151</v>
      </c>
      <c r="X24" s="45">
        <f t="shared" si="20"/>
        <v>16.177105530717697</v>
      </c>
      <c r="Y24" s="45">
        <f t="shared" si="20"/>
        <v>17.598388470534157</v>
      </c>
      <c r="Z24" s="45">
        <f t="shared" si="20"/>
        <v>17.852775414717144</v>
      </c>
      <c r="AA24" s="45">
        <f t="shared" si="20"/>
        <v>17.826820615707586</v>
      </c>
      <c r="AB24" s="45">
        <f t="shared" si="20"/>
        <v>17.117248126065864</v>
      </c>
      <c r="AC24" s="45">
        <f t="shared" si="20"/>
        <v>16.775052887252215</v>
      </c>
      <c r="AD24" s="45">
        <f t="shared" si="20"/>
        <v>17.293740294784001</v>
      </c>
      <c r="AE24" s="45">
        <f t="shared" si="20"/>
        <v>16.467340135881319</v>
      </c>
      <c r="AF24" s="45">
        <f t="shared" si="20"/>
        <v>16.467573528474354</v>
      </c>
      <c r="AG24" s="45">
        <f t="shared" si="20"/>
        <v>16.824262712817116</v>
      </c>
      <c r="AH24" s="45">
        <f t="shared" si="20"/>
        <v>16.905667005407306</v>
      </c>
      <c r="AI24" s="45">
        <f t="shared" si="20"/>
        <v>16.316389501598554</v>
      </c>
      <c r="AJ24" s="45">
        <f t="shared" si="20"/>
        <v>17.288651000655154</v>
      </c>
      <c r="AK24" s="45">
        <f t="shared" si="20"/>
        <v>16.930191110415336</v>
      </c>
      <c r="AL24" s="45">
        <f t="shared" si="20"/>
        <v>17.137325436194708</v>
      </c>
      <c r="AM24" s="45">
        <f t="shared" si="20"/>
        <v>16.713250812845814</v>
      </c>
      <c r="AN24" s="45">
        <f t="shared" si="20"/>
        <v>16.808047610588027</v>
      </c>
      <c r="AO24" s="45">
        <f t="shared" si="20"/>
        <v>16.423956127490904</v>
      </c>
      <c r="AP24" s="45">
        <f t="shared" si="20"/>
        <v>16.315007742465582</v>
      </c>
      <c r="AQ24" s="45">
        <f>(AQ23/AQ4)*100</f>
        <v>16.240984216720818</v>
      </c>
      <c r="AR24" s="45">
        <f>(AR23/AR4)*100</f>
        <v>16.741073599642068</v>
      </c>
      <c r="AS24" s="45">
        <f>(AS23/AS4)*100</f>
        <v>16.985551786818583</v>
      </c>
      <c r="AT24" s="45">
        <f>(AT23/AT4)*100</f>
        <v>17.823300400337899</v>
      </c>
      <c r="AU24" s="45">
        <f t="shared" ref="AU24:AV24" si="21">(AU23/AU4)*100</f>
        <v>17.697843052343526</v>
      </c>
      <c r="AV24" s="45">
        <f t="shared" si="21"/>
        <v>17.87276231422112</v>
      </c>
      <c r="AW24" s="45">
        <f t="shared" ref="AW24:AX24" si="22">(AW23/AW4)*100</f>
        <v>17.786780463962103</v>
      </c>
      <c r="AX24" s="45">
        <f t="shared" si="22"/>
        <v>18.129453900971086</v>
      </c>
      <c r="AY24" s="45">
        <f t="shared" ref="AY24:AZ24" si="23">(AY23/AY4)*100</f>
        <v>18.025684383711894</v>
      </c>
      <c r="AZ24" s="45">
        <f t="shared" si="23"/>
        <v>17.80713933802123</v>
      </c>
      <c r="BA24" s="45">
        <f t="shared" ref="BA24" si="24">(BA23/BA4)*100</f>
        <v>18.243178092758654</v>
      </c>
    </row>
    <row r="25" spans="1:53">
      <c r="A25" s="42" t="s">
        <v>36</v>
      </c>
      <c r="B25" s="46"/>
      <c r="C25" s="46">
        <v>0</v>
      </c>
      <c r="D25" s="46"/>
      <c r="E25" s="46"/>
      <c r="F25" s="46"/>
      <c r="G25" s="46"/>
      <c r="H25" s="46"/>
      <c r="I25" s="46"/>
      <c r="J25" s="46"/>
      <c r="K25" s="46"/>
      <c r="L25" s="46"/>
      <c r="M25" s="46"/>
      <c r="N25" s="46"/>
      <c r="O25" s="46"/>
      <c r="P25" s="46"/>
      <c r="Q25" s="46"/>
      <c r="R25" s="46"/>
      <c r="S25" s="46"/>
      <c r="T25" s="46"/>
      <c r="U25" s="46">
        <v>0</v>
      </c>
      <c r="V25" s="46">
        <v>0</v>
      </c>
      <c r="W25" s="46"/>
      <c r="X25" s="46"/>
      <c r="Y25" s="46"/>
      <c r="Z25" s="46"/>
      <c r="AA25" s="46"/>
      <c r="AB25" s="46"/>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1">
        <v>0</v>
      </c>
      <c r="AS25" s="1">
        <v>0</v>
      </c>
      <c r="AT25" s="1">
        <v>0</v>
      </c>
      <c r="AU25" s="1">
        <v>7</v>
      </c>
      <c r="AV25" s="1">
        <v>8</v>
      </c>
      <c r="AW25" s="1">
        <v>5</v>
      </c>
      <c r="AX25" s="1">
        <v>3</v>
      </c>
      <c r="AY25" s="1">
        <v>4</v>
      </c>
      <c r="AZ25" s="1">
        <v>5</v>
      </c>
      <c r="BA25" s="1">
        <v>2</v>
      </c>
    </row>
    <row r="26" spans="1:53">
      <c r="A26" s="42" t="s">
        <v>38</v>
      </c>
      <c r="B26" s="46"/>
      <c r="C26" s="46">
        <v>132</v>
      </c>
      <c r="D26" s="46">
        <v>212</v>
      </c>
      <c r="E26" s="46">
        <v>254</v>
      </c>
      <c r="F26" s="46">
        <v>392</v>
      </c>
      <c r="G26" s="46">
        <v>343</v>
      </c>
      <c r="H26" s="46">
        <v>284</v>
      </c>
      <c r="I26" s="46">
        <v>289</v>
      </c>
      <c r="J26" s="46">
        <v>319</v>
      </c>
      <c r="K26" s="46">
        <v>335</v>
      </c>
      <c r="L26" s="46">
        <v>349</v>
      </c>
      <c r="M26" s="46">
        <v>348</v>
      </c>
      <c r="N26" s="46">
        <v>401</v>
      </c>
      <c r="O26" s="46">
        <v>361</v>
      </c>
      <c r="P26" s="46">
        <v>347</v>
      </c>
      <c r="Q26" s="46">
        <v>372</v>
      </c>
      <c r="R26" s="46">
        <v>374</v>
      </c>
      <c r="S26" s="46">
        <v>349</v>
      </c>
      <c r="T26" s="46">
        <v>352</v>
      </c>
      <c r="U26" s="46">
        <v>404</v>
      </c>
      <c r="V26" s="46">
        <v>420</v>
      </c>
      <c r="W26" s="46">
        <v>408</v>
      </c>
      <c r="X26" s="46">
        <v>425</v>
      </c>
      <c r="Y26" s="46">
        <v>424</v>
      </c>
      <c r="Z26" s="46">
        <v>436</v>
      </c>
      <c r="AA26" s="46">
        <v>462</v>
      </c>
      <c r="AB26" s="46">
        <v>445</v>
      </c>
      <c r="AC26" s="46">
        <v>454</v>
      </c>
      <c r="AD26" s="46">
        <v>462</v>
      </c>
      <c r="AE26" s="46">
        <v>438</v>
      </c>
      <c r="AF26" s="46">
        <v>461</v>
      </c>
      <c r="AG26" s="46">
        <v>616</v>
      </c>
      <c r="AH26" s="46">
        <v>709</v>
      </c>
      <c r="AI26" s="46">
        <v>713</v>
      </c>
      <c r="AJ26" s="46">
        <v>754</v>
      </c>
      <c r="AK26" s="46">
        <v>770</v>
      </c>
      <c r="AL26" s="46">
        <v>788</v>
      </c>
      <c r="AM26" s="46">
        <v>816</v>
      </c>
      <c r="AN26" s="46">
        <v>906</v>
      </c>
      <c r="AO26" s="46">
        <v>937</v>
      </c>
      <c r="AP26" s="46">
        <v>992</v>
      </c>
      <c r="AQ26" s="46">
        <v>1043</v>
      </c>
      <c r="AR26" s="1">
        <v>1131</v>
      </c>
      <c r="AS26" s="1">
        <v>1467</v>
      </c>
      <c r="AT26" s="1">
        <v>1667</v>
      </c>
      <c r="AU26" s="1">
        <v>1734</v>
      </c>
      <c r="AV26" s="1">
        <v>1881</v>
      </c>
      <c r="AW26" s="1">
        <v>1653</v>
      </c>
      <c r="AX26" s="1">
        <v>1697</v>
      </c>
      <c r="AY26" s="1">
        <v>1746</v>
      </c>
      <c r="AZ26" s="1">
        <v>1792</v>
      </c>
      <c r="BA26" s="1">
        <v>1776</v>
      </c>
    </row>
    <row r="27" spans="1:53">
      <c r="A27" s="42" t="s">
        <v>39</v>
      </c>
      <c r="B27" s="46"/>
      <c r="C27" s="46">
        <v>3153</v>
      </c>
      <c r="D27" s="46">
        <v>3893</v>
      </c>
      <c r="E27" s="46">
        <v>4682</v>
      </c>
      <c r="F27" s="46">
        <v>4878</v>
      </c>
      <c r="G27" s="46">
        <v>5662</v>
      </c>
      <c r="H27" s="46">
        <v>5784</v>
      </c>
      <c r="I27" s="46">
        <v>7600</v>
      </c>
      <c r="J27" s="46">
        <v>7885</v>
      </c>
      <c r="K27" s="46">
        <v>8280</v>
      </c>
      <c r="L27" s="46">
        <v>8628</v>
      </c>
      <c r="M27" s="46">
        <v>8528</v>
      </c>
      <c r="N27" s="46">
        <v>8616</v>
      </c>
      <c r="O27" s="46">
        <v>8313</v>
      </c>
      <c r="P27" s="46">
        <v>8384</v>
      </c>
      <c r="Q27" s="46">
        <v>8998</v>
      </c>
      <c r="R27" s="46">
        <v>8546</v>
      </c>
      <c r="S27" s="46">
        <v>8209</v>
      </c>
      <c r="T27" s="46">
        <v>7850</v>
      </c>
      <c r="U27" s="46">
        <v>7893</v>
      </c>
      <c r="V27" s="46">
        <v>7651</v>
      </c>
      <c r="W27" s="46">
        <v>7814</v>
      </c>
      <c r="X27" s="46">
        <v>7685</v>
      </c>
      <c r="Y27" s="46">
        <v>8918</v>
      </c>
      <c r="Z27" s="46">
        <v>9195</v>
      </c>
      <c r="AA27" s="46">
        <v>9228</v>
      </c>
      <c r="AB27" s="46">
        <v>8783</v>
      </c>
      <c r="AC27" s="46">
        <v>8655</v>
      </c>
      <c r="AD27" s="46">
        <v>9235</v>
      </c>
      <c r="AE27" s="46">
        <v>8611</v>
      </c>
      <c r="AF27" s="46">
        <v>8554</v>
      </c>
      <c r="AG27" s="46">
        <v>8710</v>
      </c>
      <c r="AH27" s="46">
        <v>8343</v>
      </c>
      <c r="AI27" s="46">
        <v>8056</v>
      </c>
      <c r="AJ27" s="46">
        <v>8625</v>
      </c>
      <c r="AK27" s="46">
        <v>8703</v>
      </c>
      <c r="AL27" s="46">
        <v>9188</v>
      </c>
      <c r="AM27" s="46">
        <v>8721</v>
      </c>
      <c r="AN27" s="46">
        <v>8899</v>
      </c>
      <c r="AO27" s="46">
        <v>8946</v>
      </c>
      <c r="AP27" s="46">
        <v>8997</v>
      </c>
      <c r="AQ27" s="46">
        <v>9128</v>
      </c>
      <c r="AR27" s="1">
        <v>9827</v>
      </c>
      <c r="AS27" s="1">
        <v>10017</v>
      </c>
      <c r="AT27" s="1">
        <v>10860</v>
      </c>
      <c r="AU27" s="1">
        <v>10536</v>
      </c>
      <c r="AV27" s="1">
        <v>10403</v>
      </c>
      <c r="AW27" s="1">
        <v>10292</v>
      </c>
      <c r="AX27" s="1">
        <v>10724</v>
      </c>
      <c r="AY27" s="1">
        <v>10784</v>
      </c>
      <c r="AZ27" s="1">
        <v>10639</v>
      </c>
      <c r="BA27" s="1">
        <v>11227</v>
      </c>
    </row>
    <row r="28" spans="1:53">
      <c r="A28" s="42" t="s">
        <v>40</v>
      </c>
      <c r="B28" s="46"/>
      <c r="C28" s="46">
        <v>427</v>
      </c>
      <c r="D28" s="46">
        <v>502</v>
      </c>
      <c r="E28" s="46">
        <v>609</v>
      </c>
      <c r="F28" s="46">
        <v>663</v>
      </c>
      <c r="G28" s="46">
        <v>657</v>
      </c>
      <c r="H28" s="46">
        <v>673</v>
      </c>
      <c r="I28" s="46">
        <v>700</v>
      </c>
      <c r="J28" s="46">
        <v>716</v>
      </c>
      <c r="K28" s="46">
        <v>712</v>
      </c>
      <c r="L28" s="46">
        <v>722</v>
      </c>
      <c r="M28" s="46">
        <v>800</v>
      </c>
      <c r="N28" s="46">
        <v>839</v>
      </c>
      <c r="O28" s="46">
        <v>831</v>
      </c>
      <c r="P28" s="46">
        <v>836</v>
      </c>
      <c r="Q28" s="46">
        <v>837</v>
      </c>
      <c r="R28" s="46">
        <v>882</v>
      </c>
      <c r="S28" s="46">
        <v>904</v>
      </c>
      <c r="T28" s="46">
        <v>853</v>
      </c>
      <c r="U28" s="46">
        <v>872</v>
      </c>
      <c r="V28" s="46">
        <v>873</v>
      </c>
      <c r="W28" s="46">
        <v>794</v>
      </c>
      <c r="X28" s="46">
        <v>772</v>
      </c>
      <c r="Y28" s="46">
        <v>788</v>
      </c>
      <c r="Z28" s="46">
        <v>813</v>
      </c>
      <c r="AA28" s="46">
        <v>809</v>
      </c>
      <c r="AB28" s="46">
        <v>833</v>
      </c>
      <c r="AC28" s="46">
        <v>790</v>
      </c>
      <c r="AD28" s="46">
        <v>832</v>
      </c>
      <c r="AE28" s="46">
        <v>834</v>
      </c>
      <c r="AF28" s="46">
        <v>923</v>
      </c>
      <c r="AG28" s="46">
        <v>866</v>
      </c>
      <c r="AH28" s="46">
        <v>839</v>
      </c>
      <c r="AI28" s="46">
        <v>845</v>
      </c>
      <c r="AJ28" s="46">
        <v>979</v>
      </c>
      <c r="AK28" s="46">
        <v>947</v>
      </c>
      <c r="AL28" s="46">
        <v>1054</v>
      </c>
      <c r="AM28" s="46">
        <v>1078</v>
      </c>
      <c r="AN28" s="46">
        <v>1086</v>
      </c>
      <c r="AO28" s="46">
        <v>1107</v>
      </c>
      <c r="AP28" s="46">
        <v>1066</v>
      </c>
      <c r="AQ28" s="46">
        <v>1247</v>
      </c>
      <c r="AR28" s="1">
        <v>1173</v>
      </c>
      <c r="AS28" s="1">
        <v>1299</v>
      </c>
      <c r="AT28" s="1">
        <v>1485</v>
      </c>
      <c r="AU28" s="1">
        <v>1467</v>
      </c>
      <c r="AV28" s="1">
        <v>1434</v>
      </c>
      <c r="AW28" s="1">
        <v>1521</v>
      </c>
      <c r="AX28" s="1">
        <v>1452</v>
      </c>
      <c r="AY28" s="1">
        <v>1509</v>
      </c>
      <c r="AZ28" s="1">
        <v>1561</v>
      </c>
      <c r="BA28" s="1">
        <v>1575</v>
      </c>
    </row>
    <row r="29" spans="1:53">
      <c r="A29" s="42" t="s">
        <v>41</v>
      </c>
      <c r="B29" s="46"/>
      <c r="C29" s="46">
        <v>0</v>
      </c>
      <c r="D29" s="46"/>
      <c r="E29" s="46"/>
      <c r="F29" s="46"/>
      <c r="G29" s="46"/>
      <c r="H29" s="46">
        <v>62</v>
      </c>
      <c r="I29" s="46">
        <v>105</v>
      </c>
      <c r="J29" s="46">
        <v>110</v>
      </c>
      <c r="K29" s="46">
        <v>125</v>
      </c>
      <c r="L29" s="46">
        <v>121</v>
      </c>
      <c r="M29" s="46">
        <v>128</v>
      </c>
      <c r="N29" s="46">
        <v>153</v>
      </c>
      <c r="O29" s="46">
        <v>137</v>
      </c>
      <c r="P29" s="46">
        <v>132</v>
      </c>
      <c r="Q29" s="46">
        <v>131</v>
      </c>
      <c r="R29" s="46">
        <v>139</v>
      </c>
      <c r="S29" s="46">
        <v>131</v>
      </c>
      <c r="T29" s="46">
        <v>137</v>
      </c>
      <c r="U29" s="46">
        <v>126</v>
      </c>
      <c r="V29" s="46">
        <v>119</v>
      </c>
      <c r="W29" s="46">
        <v>113</v>
      </c>
      <c r="X29" s="46">
        <v>118</v>
      </c>
      <c r="Y29" s="46">
        <v>116</v>
      </c>
      <c r="Z29" s="46">
        <v>176</v>
      </c>
      <c r="AA29" s="46">
        <v>172</v>
      </c>
      <c r="AB29" s="46">
        <v>160</v>
      </c>
      <c r="AC29" s="46">
        <v>122</v>
      </c>
      <c r="AD29" s="46">
        <v>129</v>
      </c>
      <c r="AE29" s="46">
        <v>130</v>
      </c>
      <c r="AF29" s="46">
        <v>128</v>
      </c>
      <c r="AG29" s="46">
        <v>131</v>
      </c>
      <c r="AH29" s="46">
        <v>133</v>
      </c>
      <c r="AI29" s="46">
        <v>131</v>
      </c>
      <c r="AJ29" s="46">
        <v>126</v>
      </c>
      <c r="AK29" s="46">
        <v>145</v>
      </c>
      <c r="AL29" s="46">
        <v>155</v>
      </c>
      <c r="AM29" s="46">
        <v>165</v>
      </c>
      <c r="AN29" s="46">
        <v>171</v>
      </c>
      <c r="AO29" s="46">
        <v>154</v>
      </c>
      <c r="AP29" s="46">
        <v>174</v>
      </c>
      <c r="AQ29" s="46">
        <v>194</v>
      </c>
      <c r="AR29" s="1">
        <v>268</v>
      </c>
      <c r="AS29" s="1">
        <v>323</v>
      </c>
      <c r="AT29" s="1">
        <v>302</v>
      </c>
      <c r="AU29" s="1">
        <v>294</v>
      </c>
      <c r="AV29" s="1">
        <v>364</v>
      </c>
      <c r="AW29" s="1">
        <v>296</v>
      </c>
      <c r="AX29" s="1">
        <v>325</v>
      </c>
      <c r="AY29" s="1">
        <v>307</v>
      </c>
      <c r="AZ29" s="1">
        <v>272</v>
      </c>
      <c r="BA29" s="1">
        <v>301</v>
      </c>
    </row>
    <row r="30" spans="1:53">
      <c r="A30" s="42" t="s">
        <v>42</v>
      </c>
      <c r="B30" s="46"/>
      <c r="C30" s="46">
        <v>26</v>
      </c>
      <c r="D30" s="46">
        <v>34</v>
      </c>
      <c r="E30" s="46">
        <v>46</v>
      </c>
      <c r="F30" s="46">
        <v>65</v>
      </c>
      <c r="G30" s="46">
        <v>77</v>
      </c>
      <c r="H30" s="46">
        <v>75</v>
      </c>
      <c r="I30" s="46">
        <v>99</v>
      </c>
      <c r="J30" s="46">
        <v>70</v>
      </c>
      <c r="K30" s="46">
        <v>83</v>
      </c>
      <c r="L30" s="46">
        <v>73</v>
      </c>
      <c r="M30" s="46">
        <v>80</v>
      </c>
      <c r="N30" s="46">
        <v>91</v>
      </c>
      <c r="O30" s="46">
        <v>89</v>
      </c>
      <c r="P30" s="46">
        <v>93</v>
      </c>
      <c r="Q30" s="46">
        <v>80</v>
      </c>
      <c r="R30" s="46">
        <v>105</v>
      </c>
      <c r="S30" s="46">
        <v>82</v>
      </c>
      <c r="T30" s="46">
        <v>68</v>
      </c>
      <c r="U30" s="46">
        <v>71</v>
      </c>
      <c r="V30" s="46">
        <v>67</v>
      </c>
      <c r="W30" s="46">
        <v>124</v>
      </c>
      <c r="X30" s="46">
        <v>122</v>
      </c>
      <c r="Y30" s="46">
        <v>135</v>
      </c>
      <c r="Z30" s="46">
        <v>146</v>
      </c>
      <c r="AA30" s="46">
        <v>148</v>
      </c>
      <c r="AB30" s="46">
        <v>167</v>
      </c>
      <c r="AC30" s="46">
        <v>157</v>
      </c>
      <c r="AD30" s="46">
        <v>168</v>
      </c>
      <c r="AE30" s="46">
        <v>156</v>
      </c>
      <c r="AF30" s="46">
        <v>154</v>
      </c>
      <c r="AG30" s="46">
        <v>174</v>
      </c>
      <c r="AH30" s="46">
        <v>159</v>
      </c>
      <c r="AI30" s="46">
        <v>132</v>
      </c>
      <c r="AJ30" s="46">
        <v>154</v>
      </c>
      <c r="AK30" s="46">
        <v>161</v>
      </c>
      <c r="AL30" s="46">
        <v>163</v>
      </c>
      <c r="AM30" s="46">
        <v>152</v>
      </c>
      <c r="AN30" s="46">
        <v>171</v>
      </c>
      <c r="AO30" s="46">
        <v>165</v>
      </c>
      <c r="AP30" s="46">
        <v>163</v>
      </c>
      <c r="AQ30" s="46">
        <v>197</v>
      </c>
      <c r="AR30" s="1">
        <v>206</v>
      </c>
      <c r="AS30" s="1">
        <v>220</v>
      </c>
      <c r="AT30" s="1">
        <v>236</v>
      </c>
      <c r="AU30" s="1">
        <v>249</v>
      </c>
      <c r="AV30" s="1">
        <v>237</v>
      </c>
      <c r="AW30" s="1">
        <v>268</v>
      </c>
      <c r="AX30" s="1">
        <v>235</v>
      </c>
      <c r="AY30" s="1">
        <v>248</v>
      </c>
      <c r="AZ30" s="1">
        <v>237</v>
      </c>
      <c r="BA30" s="1">
        <v>246</v>
      </c>
    </row>
    <row r="31" spans="1:53">
      <c r="A31" s="42" t="s">
        <v>43</v>
      </c>
      <c r="B31" s="46"/>
      <c r="C31" s="46">
        <v>34</v>
      </c>
      <c r="D31" s="46">
        <v>35</v>
      </c>
      <c r="E31" s="46">
        <v>39</v>
      </c>
      <c r="F31" s="46">
        <v>64</v>
      </c>
      <c r="G31" s="46">
        <v>51</v>
      </c>
      <c r="H31" s="46">
        <v>61</v>
      </c>
      <c r="I31" s="46">
        <v>65</v>
      </c>
      <c r="J31" s="46">
        <v>75</v>
      </c>
      <c r="K31" s="46">
        <v>65</v>
      </c>
      <c r="L31" s="46">
        <v>74</v>
      </c>
      <c r="M31" s="46">
        <v>74</v>
      </c>
      <c r="N31" s="46">
        <v>71</v>
      </c>
      <c r="O31" s="46">
        <v>73</v>
      </c>
      <c r="P31" s="46">
        <v>78</v>
      </c>
      <c r="Q31" s="46">
        <v>64</v>
      </c>
      <c r="R31" s="46">
        <v>75</v>
      </c>
      <c r="S31" s="46">
        <v>66</v>
      </c>
      <c r="T31" s="46">
        <v>74</v>
      </c>
      <c r="U31" s="46">
        <v>78</v>
      </c>
      <c r="V31" s="46">
        <v>59</v>
      </c>
      <c r="W31" s="46">
        <v>71</v>
      </c>
      <c r="X31" s="46">
        <v>61</v>
      </c>
      <c r="Y31" s="46">
        <v>70</v>
      </c>
      <c r="Z31" s="46">
        <v>68</v>
      </c>
      <c r="AA31" s="46">
        <v>70</v>
      </c>
      <c r="AB31" s="46">
        <v>78</v>
      </c>
      <c r="AC31" s="46">
        <v>75</v>
      </c>
      <c r="AD31" s="46">
        <v>75</v>
      </c>
      <c r="AE31" s="46">
        <v>68</v>
      </c>
      <c r="AF31" s="46">
        <v>80</v>
      </c>
      <c r="AG31" s="46">
        <v>70</v>
      </c>
      <c r="AH31" s="46">
        <v>83</v>
      </c>
      <c r="AI31" s="46">
        <v>121</v>
      </c>
      <c r="AJ31" s="46">
        <v>118</v>
      </c>
      <c r="AK31" s="46">
        <v>134</v>
      </c>
      <c r="AL31" s="46">
        <v>129</v>
      </c>
      <c r="AM31" s="46">
        <v>136</v>
      </c>
      <c r="AN31" s="46">
        <v>136</v>
      </c>
      <c r="AO31" s="46">
        <v>141</v>
      </c>
      <c r="AP31" s="46">
        <v>140</v>
      </c>
      <c r="AQ31" s="46">
        <v>216</v>
      </c>
      <c r="AR31" s="1">
        <v>256</v>
      </c>
      <c r="AS31" s="1">
        <v>275</v>
      </c>
      <c r="AT31" s="1">
        <v>297</v>
      </c>
      <c r="AU31" s="1">
        <v>313</v>
      </c>
      <c r="AV31" s="1">
        <v>329</v>
      </c>
      <c r="AW31" s="1">
        <v>312</v>
      </c>
      <c r="AX31" s="1">
        <v>367</v>
      </c>
      <c r="AY31" s="1">
        <v>325</v>
      </c>
      <c r="AZ31" s="1">
        <v>392</v>
      </c>
      <c r="BA31" s="1">
        <v>465</v>
      </c>
    </row>
    <row r="32" spans="1:53">
      <c r="A32" s="42" t="s">
        <v>44</v>
      </c>
      <c r="B32" s="46"/>
      <c r="C32" s="46">
        <v>0</v>
      </c>
      <c r="D32" s="46"/>
      <c r="E32" s="46"/>
      <c r="F32" s="46"/>
      <c r="G32" s="46"/>
      <c r="H32" s="46"/>
      <c r="I32" s="46"/>
      <c r="J32" s="46"/>
      <c r="K32" s="46"/>
      <c r="L32" s="46"/>
      <c r="M32" s="46">
        <v>36</v>
      </c>
      <c r="N32" s="46">
        <v>48</v>
      </c>
      <c r="O32" s="46">
        <v>45</v>
      </c>
      <c r="P32" s="46">
        <v>42</v>
      </c>
      <c r="Q32" s="46">
        <v>48</v>
      </c>
      <c r="R32" s="46">
        <v>70</v>
      </c>
      <c r="S32" s="46">
        <v>75</v>
      </c>
      <c r="T32" s="46">
        <v>42</v>
      </c>
      <c r="U32" s="46">
        <v>46</v>
      </c>
      <c r="V32" s="46">
        <v>46</v>
      </c>
      <c r="W32" s="46">
        <v>49</v>
      </c>
      <c r="X32" s="46">
        <v>38</v>
      </c>
      <c r="Y32" s="46">
        <v>44</v>
      </c>
      <c r="Z32" s="46">
        <v>54</v>
      </c>
      <c r="AA32" s="46">
        <v>39</v>
      </c>
      <c r="AB32" s="46">
        <v>54</v>
      </c>
      <c r="AC32" s="46">
        <v>55</v>
      </c>
      <c r="AD32" s="46">
        <v>47</v>
      </c>
      <c r="AE32" s="46">
        <v>48</v>
      </c>
      <c r="AF32" s="46">
        <v>52</v>
      </c>
      <c r="AG32" s="46">
        <v>53</v>
      </c>
      <c r="AH32" s="46">
        <v>139</v>
      </c>
      <c r="AI32" s="46">
        <v>152</v>
      </c>
      <c r="AJ32" s="46">
        <v>178</v>
      </c>
      <c r="AK32" s="46">
        <v>169</v>
      </c>
      <c r="AL32" s="46">
        <v>180</v>
      </c>
      <c r="AM32" s="46">
        <v>265</v>
      </c>
      <c r="AN32" s="46">
        <v>399</v>
      </c>
      <c r="AO32" s="46">
        <v>371</v>
      </c>
      <c r="AP32" s="46">
        <v>447</v>
      </c>
      <c r="AQ32" s="46">
        <v>471</v>
      </c>
      <c r="AR32" s="1">
        <v>583</v>
      </c>
      <c r="AS32" s="1">
        <v>686</v>
      </c>
      <c r="AT32" s="1">
        <v>664</v>
      </c>
      <c r="AU32" s="1">
        <v>680</v>
      </c>
      <c r="AV32" s="1">
        <v>794</v>
      </c>
      <c r="AW32" s="1">
        <v>720</v>
      </c>
      <c r="AX32" s="1">
        <v>819</v>
      </c>
      <c r="AY32" s="1">
        <v>744</v>
      </c>
      <c r="AZ32" s="1">
        <v>790</v>
      </c>
      <c r="BA32" s="1">
        <v>770</v>
      </c>
    </row>
    <row r="33" spans="1:53">
      <c r="A33" s="42" t="s">
        <v>45</v>
      </c>
      <c r="B33" s="46"/>
      <c r="C33" s="46">
        <v>58</v>
      </c>
      <c r="D33" s="46">
        <v>82</v>
      </c>
      <c r="E33" s="46">
        <v>105</v>
      </c>
      <c r="F33" s="46">
        <v>130</v>
      </c>
      <c r="G33" s="46">
        <v>152</v>
      </c>
      <c r="H33" s="46">
        <v>162</v>
      </c>
      <c r="I33" s="46">
        <v>165</v>
      </c>
      <c r="J33" s="46">
        <v>190</v>
      </c>
      <c r="K33" s="46">
        <v>166</v>
      </c>
      <c r="L33" s="46">
        <v>179</v>
      </c>
      <c r="M33" s="46">
        <v>165</v>
      </c>
      <c r="N33" s="46">
        <v>194</v>
      </c>
      <c r="O33" s="46">
        <v>179</v>
      </c>
      <c r="P33" s="46">
        <v>176</v>
      </c>
      <c r="Q33" s="46">
        <v>186</v>
      </c>
      <c r="R33" s="46">
        <v>166</v>
      </c>
      <c r="S33" s="46">
        <v>191</v>
      </c>
      <c r="T33" s="46">
        <v>170</v>
      </c>
      <c r="U33" s="46">
        <v>164</v>
      </c>
      <c r="V33" s="46">
        <v>181</v>
      </c>
      <c r="W33" s="46">
        <v>179</v>
      </c>
      <c r="X33" s="46">
        <v>167</v>
      </c>
      <c r="Y33" s="46">
        <v>176</v>
      </c>
      <c r="Z33" s="46">
        <v>178</v>
      </c>
      <c r="AA33" s="46">
        <v>192</v>
      </c>
      <c r="AB33" s="46">
        <v>172</v>
      </c>
      <c r="AC33" s="46">
        <v>192</v>
      </c>
      <c r="AD33" s="46">
        <v>174</v>
      </c>
      <c r="AE33" s="46">
        <v>185</v>
      </c>
      <c r="AF33" s="46">
        <v>167</v>
      </c>
      <c r="AG33" s="46">
        <v>226</v>
      </c>
      <c r="AH33" s="46">
        <v>249</v>
      </c>
      <c r="AI33" s="46">
        <v>286</v>
      </c>
      <c r="AJ33" s="46">
        <v>246</v>
      </c>
      <c r="AK33" s="46">
        <v>243</v>
      </c>
      <c r="AL33" s="46">
        <v>250</v>
      </c>
      <c r="AM33" s="46">
        <v>250</v>
      </c>
      <c r="AN33" s="46">
        <v>293</v>
      </c>
      <c r="AO33" s="46">
        <v>269</v>
      </c>
      <c r="AP33" s="46">
        <v>272</v>
      </c>
      <c r="AQ33" s="46">
        <v>281</v>
      </c>
      <c r="AR33" s="1">
        <v>303</v>
      </c>
      <c r="AS33" s="1">
        <v>294</v>
      </c>
      <c r="AT33" s="1">
        <v>285</v>
      </c>
      <c r="AU33" s="1">
        <v>288</v>
      </c>
      <c r="AV33" s="1">
        <v>328</v>
      </c>
      <c r="AW33" s="1">
        <v>335</v>
      </c>
      <c r="AX33" s="1">
        <v>343</v>
      </c>
      <c r="AY33" s="1">
        <v>333</v>
      </c>
      <c r="AZ33" s="1">
        <v>338</v>
      </c>
      <c r="BA33" s="1">
        <v>471</v>
      </c>
    </row>
    <row r="34" spans="1:53">
      <c r="A34" s="42" t="s">
        <v>46</v>
      </c>
      <c r="B34" s="46"/>
      <c r="C34" s="46">
        <v>397</v>
      </c>
      <c r="D34" s="46">
        <v>489</v>
      </c>
      <c r="E34" s="46">
        <v>507</v>
      </c>
      <c r="F34" s="46">
        <v>664</v>
      </c>
      <c r="G34" s="46">
        <v>707</v>
      </c>
      <c r="H34" s="46">
        <v>749</v>
      </c>
      <c r="I34" s="46">
        <v>895</v>
      </c>
      <c r="J34" s="46">
        <v>886</v>
      </c>
      <c r="K34" s="46">
        <v>948</v>
      </c>
      <c r="L34" s="46">
        <v>972</v>
      </c>
      <c r="M34" s="46">
        <v>1033</v>
      </c>
      <c r="N34" s="46">
        <v>1014</v>
      </c>
      <c r="O34" s="46">
        <v>980</v>
      </c>
      <c r="P34" s="46">
        <v>1062</v>
      </c>
      <c r="Q34" s="46">
        <v>1075</v>
      </c>
      <c r="R34" s="46">
        <v>994</v>
      </c>
      <c r="S34" s="46">
        <v>938</v>
      </c>
      <c r="T34" s="46">
        <v>899</v>
      </c>
      <c r="U34" s="46">
        <v>845</v>
      </c>
      <c r="V34" s="46">
        <v>906</v>
      </c>
      <c r="W34" s="46">
        <v>928</v>
      </c>
      <c r="X34" s="46">
        <v>942</v>
      </c>
      <c r="Y34" s="46">
        <v>1032</v>
      </c>
      <c r="Z34" s="46">
        <v>988</v>
      </c>
      <c r="AA34" s="46">
        <v>946</v>
      </c>
      <c r="AB34" s="46">
        <v>904</v>
      </c>
      <c r="AC34" s="46">
        <v>957</v>
      </c>
      <c r="AD34" s="46">
        <v>1064</v>
      </c>
      <c r="AE34" s="46">
        <v>1067</v>
      </c>
      <c r="AF34" s="46">
        <v>932</v>
      </c>
      <c r="AG34" s="46">
        <v>1047</v>
      </c>
      <c r="AH34" s="46">
        <v>1133</v>
      </c>
      <c r="AI34" s="46">
        <v>1020</v>
      </c>
      <c r="AJ34" s="46">
        <v>1074</v>
      </c>
      <c r="AK34" s="46">
        <v>1070</v>
      </c>
      <c r="AL34" s="46">
        <v>1147</v>
      </c>
      <c r="AM34" s="46">
        <v>1196</v>
      </c>
      <c r="AN34" s="46">
        <v>1191</v>
      </c>
      <c r="AO34" s="46">
        <v>1129</v>
      </c>
      <c r="AP34" s="46">
        <v>1256</v>
      </c>
      <c r="AQ34" s="46">
        <v>1395</v>
      </c>
      <c r="AR34" s="1">
        <v>1396</v>
      </c>
      <c r="AS34" s="1">
        <v>1390</v>
      </c>
      <c r="AT34" s="1">
        <v>1427</v>
      </c>
      <c r="AU34" s="1">
        <v>1482</v>
      </c>
      <c r="AV34" s="1">
        <v>1416</v>
      </c>
      <c r="AW34" s="1">
        <v>1402</v>
      </c>
      <c r="AX34" s="1">
        <v>1417</v>
      </c>
      <c r="AY34" s="1">
        <v>1442</v>
      </c>
      <c r="AZ34" s="1">
        <v>1452</v>
      </c>
      <c r="BA34" s="1">
        <v>1473</v>
      </c>
    </row>
    <row r="35" spans="1:53">
      <c r="A35" s="42" t="s">
        <v>47</v>
      </c>
      <c r="B35" s="46"/>
      <c r="C35" s="46">
        <v>153</v>
      </c>
      <c r="D35" s="46">
        <v>166</v>
      </c>
      <c r="E35" s="46">
        <v>179</v>
      </c>
      <c r="F35" s="46">
        <v>227</v>
      </c>
      <c r="G35" s="46">
        <v>198</v>
      </c>
      <c r="H35" s="46">
        <v>233</v>
      </c>
      <c r="I35" s="46">
        <v>378</v>
      </c>
      <c r="J35" s="46">
        <v>386</v>
      </c>
      <c r="K35" s="46">
        <v>359</v>
      </c>
      <c r="L35" s="46">
        <v>334</v>
      </c>
      <c r="M35" s="46">
        <v>371</v>
      </c>
      <c r="N35" s="46">
        <v>360</v>
      </c>
      <c r="O35" s="46">
        <v>376</v>
      </c>
      <c r="P35" s="46">
        <v>382</v>
      </c>
      <c r="Q35" s="46">
        <v>389</v>
      </c>
      <c r="R35" s="46">
        <v>379</v>
      </c>
      <c r="S35" s="46">
        <v>361</v>
      </c>
      <c r="T35" s="46">
        <v>365</v>
      </c>
      <c r="U35" s="46">
        <v>378</v>
      </c>
      <c r="V35" s="46">
        <v>376</v>
      </c>
      <c r="W35" s="46">
        <v>380</v>
      </c>
      <c r="X35" s="46">
        <v>383</v>
      </c>
      <c r="Y35" s="46">
        <v>364</v>
      </c>
      <c r="Z35" s="46">
        <v>388</v>
      </c>
      <c r="AA35" s="46">
        <v>367</v>
      </c>
      <c r="AB35" s="46">
        <v>373</v>
      </c>
      <c r="AC35" s="46">
        <v>380</v>
      </c>
      <c r="AD35" s="46">
        <v>392</v>
      </c>
      <c r="AE35" s="46">
        <v>379</v>
      </c>
      <c r="AF35" s="46">
        <v>362</v>
      </c>
      <c r="AG35" s="46">
        <v>382</v>
      </c>
      <c r="AH35" s="46">
        <v>387</v>
      </c>
      <c r="AI35" s="46">
        <v>393</v>
      </c>
      <c r="AJ35" s="46">
        <v>410</v>
      </c>
      <c r="AK35" s="46">
        <v>416</v>
      </c>
      <c r="AL35" s="46">
        <v>423</v>
      </c>
      <c r="AM35" s="46">
        <v>433</v>
      </c>
      <c r="AN35" s="46">
        <v>426</v>
      </c>
      <c r="AO35" s="46">
        <v>424</v>
      </c>
      <c r="AP35" s="46">
        <v>521</v>
      </c>
      <c r="AQ35" s="46">
        <v>499</v>
      </c>
      <c r="AR35" s="1">
        <v>576</v>
      </c>
      <c r="AS35" s="1">
        <v>533</v>
      </c>
      <c r="AT35" s="1">
        <v>590</v>
      </c>
      <c r="AU35" s="1">
        <v>573</v>
      </c>
      <c r="AV35" s="1">
        <v>564</v>
      </c>
      <c r="AW35" s="1">
        <v>589</v>
      </c>
      <c r="AX35" s="1">
        <v>643</v>
      </c>
      <c r="AY35" s="1">
        <v>611</v>
      </c>
      <c r="AZ35" s="1">
        <v>675</v>
      </c>
      <c r="BA35" s="1">
        <v>722</v>
      </c>
    </row>
    <row r="36" spans="1:53">
      <c r="A36" s="42" t="s">
        <v>48</v>
      </c>
      <c r="B36" s="46"/>
      <c r="C36" s="46">
        <v>346</v>
      </c>
      <c r="D36" s="46">
        <v>387</v>
      </c>
      <c r="E36" s="46">
        <v>377</v>
      </c>
      <c r="F36" s="46">
        <v>514</v>
      </c>
      <c r="G36" s="46">
        <v>548</v>
      </c>
      <c r="H36" s="46">
        <v>804</v>
      </c>
      <c r="I36" s="46">
        <v>962</v>
      </c>
      <c r="J36" s="46">
        <v>960</v>
      </c>
      <c r="K36" s="46">
        <v>1031</v>
      </c>
      <c r="L36" s="46">
        <v>1011</v>
      </c>
      <c r="M36" s="46">
        <v>934</v>
      </c>
      <c r="N36" s="46">
        <v>1006</v>
      </c>
      <c r="O36" s="46">
        <v>924</v>
      </c>
      <c r="P36" s="46">
        <v>1016</v>
      </c>
      <c r="Q36" s="46">
        <v>963</v>
      </c>
      <c r="R36" s="46">
        <v>1000</v>
      </c>
      <c r="S36" s="46">
        <v>908</v>
      </c>
      <c r="T36" s="46">
        <v>901</v>
      </c>
      <c r="U36" s="46">
        <v>898</v>
      </c>
      <c r="V36" s="46">
        <v>809</v>
      </c>
      <c r="W36" s="46">
        <v>852</v>
      </c>
      <c r="X36" s="46">
        <v>832</v>
      </c>
      <c r="Y36" s="46">
        <v>886</v>
      </c>
      <c r="Z36" s="46">
        <v>920</v>
      </c>
      <c r="AA36" s="46">
        <v>918</v>
      </c>
      <c r="AB36" s="46">
        <v>909</v>
      </c>
      <c r="AC36" s="46">
        <v>931</v>
      </c>
      <c r="AD36" s="46">
        <v>941</v>
      </c>
      <c r="AE36" s="46">
        <v>967</v>
      </c>
      <c r="AF36" s="46">
        <v>1038</v>
      </c>
      <c r="AG36" s="46">
        <v>1075</v>
      </c>
      <c r="AH36" s="46">
        <v>1183</v>
      </c>
      <c r="AI36" s="46">
        <v>1196</v>
      </c>
      <c r="AJ36" s="46">
        <v>1218</v>
      </c>
      <c r="AK36" s="46">
        <v>1170</v>
      </c>
      <c r="AL36" s="46">
        <v>1357</v>
      </c>
      <c r="AM36" s="46">
        <v>1322</v>
      </c>
      <c r="AN36" s="46">
        <v>1342</v>
      </c>
      <c r="AO36" s="46">
        <v>1364</v>
      </c>
      <c r="AP36" s="46">
        <v>1329</v>
      </c>
      <c r="AQ36" s="46">
        <v>1364</v>
      </c>
      <c r="AR36" s="1">
        <v>1370</v>
      </c>
      <c r="AS36" s="1">
        <v>1499</v>
      </c>
      <c r="AT36" s="1">
        <v>1480</v>
      </c>
      <c r="AU36" s="1">
        <v>1470</v>
      </c>
      <c r="AV36" s="1">
        <v>1402</v>
      </c>
      <c r="AW36" s="1">
        <v>1413</v>
      </c>
      <c r="AX36" s="1">
        <v>1489</v>
      </c>
      <c r="AY36" s="1">
        <v>1519</v>
      </c>
      <c r="AZ36" s="1">
        <v>1594</v>
      </c>
      <c r="BA36" s="1">
        <v>1669</v>
      </c>
    </row>
    <row r="37" spans="1:53">
      <c r="A37" s="47" t="s">
        <v>49</v>
      </c>
      <c r="B37" s="48"/>
      <c r="C37" s="48">
        <v>31</v>
      </c>
      <c r="D37" s="48">
        <v>34</v>
      </c>
      <c r="E37" s="48">
        <v>40</v>
      </c>
      <c r="F37" s="48">
        <v>55</v>
      </c>
      <c r="G37" s="48">
        <v>85</v>
      </c>
      <c r="H37" s="48">
        <v>61</v>
      </c>
      <c r="I37" s="48">
        <v>62</v>
      </c>
      <c r="J37" s="48">
        <v>70</v>
      </c>
      <c r="K37" s="48">
        <v>59</v>
      </c>
      <c r="L37" s="48">
        <v>68</v>
      </c>
      <c r="M37" s="48">
        <v>60</v>
      </c>
      <c r="N37" s="48">
        <v>63</v>
      </c>
      <c r="O37" s="48">
        <v>60</v>
      </c>
      <c r="P37" s="48">
        <v>68</v>
      </c>
      <c r="Q37" s="48">
        <v>59</v>
      </c>
      <c r="R37" s="48">
        <v>122</v>
      </c>
      <c r="S37" s="48">
        <v>68</v>
      </c>
      <c r="T37" s="48">
        <v>59</v>
      </c>
      <c r="U37" s="48">
        <v>69</v>
      </c>
      <c r="V37" s="48">
        <v>57</v>
      </c>
      <c r="W37" s="48">
        <v>67</v>
      </c>
      <c r="X37" s="48">
        <v>70</v>
      </c>
      <c r="Y37" s="48">
        <v>64</v>
      </c>
      <c r="Z37" s="48">
        <v>69</v>
      </c>
      <c r="AA37" s="48">
        <v>66</v>
      </c>
      <c r="AB37" s="48">
        <v>70</v>
      </c>
      <c r="AC37" s="48">
        <v>78</v>
      </c>
      <c r="AD37" s="48">
        <v>68</v>
      </c>
      <c r="AE37" s="48">
        <v>60</v>
      </c>
      <c r="AF37" s="48">
        <v>66</v>
      </c>
      <c r="AG37" s="48">
        <v>119</v>
      </c>
      <c r="AH37" s="48">
        <v>118</v>
      </c>
      <c r="AI37" s="48">
        <v>122</v>
      </c>
      <c r="AJ37" s="48">
        <v>104</v>
      </c>
      <c r="AK37" s="48">
        <v>131</v>
      </c>
      <c r="AL37" s="48">
        <v>125</v>
      </c>
      <c r="AM37" s="48">
        <v>116</v>
      </c>
      <c r="AN37" s="48">
        <v>118</v>
      </c>
      <c r="AO37" s="48">
        <v>117</v>
      </c>
      <c r="AP37" s="48">
        <v>131</v>
      </c>
      <c r="AQ37" s="48">
        <v>110</v>
      </c>
      <c r="AR37" s="1">
        <v>123</v>
      </c>
      <c r="AS37" s="1">
        <v>125</v>
      </c>
      <c r="AT37" s="1">
        <v>118</v>
      </c>
      <c r="AU37" s="1">
        <v>115</v>
      </c>
      <c r="AV37" s="1">
        <v>129</v>
      </c>
      <c r="AW37" s="1">
        <v>117</v>
      </c>
      <c r="AX37" s="1">
        <v>126</v>
      </c>
      <c r="AY37" s="1">
        <v>149</v>
      </c>
      <c r="AZ37" s="1">
        <v>132</v>
      </c>
      <c r="BA37" s="1">
        <v>115</v>
      </c>
    </row>
    <row r="38" spans="1:53">
      <c r="A38" s="42" t="s">
        <v>50</v>
      </c>
      <c r="B38" s="43">
        <f t="shared" ref="B38:AP38" si="25">SUM(B40:B51)</f>
        <v>0</v>
      </c>
      <c r="C38" s="43">
        <f t="shared" si="25"/>
        <v>10432</v>
      </c>
      <c r="D38" s="43">
        <f t="shared" si="25"/>
        <v>10774</v>
      </c>
      <c r="E38" s="43">
        <f t="shared" si="25"/>
        <v>12078</v>
      </c>
      <c r="F38" s="43">
        <f t="shared" si="25"/>
        <v>14411</v>
      </c>
      <c r="G38" s="43">
        <f t="shared" si="25"/>
        <v>15430</v>
      </c>
      <c r="H38" s="43">
        <f t="shared" si="25"/>
        <v>16218</v>
      </c>
      <c r="I38" s="43">
        <f t="shared" si="25"/>
        <v>18543</v>
      </c>
      <c r="J38" s="43">
        <f t="shared" si="25"/>
        <v>18676</v>
      </c>
      <c r="K38" s="43">
        <f t="shared" si="25"/>
        <v>19784</v>
      </c>
      <c r="L38" s="43">
        <f t="shared" si="25"/>
        <v>20224</v>
      </c>
      <c r="M38" s="43">
        <f t="shared" si="25"/>
        <v>20375</v>
      </c>
      <c r="N38" s="43">
        <f t="shared" si="25"/>
        <v>20212</v>
      </c>
      <c r="O38" s="43">
        <f t="shared" si="25"/>
        <v>20301</v>
      </c>
      <c r="P38" s="43">
        <f t="shared" si="25"/>
        <v>20556</v>
      </c>
      <c r="Q38" s="43">
        <f t="shared" si="25"/>
        <v>20652</v>
      </c>
      <c r="R38" s="43">
        <f t="shared" si="25"/>
        <v>20948</v>
      </c>
      <c r="S38" s="43">
        <f t="shared" si="25"/>
        <v>20607</v>
      </c>
      <c r="T38" s="43">
        <f t="shared" si="25"/>
        <v>19413</v>
      </c>
      <c r="U38" s="43">
        <f t="shared" si="25"/>
        <v>19222</v>
      </c>
      <c r="V38" s="43">
        <f t="shared" si="25"/>
        <v>19137</v>
      </c>
      <c r="W38" s="43">
        <f t="shared" si="25"/>
        <v>18999</v>
      </c>
      <c r="X38" s="43">
        <f t="shared" si="25"/>
        <v>19269</v>
      </c>
      <c r="Y38" s="43">
        <f t="shared" si="25"/>
        <v>19660</v>
      </c>
      <c r="Z38" s="43">
        <f t="shared" si="25"/>
        <v>19921</v>
      </c>
      <c r="AA38" s="43">
        <f t="shared" si="25"/>
        <v>19682</v>
      </c>
      <c r="AB38" s="43">
        <f t="shared" si="25"/>
        <v>19496</v>
      </c>
      <c r="AC38" s="43">
        <f t="shared" si="25"/>
        <v>20179</v>
      </c>
      <c r="AD38" s="43">
        <f t="shared" si="25"/>
        <v>20018</v>
      </c>
      <c r="AE38" s="43">
        <f t="shared" si="25"/>
        <v>20166</v>
      </c>
      <c r="AF38" s="43">
        <f t="shared" si="25"/>
        <v>20148</v>
      </c>
      <c r="AG38" s="43">
        <f t="shared" si="25"/>
        <v>20052</v>
      </c>
      <c r="AH38" s="43">
        <f t="shared" si="25"/>
        <v>20223</v>
      </c>
      <c r="AI38" s="43">
        <f t="shared" si="25"/>
        <v>20259</v>
      </c>
      <c r="AJ38" s="43">
        <f t="shared" si="25"/>
        <v>20181</v>
      </c>
      <c r="AK38" s="43">
        <f t="shared" si="25"/>
        <v>20731</v>
      </c>
      <c r="AL38" s="43">
        <f t="shared" si="25"/>
        <v>21890</v>
      </c>
      <c r="AM38" s="43">
        <f t="shared" si="25"/>
        <v>22518</v>
      </c>
      <c r="AN38" s="43">
        <f t="shared" si="25"/>
        <v>23284</v>
      </c>
      <c r="AO38" s="43">
        <f t="shared" si="25"/>
        <v>23893</v>
      </c>
      <c r="AP38" s="43">
        <f t="shared" si="25"/>
        <v>24491</v>
      </c>
      <c r="AQ38" s="43">
        <f>SUM(AQ40:AQ51)</f>
        <v>25268</v>
      </c>
      <c r="AR38" s="43">
        <f>SUM(AR40:AR51)</f>
        <v>26429</v>
      </c>
      <c r="AS38" s="43">
        <f>SUM(AS40:AS51)</f>
        <v>26466</v>
      </c>
      <c r="AT38" s="43">
        <f>SUM(AT40:AT51)</f>
        <v>26849</v>
      </c>
      <c r="AU38" s="43">
        <f t="shared" ref="AU38:AV38" si="26">SUM(AU40:AU51)</f>
        <v>26604</v>
      </c>
      <c r="AV38" s="43">
        <f t="shared" si="26"/>
        <v>26602</v>
      </c>
      <c r="AW38" s="43">
        <f t="shared" ref="AW38:AX38" si="27">SUM(AW40:AW51)</f>
        <v>26085</v>
      </c>
      <c r="AX38" s="43">
        <f t="shared" si="27"/>
        <v>26505</v>
      </c>
      <c r="AY38" s="43">
        <f t="shared" ref="AY38:AZ38" si="28">SUM(AY40:AY51)</f>
        <v>26866</v>
      </c>
      <c r="AZ38" s="43">
        <f t="shared" si="28"/>
        <v>27574</v>
      </c>
      <c r="BA38" s="43">
        <f t="shared" ref="BA38" si="29">SUM(BA40:BA51)</f>
        <v>27587</v>
      </c>
    </row>
    <row r="39" spans="1:53">
      <c r="A39" s="44" t="s">
        <v>131</v>
      </c>
      <c r="B39" s="45">
        <f t="shared" ref="B39:AP39" si="30">(B38/B4)*100</f>
        <v>0</v>
      </c>
      <c r="C39" s="45">
        <f t="shared" si="30"/>
        <v>29.875708803482443</v>
      </c>
      <c r="D39" s="45">
        <f t="shared" si="30"/>
        <v>28.392979497180203</v>
      </c>
      <c r="E39" s="45">
        <f t="shared" si="30"/>
        <v>27.822441316716962</v>
      </c>
      <c r="F39" s="45">
        <f t="shared" si="30"/>
        <v>28.811627813986963</v>
      </c>
      <c r="G39" s="45">
        <f t="shared" si="30"/>
        <v>28.671770477181507</v>
      </c>
      <c r="H39" s="45">
        <f t="shared" si="30"/>
        <v>29.004220616639241</v>
      </c>
      <c r="I39" s="45">
        <f t="shared" si="30"/>
        <v>29.598237801082224</v>
      </c>
      <c r="J39" s="45">
        <f t="shared" si="30"/>
        <v>29.018474494631675</v>
      </c>
      <c r="K39" s="45">
        <f t="shared" si="30"/>
        <v>29.714182724801368</v>
      </c>
      <c r="L39" s="45">
        <f t="shared" si="30"/>
        <v>29.374854752498258</v>
      </c>
      <c r="M39" s="45">
        <f t="shared" si="30"/>
        <v>29.064376702851519</v>
      </c>
      <c r="N39" s="45">
        <f t="shared" si="30"/>
        <v>28.115567054764984</v>
      </c>
      <c r="O39" s="45">
        <f t="shared" si="30"/>
        <v>28.223665002989058</v>
      </c>
      <c r="P39" s="45">
        <f t="shared" si="30"/>
        <v>28.18477232528485</v>
      </c>
      <c r="Q39" s="45">
        <f t="shared" si="30"/>
        <v>27.777852502454703</v>
      </c>
      <c r="R39" s="45">
        <f t="shared" si="30"/>
        <v>27.963850435850539</v>
      </c>
      <c r="S39" s="45">
        <f t="shared" si="30"/>
        <v>27.939043073877734</v>
      </c>
      <c r="T39" s="45">
        <f t="shared" si="30"/>
        <v>27.165106418706188</v>
      </c>
      <c r="U39" s="45">
        <f t="shared" si="30"/>
        <v>27.356047021318986</v>
      </c>
      <c r="V39" s="45">
        <f t="shared" si="30"/>
        <v>27.103544974294337</v>
      </c>
      <c r="W39" s="45">
        <f t="shared" si="30"/>
        <v>26.820729279896099</v>
      </c>
      <c r="X39" s="45">
        <f t="shared" si="30"/>
        <v>26.837421133999079</v>
      </c>
      <c r="Y39" s="45">
        <f t="shared" si="30"/>
        <v>26.579420552408507</v>
      </c>
      <c r="Z39" s="45">
        <f t="shared" si="30"/>
        <v>26.479423649510846</v>
      </c>
      <c r="AA39" s="45">
        <f t="shared" si="30"/>
        <v>26.150963953071233</v>
      </c>
      <c r="AB39" s="45">
        <f t="shared" si="30"/>
        <v>25.773700144097933</v>
      </c>
      <c r="AC39" s="45">
        <f t="shared" si="30"/>
        <v>26.350910183081304</v>
      </c>
      <c r="AD39" s="45">
        <f t="shared" si="30"/>
        <v>25.479214927576816</v>
      </c>
      <c r="AE39" s="45">
        <f t="shared" si="30"/>
        <v>25.657141403089138</v>
      </c>
      <c r="AF39" s="45">
        <f t="shared" si="30"/>
        <v>25.686202016853859</v>
      </c>
      <c r="AG39" s="45">
        <f t="shared" si="30"/>
        <v>25.047153902844222</v>
      </c>
      <c r="AH39" s="45">
        <f t="shared" si="30"/>
        <v>25.371673755128153</v>
      </c>
      <c r="AI39" s="45">
        <f t="shared" si="30"/>
        <v>25.10471139309524</v>
      </c>
      <c r="AJ39" s="45">
        <f t="shared" si="30"/>
        <v>24.946536954398805</v>
      </c>
      <c r="AK39" s="45">
        <f t="shared" si="30"/>
        <v>24.964776435736564</v>
      </c>
      <c r="AL39" s="45">
        <f t="shared" si="30"/>
        <v>25.077615736232516</v>
      </c>
      <c r="AM39" s="45">
        <f t="shared" si="30"/>
        <v>25.68935029376533</v>
      </c>
      <c r="AN39" s="45">
        <f t="shared" si="30"/>
        <v>25.852726949724641</v>
      </c>
      <c r="AO39" s="45">
        <f t="shared" si="30"/>
        <v>25.946679698105012</v>
      </c>
      <c r="AP39" s="45">
        <f t="shared" si="30"/>
        <v>25.79873803078025</v>
      </c>
      <c r="AQ39" s="45">
        <f>(AQ38/AQ4)*100</f>
        <v>25.418221690189018</v>
      </c>
      <c r="AR39" s="45">
        <f>(AR38/AR4)*100</f>
        <v>25.705893223619579</v>
      </c>
      <c r="AS39" s="45">
        <f>(AS38/AS4)*100</f>
        <v>24.798081067406255</v>
      </c>
      <c r="AT39" s="45">
        <f>(AT38/AT4)*100</f>
        <v>24.65291805927939</v>
      </c>
      <c r="AU39" s="45">
        <f t="shared" ref="AU39:AV39" si="31">(AU38/AU4)*100</f>
        <v>24.512360295946856</v>
      </c>
      <c r="AV39" s="45">
        <f t="shared" si="31"/>
        <v>24.648826952299764</v>
      </c>
      <c r="AW39" s="45">
        <f t="shared" ref="AW39:AX39" si="32">(AW38/AW4)*100</f>
        <v>24.518742715343837</v>
      </c>
      <c r="AX39" s="45">
        <f t="shared" si="32"/>
        <v>24.4664549717535</v>
      </c>
      <c r="AY39" s="45">
        <f t="shared" ref="AY39:AZ39" si="33">(AY38/AY4)*100</f>
        <v>24.556464512590832</v>
      </c>
      <c r="AZ39" s="45">
        <f t="shared" si="33"/>
        <v>24.700138845344203</v>
      </c>
      <c r="BA39" s="45">
        <f t="shared" ref="BA39" si="34">(BA38/BA4)*100</f>
        <v>24.181940901640061</v>
      </c>
    </row>
    <row r="40" spans="1:53">
      <c r="A40" s="42" t="s">
        <v>51</v>
      </c>
      <c r="B40" s="46"/>
      <c r="C40" s="46">
        <v>2254</v>
      </c>
      <c r="D40" s="46">
        <v>2461</v>
      </c>
      <c r="E40" s="46">
        <v>2832</v>
      </c>
      <c r="F40" s="46">
        <v>3116</v>
      </c>
      <c r="G40" s="46">
        <v>3458</v>
      </c>
      <c r="H40" s="46">
        <v>3631</v>
      </c>
      <c r="I40" s="46">
        <v>4262</v>
      </c>
      <c r="J40" s="46">
        <v>4103</v>
      </c>
      <c r="K40" s="46">
        <v>4643</v>
      </c>
      <c r="L40" s="46">
        <v>4670</v>
      </c>
      <c r="M40" s="46">
        <v>4532</v>
      </c>
      <c r="N40" s="46">
        <v>4471</v>
      </c>
      <c r="O40" s="46">
        <v>4553</v>
      </c>
      <c r="P40" s="46">
        <v>4468</v>
      </c>
      <c r="Q40" s="46">
        <v>4579</v>
      </c>
      <c r="R40" s="46">
        <v>4679</v>
      </c>
      <c r="S40" s="46">
        <v>4552</v>
      </c>
      <c r="T40" s="46">
        <v>4429</v>
      </c>
      <c r="U40" s="46">
        <v>4353</v>
      </c>
      <c r="V40" s="46">
        <v>4404</v>
      </c>
      <c r="W40" s="46">
        <v>4412</v>
      </c>
      <c r="X40" s="46">
        <v>4476</v>
      </c>
      <c r="Y40" s="46">
        <v>4364</v>
      </c>
      <c r="Z40" s="46">
        <v>4410</v>
      </c>
      <c r="AA40" s="46">
        <v>4321</v>
      </c>
      <c r="AB40" s="46">
        <v>4360</v>
      </c>
      <c r="AC40" s="46">
        <v>4635</v>
      </c>
      <c r="AD40" s="46">
        <v>4431</v>
      </c>
      <c r="AE40" s="46">
        <v>4508</v>
      </c>
      <c r="AF40" s="46">
        <v>4526</v>
      </c>
      <c r="AG40" s="46">
        <v>4470</v>
      </c>
      <c r="AH40" s="46">
        <v>4491</v>
      </c>
      <c r="AI40" s="46">
        <v>4501</v>
      </c>
      <c r="AJ40" s="46">
        <v>4359</v>
      </c>
      <c r="AK40" s="46">
        <v>4422</v>
      </c>
      <c r="AL40" s="46">
        <v>4573</v>
      </c>
      <c r="AM40" s="46">
        <v>4648</v>
      </c>
      <c r="AN40" s="46">
        <v>4853</v>
      </c>
      <c r="AO40" s="46">
        <v>4958</v>
      </c>
      <c r="AP40" s="46">
        <v>5006</v>
      </c>
      <c r="AQ40" s="46">
        <v>4984</v>
      </c>
      <c r="AR40" s="1">
        <v>5025</v>
      </c>
      <c r="AS40" s="1">
        <v>5207</v>
      </c>
      <c r="AT40" s="1">
        <v>5434</v>
      </c>
      <c r="AU40" s="1">
        <v>5354</v>
      </c>
      <c r="AV40" s="1">
        <v>5563</v>
      </c>
      <c r="AW40" s="1">
        <v>5694</v>
      </c>
      <c r="AX40" s="1">
        <v>5662</v>
      </c>
      <c r="AY40" s="1">
        <v>5588</v>
      </c>
      <c r="AZ40" s="1">
        <v>5666</v>
      </c>
      <c r="BA40" s="1">
        <v>5786</v>
      </c>
    </row>
    <row r="41" spans="1:53">
      <c r="A41" s="42" t="s">
        <v>52</v>
      </c>
      <c r="B41" s="46"/>
      <c r="C41" s="46">
        <v>906</v>
      </c>
      <c r="D41" s="46">
        <v>866</v>
      </c>
      <c r="E41" s="46">
        <v>573</v>
      </c>
      <c r="F41" s="46">
        <v>1329</v>
      </c>
      <c r="G41" s="46">
        <v>1393</v>
      </c>
      <c r="H41" s="46">
        <v>1206</v>
      </c>
      <c r="I41" s="46">
        <v>1307</v>
      </c>
      <c r="J41" s="46">
        <v>1486</v>
      </c>
      <c r="K41" s="46">
        <v>1501</v>
      </c>
      <c r="L41" s="46">
        <v>1426</v>
      </c>
      <c r="M41" s="46">
        <v>1513</v>
      </c>
      <c r="N41" s="46">
        <v>1522</v>
      </c>
      <c r="O41" s="46">
        <v>1537</v>
      </c>
      <c r="P41" s="46">
        <v>1555</v>
      </c>
      <c r="Q41" s="46">
        <v>1619</v>
      </c>
      <c r="R41" s="46">
        <v>1545</v>
      </c>
      <c r="S41" s="46">
        <v>1476</v>
      </c>
      <c r="T41" s="46">
        <v>1518</v>
      </c>
      <c r="U41" s="46">
        <v>1422</v>
      </c>
      <c r="V41" s="46">
        <v>1442</v>
      </c>
      <c r="W41" s="46">
        <v>1420</v>
      </c>
      <c r="X41" s="46">
        <v>1384</v>
      </c>
      <c r="Y41" s="46">
        <v>1512</v>
      </c>
      <c r="Z41" s="46">
        <v>1496</v>
      </c>
      <c r="AA41" s="46">
        <v>1454</v>
      </c>
      <c r="AB41" s="46">
        <v>1485</v>
      </c>
      <c r="AC41" s="46">
        <v>1504</v>
      </c>
      <c r="AD41" s="46">
        <v>1445</v>
      </c>
      <c r="AE41" s="46">
        <v>1499</v>
      </c>
      <c r="AF41" s="46">
        <v>1471</v>
      </c>
      <c r="AG41" s="46">
        <v>1538</v>
      </c>
      <c r="AH41" s="46">
        <v>1596</v>
      </c>
      <c r="AI41" s="46">
        <v>1611</v>
      </c>
      <c r="AJ41" s="46">
        <v>1647</v>
      </c>
      <c r="AK41" s="46">
        <v>1664</v>
      </c>
      <c r="AL41" s="46">
        <v>1764</v>
      </c>
      <c r="AM41" s="46">
        <v>1685</v>
      </c>
      <c r="AN41" s="46">
        <v>1807</v>
      </c>
      <c r="AO41" s="46">
        <v>1894</v>
      </c>
      <c r="AP41" s="46">
        <v>1872</v>
      </c>
      <c r="AQ41" s="46">
        <v>1816</v>
      </c>
      <c r="AR41" s="1">
        <v>1915</v>
      </c>
      <c r="AS41" s="1">
        <v>1900</v>
      </c>
      <c r="AT41" s="1">
        <v>1840</v>
      </c>
      <c r="AU41" s="1">
        <v>1873</v>
      </c>
      <c r="AV41" s="1">
        <v>1891</v>
      </c>
      <c r="AW41" s="1">
        <v>1920</v>
      </c>
      <c r="AX41" s="1">
        <v>2147</v>
      </c>
      <c r="AY41" s="1">
        <v>2195</v>
      </c>
      <c r="AZ41" s="1">
        <v>2301</v>
      </c>
      <c r="BA41" s="1">
        <v>2221</v>
      </c>
    </row>
    <row r="42" spans="1:53">
      <c r="A42" s="42" t="s">
        <v>53</v>
      </c>
      <c r="B42" s="46"/>
      <c r="C42" s="46">
        <v>526</v>
      </c>
      <c r="D42" s="46">
        <v>598</v>
      </c>
      <c r="E42" s="46">
        <v>701</v>
      </c>
      <c r="F42" s="46">
        <v>733</v>
      </c>
      <c r="G42" s="46">
        <v>876</v>
      </c>
      <c r="H42" s="46">
        <v>1347</v>
      </c>
      <c r="I42" s="46">
        <v>1550</v>
      </c>
      <c r="J42" s="46">
        <v>1583</v>
      </c>
      <c r="K42" s="46">
        <v>1592</v>
      </c>
      <c r="L42" s="46">
        <v>1428</v>
      </c>
      <c r="M42" s="46">
        <v>1675</v>
      </c>
      <c r="N42" s="46">
        <v>1587</v>
      </c>
      <c r="O42" s="46">
        <v>1363</v>
      </c>
      <c r="P42" s="46">
        <v>1544</v>
      </c>
      <c r="Q42" s="46">
        <v>1584</v>
      </c>
      <c r="R42" s="46">
        <v>1650</v>
      </c>
      <c r="S42" s="46">
        <v>1661</v>
      </c>
      <c r="T42" s="46">
        <v>1315</v>
      </c>
      <c r="U42" s="46">
        <v>1518</v>
      </c>
      <c r="V42" s="46">
        <v>1489</v>
      </c>
      <c r="W42" s="46">
        <v>1427</v>
      </c>
      <c r="X42" s="46">
        <v>1462</v>
      </c>
      <c r="Y42" s="46">
        <v>1493</v>
      </c>
      <c r="Z42" s="46">
        <v>1534</v>
      </c>
      <c r="AA42" s="46">
        <v>1442</v>
      </c>
      <c r="AB42" s="46">
        <v>1535</v>
      </c>
      <c r="AC42" s="46">
        <v>1598</v>
      </c>
      <c r="AD42" s="46">
        <v>1692</v>
      </c>
      <c r="AE42" s="46">
        <v>1566</v>
      </c>
      <c r="AF42" s="46">
        <v>1548</v>
      </c>
      <c r="AG42" s="46">
        <v>1569</v>
      </c>
      <c r="AH42" s="46">
        <v>1622</v>
      </c>
      <c r="AI42" s="46">
        <v>1580</v>
      </c>
      <c r="AJ42" s="46">
        <v>1579</v>
      </c>
      <c r="AK42" s="46">
        <v>1526</v>
      </c>
      <c r="AL42" s="46">
        <v>1683</v>
      </c>
      <c r="AM42" s="46">
        <v>1732</v>
      </c>
      <c r="AN42" s="46">
        <v>1780</v>
      </c>
      <c r="AO42" s="46">
        <v>1778</v>
      </c>
      <c r="AP42" s="46">
        <v>1964</v>
      </c>
      <c r="AQ42" s="46">
        <v>2013</v>
      </c>
      <c r="AR42" s="1">
        <v>2293</v>
      </c>
      <c r="AS42" s="1">
        <v>2108</v>
      </c>
      <c r="AT42" s="1">
        <v>2094</v>
      </c>
      <c r="AU42" s="1">
        <v>2067</v>
      </c>
      <c r="AV42" s="1">
        <v>2037</v>
      </c>
      <c r="AW42" s="1">
        <v>1897</v>
      </c>
      <c r="AX42" s="1">
        <v>2003</v>
      </c>
      <c r="AY42" s="1">
        <v>2034</v>
      </c>
      <c r="AZ42" s="1">
        <v>1969</v>
      </c>
      <c r="BA42" s="1">
        <v>1921</v>
      </c>
    </row>
    <row r="43" spans="1:53">
      <c r="A43" s="42" t="s">
        <v>54</v>
      </c>
      <c r="B43" s="46"/>
      <c r="C43" s="46">
        <v>379</v>
      </c>
      <c r="D43" s="46">
        <v>387</v>
      </c>
      <c r="E43" s="46">
        <v>452</v>
      </c>
      <c r="F43" s="46">
        <v>509</v>
      </c>
      <c r="G43" s="46">
        <v>592</v>
      </c>
      <c r="H43" s="46">
        <v>563</v>
      </c>
      <c r="I43" s="46">
        <v>675</v>
      </c>
      <c r="J43" s="46">
        <v>616</v>
      </c>
      <c r="K43" s="46">
        <v>660</v>
      </c>
      <c r="L43" s="46">
        <v>725</v>
      </c>
      <c r="M43" s="46">
        <v>643</v>
      </c>
      <c r="N43" s="46">
        <v>571</v>
      </c>
      <c r="O43" s="46">
        <v>687</v>
      </c>
      <c r="P43" s="46">
        <v>674</v>
      </c>
      <c r="Q43" s="46">
        <v>717</v>
      </c>
      <c r="R43" s="46">
        <v>712</v>
      </c>
      <c r="S43" s="46">
        <v>665</v>
      </c>
      <c r="T43" s="46">
        <v>655</v>
      </c>
      <c r="U43" s="46">
        <v>628</v>
      </c>
      <c r="V43" s="46">
        <v>590</v>
      </c>
      <c r="W43" s="46">
        <v>566</v>
      </c>
      <c r="X43" s="46">
        <v>629</v>
      </c>
      <c r="Y43" s="46">
        <v>614</v>
      </c>
      <c r="Z43" s="46">
        <v>601</v>
      </c>
      <c r="AA43" s="46">
        <v>619</v>
      </c>
      <c r="AB43" s="46">
        <v>591</v>
      </c>
      <c r="AC43" s="46">
        <v>612</v>
      </c>
      <c r="AD43" s="46">
        <v>581</v>
      </c>
      <c r="AE43" s="46">
        <v>584</v>
      </c>
      <c r="AF43" s="46">
        <v>676</v>
      </c>
      <c r="AG43" s="46">
        <v>685</v>
      </c>
      <c r="AH43" s="46">
        <v>672</v>
      </c>
      <c r="AI43" s="46">
        <v>701</v>
      </c>
      <c r="AJ43" s="46">
        <v>666</v>
      </c>
      <c r="AK43" s="46">
        <v>741</v>
      </c>
      <c r="AL43" s="46">
        <v>767</v>
      </c>
      <c r="AM43" s="46">
        <v>762</v>
      </c>
      <c r="AN43" s="46">
        <v>837</v>
      </c>
      <c r="AO43" s="46">
        <v>834</v>
      </c>
      <c r="AP43" s="46">
        <v>867</v>
      </c>
      <c r="AQ43" s="46">
        <v>903</v>
      </c>
      <c r="AR43" s="1">
        <v>932</v>
      </c>
      <c r="AS43" s="1">
        <v>938</v>
      </c>
      <c r="AT43" s="1">
        <v>888</v>
      </c>
      <c r="AU43" s="1">
        <v>906</v>
      </c>
      <c r="AV43" s="1">
        <v>1037</v>
      </c>
      <c r="AW43" s="1">
        <v>963</v>
      </c>
      <c r="AX43" s="1">
        <v>979</v>
      </c>
      <c r="AY43" s="1">
        <v>1029</v>
      </c>
      <c r="AZ43" s="1">
        <v>1024</v>
      </c>
      <c r="BA43" s="1">
        <v>1085</v>
      </c>
    </row>
    <row r="44" spans="1:53">
      <c r="A44" s="42" t="s">
        <v>55</v>
      </c>
      <c r="B44" s="46"/>
      <c r="C44" s="46">
        <v>1408</v>
      </c>
      <c r="D44" s="46">
        <v>1481</v>
      </c>
      <c r="E44" s="46">
        <v>1683</v>
      </c>
      <c r="F44" s="46">
        <v>1886</v>
      </c>
      <c r="G44" s="46">
        <v>1992</v>
      </c>
      <c r="H44" s="46">
        <v>2072</v>
      </c>
      <c r="I44" s="46">
        <v>2354</v>
      </c>
      <c r="J44" s="46">
        <v>2373</v>
      </c>
      <c r="K44" s="46">
        <v>2601</v>
      </c>
      <c r="L44" s="46">
        <v>2702</v>
      </c>
      <c r="M44" s="46">
        <v>2705</v>
      </c>
      <c r="N44" s="46">
        <v>2638</v>
      </c>
      <c r="O44" s="46">
        <v>2631</v>
      </c>
      <c r="P44" s="46">
        <v>2676</v>
      </c>
      <c r="Q44" s="46">
        <v>2557</v>
      </c>
      <c r="R44" s="46">
        <v>2722</v>
      </c>
      <c r="S44" s="46">
        <v>2697</v>
      </c>
      <c r="T44" s="46">
        <v>2504</v>
      </c>
      <c r="U44" s="46">
        <v>2341</v>
      </c>
      <c r="V44" s="46">
        <v>2212</v>
      </c>
      <c r="W44" s="46">
        <v>2418</v>
      </c>
      <c r="X44" s="46">
        <v>2536</v>
      </c>
      <c r="Y44" s="46">
        <v>2575</v>
      </c>
      <c r="Z44" s="46">
        <v>2581</v>
      </c>
      <c r="AA44" s="46">
        <v>2746</v>
      </c>
      <c r="AB44" s="46">
        <v>2496</v>
      </c>
      <c r="AC44" s="46">
        <v>2578</v>
      </c>
      <c r="AD44" s="46">
        <v>2614</v>
      </c>
      <c r="AE44" s="46">
        <v>2542</v>
      </c>
      <c r="AF44" s="46">
        <v>2463</v>
      </c>
      <c r="AG44" s="46">
        <v>2354</v>
      </c>
      <c r="AH44" s="46">
        <v>2371</v>
      </c>
      <c r="AI44" s="46">
        <v>2440</v>
      </c>
      <c r="AJ44" s="46">
        <v>2481</v>
      </c>
      <c r="AK44" s="46">
        <v>2716</v>
      </c>
      <c r="AL44" s="46">
        <v>2942</v>
      </c>
      <c r="AM44" s="46">
        <v>3257</v>
      </c>
      <c r="AN44" s="46">
        <v>3350</v>
      </c>
      <c r="AO44" s="46">
        <v>3625</v>
      </c>
      <c r="AP44" s="46">
        <v>3615</v>
      </c>
      <c r="AQ44" s="46">
        <v>3708</v>
      </c>
      <c r="AR44" s="1">
        <v>3898</v>
      </c>
      <c r="AS44" s="1">
        <v>3865</v>
      </c>
      <c r="AT44" s="1">
        <v>4003</v>
      </c>
      <c r="AU44" s="1">
        <v>3866</v>
      </c>
      <c r="AV44" s="1">
        <v>3677</v>
      </c>
      <c r="AW44" s="1">
        <v>3431</v>
      </c>
      <c r="AX44" s="1">
        <v>3459</v>
      </c>
      <c r="AY44" s="1">
        <v>3577</v>
      </c>
      <c r="AZ44" s="1">
        <v>3531</v>
      </c>
      <c r="BA44" s="1">
        <v>3658</v>
      </c>
    </row>
    <row r="45" spans="1:53">
      <c r="A45" s="42" t="s">
        <v>56</v>
      </c>
      <c r="B45" s="46"/>
      <c r="C45" s="46">
        <v>785</v>
      </c>
      <c r="D45" s="46">
        <v>738</v>
      </c>
      <c r="E45" s="46">
        <v>880</v>
      </c>
      <c r="F45" s="46">
        <v>878</v>
      </c>
      <c r="G45" s="46">
        <v>982</v>
      </c>
      <c r="H45" s="46">
        <v>1067</v>
      </c>
      <c r="I45" s="46">
        <v>1300</v>
      </c>
      <c r="J45" s="46">
        <v>1412</v>
      </c>
      <c r="K45" s="46">
        <v>1454</v>
      </c>
      <c r="L45" s="46">
        <v>1654</v>
      </c>
      <c r="M45" s="46">
        <v>1501</v>
      </c>
      <c r="N45" s="46">
        <v>1622</v>
      </c>
      <c r="O45" s="46">
        <v>1756</v>
      </c>
      <c r="P45" s="46">
        <v>1616</v>
      </c>
      <c r="Q45" s="46">
        <v>1553</v>
      </c>
      <c r="R45" s="46">
        <v>1591</v>
      </c>
      <c r="S45" s="46">
        <v>1580</v>
      </c>
      <c r="T45" s="46">
        <v>1529</v>
      </c>
      <c r="U45" s="46">
        <v>1560</v>
      </c>
      <c r="V45" s="46">
        <v>1486</v>
      </c>
      <c r="W45" s="46">
        <v>1561</v>
      </c>
      <c r="X45" s="46">
        <v>1454</v>
      </c>
      <c r="Y45" s="46">
        <v>1829</v>
      </c>
      <c r="Z45" s="46">
        <v>1854</v>
      </c>
      <c r="AA45" s="46">
        <v>1536</v>
      </c>
      <c r="AB45" s="46">
        <v>1538</v>
      </c>
      <c r="AC45" s="46">
        <v>1497</v>
      </c>
      <c r="AD45" s="46">
        <v>1585</v>
      </c>
      <c r="AE45" s="46">
        <v>1666</v>
      </c>
      <c r="AF45" s="46">
        <v>1524</v>
      </c>
      <c r="AG45" s="46">
        <v>1535</v>
      </c>
      <c r="AH45" s="46">
        <v>1568</v>
      </c>
      <c r="AI45" s="46">
        <v>1521</v>
      </c>
      <c r="AJ45" s="46">
        <v>1596</v>
      </c>
      <c r="AK45" s="46">
        <v>1659</v>
      </c>
      <c r="AL45" s="46">
        <v>1759</v>
      </c>
      <c r="AM45" s="46">
        <v>1767</v>
      </c>
      <c r="AN45" s="46">
        <v>1919</v>
      </c>
      <c r="AO45" s="46">
        <v>1883</v>
      </c>
      <c r="AP45" s="46">
        <v>1992</v>
      </c>
      <c r="AQ45" s="46">
        <v>1966</v>
      </c>
      <c r="AR45" s="1">
        <v>2002</v>
      </c>
      <c r="AS45" s="1">
        <v>2006</v>
      </c>
      <c r="AT45" s="1">
        <v>2144</v>
      </c>
      <c r="AU45" s="1">
        <v>2102</v>
      </c>
      <c r="AV45" s="1">
        <v>1990</v>
      </c>
      <c r="AW45" s="1">
        <v>1906</v>
      </c>
      <c r="AX45" s="1">
        <v>1891</v>
      </c>
      <c r="AY45" s="1">
        <v>1864</v>
      </c>
      <c r="AZ45" s="1">
        <v>1932</v>
      </c>
      <c r="BA45" s="1">
        <v>2067</v>
      </c>
    </row>
    <row r="46" spans="1:53">
      <c r="A46" s="42" t="s">
        <v>57</v>
      </c>
      <c r="B46" s="46"/>
      <c r="C46" s="46">
        <v>1391</v>
      </c>
      <c r="D46" s="46">
        <v>1405</v>
      </c>
      <c r="E46" s="46">
        <v>1593</v>
      </c>
      <c r="F46" s="46">
        <v>1924</v>
      </c>
      <c r="G46" s="46">
        <v>1880</v>
      </c>
      <c r="H46" s="46">
        <v>1954</v>
      </c>
      <c r="I46" s="46">
        <v>2107</v>
      </c>
      <c r="J46" s="46">
        <v>2120</v>
      </c>
      <c r="K46" s="46">
        <v>2177</v>
      </c>
      <c r="L46" s="46">
        <v>2276</v>
      </c>
      <c r="M46" s="46">
        <v>2333</v>
      </c>
      <c r="N46" s="46">
        <v>2321</v>
      </c>
      <c r="O46" s="46">
        <v>2355</v>
      </c>
      <c r="P46" s="46">
        <v>2539</v>
      </c>
      <c r="Q46" s="46">
        <v>2436</v>
      </c>
      <c r="R46" s="46">
        <v>2409</v>
      </c>
      <c r="S46" s="46">
        <v>2470</v>
      </c>
      <c r="T46" s="46">
        <v>2275</v>
      </c>
      <c r="U46" s="46">
        <v>2264</v>
      </c>
      <c r="V46" s="46">
        <v>2300</v>
      </c>
      <c r="W46" s="46">
        <v>2283</v>
      </c>
      <c r="X46" s="46">
        <v>2186</v>
      </c>
      <c r="Y46" s="46">
        <v>2157</v>
      </c>
      <c r="Z46" s="46">
        <v>2171</v>
      </c>
      <c r="AA46" s="46">
        <v>2206</v>
      </c>
      <c r="AB46" s="46">
        <v>2296</v>
      </c>
      <c r="AC46" s="46">
        <v>2377</v>
      </c>
      <c r="AD46" s="46">
        <v>2366</v>
      </c>
      <c r="AE46" s="46">
        <v>2394</v>
      </c>
      <c r="AF46" s="46">
        <v>2564</v>
      </c>
      <c r="AG46" s="46">
        <v>2573</v>
      </c>
      <c r="AH46" s="46">
        <v>2480</v>
      </c>
      <c r="AI46" s="46">
        <v>2420</v>
      </c>
      <c r="AJ46" s="46">
        <v>2490</v>
      </c>
      <c r="AK46" s="46">
        <v>2557</v>
      </c>
      <c r="AL46" s="46">
        <v>2625</v>
      </c>
      <c r="AM46" s="46">
        <v>2709</v>
      </c>
      <c r="AN46" s="46">
        <v>2802</v>
      </c>
      <c r="AO46" s="46">
        <v>2751</v>
      </c>
      <c r="AP46" s="46">
        <v>2803</v>
      </c>
      <c r="AQ46" s="46">
        <v>3427</v>
      </c>
      <c r="AR46" s="1">
        <v>3423</v>
      </c>
      <c r="AS46" s="1">
        <v>3336</v>
      </c>
      <c r="AT46" s="1">
        <v>3378</v>
      </c>
      <c r="AU46" s="1">
        <v>3252</v>
      </c>
      <c r="AV46" s="1">
        <v>3187</v>
      </c>
      <c r="AW46" s="1">
        <v>3103</v>
      </c>
      <c r="AX46" s="1">
        <v>3272</v>
      </c>
      <c r="AY46" s="1">
        <v>3241</v>
      </c>
      <c r="AZ46" s="1">
        <v>3433</v>
      </c>
      <c r="BA46" s="1">
        <v>3234</v>
      </c>
    </row>
    <row r="47" spans="1:53">
      <c r="A47" s="42" t="s">
        <v>58</v>
      </c>
      <c r="B47" s="46"/>
      <c r="C47" s="46">
        <v>407</v>
      </c>
      <c r="D47" s="46">
        <v>402</v>
      </c>
      <c r="E47" s="46">
        <v>517</v>
      </c>
      <c r="F47" s="46">
        <v>583</v>
      </c>
      <c r="G47" s="46">
        <v>657</v>
      </c>
      <c r="H47" s="46">
        <v>716</v>
      </c>
      <c r="I47" s="46">
        <v>748</v>
      </c>
      <c r="J47" s="46">
        <v>716</v>
      </c>
      <c r="K47" s="46">
        <v>680</v>
      </c>
      <c r="L47" s="46">
        <v>809</v>
      </c>
      <c r="M47" s="46">
        <v>776</v>
      </c>
      <c r="N47" s="46">
        <v>721</v>
      </c>
      <c r="O47" s="46">
        <v>808</v>
      </c>
      <c r="P47" s="46">
        <v>765</v>
      </c>
      <c r="Q47" s="46">
        <v>772</v>
      </c>
      <c r="R47" s="46">
        <v>742</v>
      </c>
      <c r="S47" s="46">
        <v>755</v>
      </c>
      <c r="T47" s="46">
        <v>752</v>
      </c>
      <c r="U47" s="46">
        <v>706</v>
      </c>
      <c r="V47" s="46">
        <v>727</v>
      </c>
      <c r="W47" s="46">
        <v>658</v>
      </c>
      <c r="X47" s="46">
        <v>736</v>
      </c>
      <c r="Y47" s="46">
        <v>732</v>
      </c>
      <c r="Z47" s="46">
        <v>806</v>
      </c>
      <c r="AA47" s="46">
        <v>811</v>
      </c>
      <c r="AB47" s="46">
        <v>825</v>
      </c>
      <c r="AC47" s="46">
        <v>826</v>
      </c>
      <c r="AD47" s="46">
        <v>789</v>
      </c>
      <c r="AE47" s="46">
        <v>764</v>
      </c>
      <c r="AF47" s="46">
        <v>775</v>
      </c>
      <c r="AG47" s="46">
        <v>794</v>
      </c>
      <c r="AH47" s="46">
        <v>793</v>
      </c>
      <c r="AI47" s="46">
        <v>795</v>
      </c>
      <c r="AJ47" s="46">
        <v>809</v>
      </c>
      <c r="AK47" s="46">
        <v>813</v>
      </c>
      <c r="AL47" s="46">
        <v>864</v>
      </c>
      <c r="AM47" s="46">
        <v>878</v>
      </c>
      <c r="AN47" s="46">
        <v>870</v>
      </c>
      <c r="AO47" s="46">
        <v>975</v>
      </c>
      <c r="AP47" s="46">
        <v>995</v>
      </c>
      <c r="AQ47" s="46">
        <v>1025</v>
      </c>
      <c r="AR47" s="1">
        <v>1001</v>
      </c>
      <c r="AS47" s="1">
        <v>1054</v>
      </c>
      <c r="AT47" s="1">
        <v>1051</v>
      </c>
      <c r="AU47" s="1">
        <v>1096</v>
      </c>
      <c r="AV47" s="1">
        <v>1127</v>
      </c>
      <c r="AW47" s="1">
        <v>1253</v>
      </c>
      <c r="AX47" s="1">
        <v>1153</v>
      </c>
      <c r="AY47" s="1">
        <v>1145</v>
      </c>
      <c r="AZ47" s="1">
        <v>1255</v>
      </c>
      <c r="BA47" s="1">
        <v>1152</v>
      </c>
    </row>
    <row r="48" spans="1:53">
      <c r="A48" s="42" t="s">
        <v>59</v>
      </c>
      <c r="B48" s="46"/>
      <c r="C48" s="46">
        <v>37</v>
      </c>
      <c r="D48" s="46">
        <v>34</v>
      </c>
      <c r="E48" s="46">
        <v>46</v>
      </c>
      <c r="F48" s="46">
        <v>63</v>
      </c>
      <c r="G48" s="46">
        <v>61</v>
      </c>
      <c r="H48" s="46">
        <v>47</v>
      </c>
      <c r="I48" s="46">
        <v>143</v>
      </c>
      <c r="J48" s="46">
        <v>118</v>
      </c>
      <c r="K48" s="46">
        <v>96</v>
      </c>
      <c r="L48" s="46">
        <v>137</v>
      </c>
      <c r="M48" s="46">
        <v>111</v>
      </c>
      <c r="N48" s="46">
        <v>118</v>
      </c>
      <c r="O48" s="46">
        <v>126</v>
      </c>
      <c r="P48" s="46">
        <v>132</v>
      </c>
      <c r="Q48" s="46">
        <v>130</v>
      </c>
      <c r="R48" s="46">
        <v>157</v>
      </c>
      <c r="S48" s="46">
        <v>134</v>
      </c>
      <c r="T48" s="46">
        <v>117</v>
      </c>
      <c r="U48" s="46">
        <v>114</v>
      </c>
      <c r="V48" s="46">
        <v>115</v>
      </c>
      <c r="W48" s="46">
        <v>109</v>
      </c>
      <c r="X48" s="46">
        <v>133</v>
      </c>
      <c r="Y48" s="46">
        <v>127</v>
      </c>
      <c r="Z48" s="46">
        <v>142</v>
      </c>
      <c r="AA48" s="46">
        <v>189</v>
      </c>
      <c r="AB48" s="46">
        <v>187</v>
      </c>
      <c r="AC48" s="46">
        <v>173</v>
      </c>
      <c r="AD48" s="46">
        <v>191</v>
      </c>
      <c r="AE48" s="46">
        <v>178</v>
      </c>
      <c r="AF48" s="46">
        <v>176</v>
      </c>
      <c r="AG48" s="46">
        <v>191</v>
      </c>
      <c r="AH48" s="46">
        <v>168</v>
      </c>
      <c r="AI48" s="46">
        <v>181</v>
      </c>
      <c r="AJ48" s="46">
        <v>180</v>
      </c>
      <c r="AK48" s="46">
        <v>181</v>
      </c>
      <c r="AL48" s="46">
        <v>178</v>
      </c>
      <c r="AM48" s="46">
        <v>206</v>
      </c>
      <c r="AN48" s="46">
        <v>208</v>
      </c>
      <c r="AO48" s="46">
        <v>258</v>
      </c>
      <c r="AP48" s="46">
        <v>252</v>
      </c>
      <c r="AQ48" s="46">
        <v>311</v>
      </c>
      <c r="AR48" s="1">
        <v>317</v>
      </c>
      <c r="AS48" s="1">
        <v>329</v>
      </c>
      <c r="AT48" s="1">
        <v>312</v>
      </c>
      <c r="AU48" s="1">
        <v>306</v>
      </c>
      <c r="AV48" s="1">
        <v>318</v>
      </c>
      <c r="AW48" s="1">
        <v>343</v>
      </c>
      <c r="AX48" s="1">
        <v>334</v>
      </c>
      <c r="AY48" s="1">
        <v>400</v>
      </c>
      <c r="AZ48" s="1">
        <v>403</v>
      </c>
      <c r="BA48" s="1">
        <v>363</v>
      </c>
    </row>
    <row r="49" spans="1:53">
      <c r="A49" s="42" t="s">
        <v>60</v>
      </c>
      <c r="B49" s="46"/>
      <c r="C49" s="46">
        <v>1769</v>
      </c>
      <c r="D49" s="46">
        <v>1730</v>
      </c>
      <c r="E49" s="46">
        <v>2051</v>
      </c>
      <c r="F49" s="46">
        <v>2574</v>
      </c>
      <c r="G49" s="46">
        <v>2618</v>
      </c>
      <c r="H49" s="46">
        <v>2693</v>
      </c>
      <c r="I49" s="46">
        <v>3150</v>
      </c>
      <c r="J49" s="46">
        <v>3162</v>
      </c>
      <c r="K49" s="46">
        <v>3366</v>
      </c>
      <c r="L49" s="46">
        <v>3378</v>
      </c>
      <c r="M49" s="46">
        <v>3528</v>
      </c>
      <c r="N49" s="46">
        <v>3549</v>
      </c>
      <c r="O49" s="46">
        <v>3404</v>
      </c>
      <c r="P49" s="46">
        <v>3517</v>
      </c>
      <c r="Q49" s="46">
        <v>3603</v>
      </c>
      <c r="R49" s="46">
        <v>3627</v>
      </c>
      <c r="S49" s="46">
        <v>3533</v>
      </c>
      <c r="T49" s="46">
        <v>3341</v>
      </c>
      <c r="U49" s="46">
        <v>3207</v>
      </c>
      <c r="V49" s="46">
        <v>3225</v>
      </c>
      <c r="W49" s="46">
        <v>3076</v>
      </c>
      <c r="X49" s="46">
        <v>3148</v>
      </c>
      <c r="Y49" s="46">
        <v>3176</v>
      </c>
      <c r="Z49" s="46">
        <v>3225</v>
      </c>
      <c r="AA49" s="46">
        <v>3251</v>
      </c>
      <c r="AB49" s="46">
        <v>3069</v>
      </c>
      <c r="AC49" s="46">
        <v>3289</v>
      </c>
      <c r="AD49" s="46">
        <v>3233</v>
      </c>
      <c r="AE49" s="46">
        <v>3301</v>
      </c>
      <c r="AF49" s="46">
        <v>3257</v>
      </c>
      <c r="AG49" s="46">
        <v>3197</v>
      </c>
      <c r="AH49" s="46">
        <v>3222</v>
      </c>
      <c r="AI49" s="46">
        <v>3282</v>
      </c>
      <c r="AJ49" s="46">
        <v>3089</v>
      </c>
      <c r="AK49" s="46">
        <v>3212</v>
      </c>
      <c r="AL49" s="46">
        <v>3398</v>
      </c>
      <c r="AM49" s="46">
        <v>3520</v>
      </c>
      <c r="AN49" s="46">
        <v>3516</v>
      </c>
      <c r="AO49" s="46">
        <v>3432</v>
      </c>
      <c r="AP49" s="46">
        <v>3604</v>
      </c>
      <c r="AQ49" s="46">
        <v>3542</v>
      </c>
      <c r="AR49" s="1">
        <v>4031</v>
      </c>
      <c r="AS49" s="1">
        <v>4033</v>
      </c>
      <c r="AT49" s="1">
        <v>4073</v>
      </c>
      <c r="AU49" s="1">
        <v>4029</v>
      </c>
      <c r="AV49" s="1">
        <v>3947</v>
      </c>
      <c r="AW49" s="1">
        <v>3809</v>
      </c>
      <c r="AX49" s="1">
        <v>3814</v>
      </c>
      <c r="AY49" s="1">
        <v>3823</v>
      </c>
      <c r="AZ49" s="1">
        <v>4042</v>
      </c>
      <c r="BA49" s="1">
        <v>4121</v>
      </c>
    </row>
    <row r="50" spans="1:53">
      <c r="A50" s="42" t="s">
        <v>61</v>
      </c>
      <c r="B50" s="46"/>
      <c r="C50" s="46">
        <v>48</v>
      </c>
      <c r="D50" s="46">
        <v>58</v>
      </c>
      <c r="E50" s="46">
        <v>65</v>
      </c>
      <c r="F50" s="46">
        <v>76</v>
      </c>
      <c r="G50" s="46">
        <v>83</v>
      </c>
      <c r="H50" s="46">
        <v>68</v>
      </c>
      <c r="I50" s="46">
        <v>86</v>
      </c>
      <c r="J50" s="46">
        <v>123</v>
      </c>
      <c r="K50" s="46">
        <v>124</v>
      </c>
      <c r="L50" s="46">
        <v>119</v>
      </c>
      <c r="M50" s="46">
        <v>124</v>
      </c>
      <c r="N50" s="46">
        <v>134</v>
      </c>
      <c r="O50" s="46">
        <v>118</v>
      </c>
      <c r="P50" s="46">
        <v>120</v>
      </c>
      <c r="Q50" s="46">
        <v>157</v>
      </c>
      <c r="R50" s="46">
        <v>123</v>
      </c>
      <c r="S50" s="46">
        <v>134</v>
      </c>
      <c r="T50" s="46">
        <v>140</v>
      </c>
      <c r="U50" s="46">
        <v>121</v>
      </c>
      <c r="V50" s="46">
        <v>130</v>
      </c>
      <c r="W50" s="46">
        <v>102</v>
      </c>
      <c r="X50" s="46">
        <v>113</v>
      </c>
      <c r="Y50" s="46">
        <v>135</v>
      </c>
      <c r="Z50" s="46">
        <v>130</v>
      </c>
      <c r="AA50" s="46">
        <v>141</v>
      </c>
      <c r="AB50" s="46">
        <v>137</v>
      </c>
      <c r="AC50" s="46">
        <v>141</v>
      </c>
      <c r="AD50" s="46">
        <v>156</v>
      </c>
      <c r="AE50" s="46">
        <v>189</v>
      </c>
      <c r="AF50" s="46">
        <v>188</v>
      </c>
      <c r="AG50" s="46">
        <v>195</v>
      </c>
      <c r="AH50" s="46">
        <v>160</v>
      </c>
      <c r="AI50" s="46">
        <v>163</v>
      </c>
      <c r="AJ50" s="46">
        <v>166</v>
      </c>
      <c r="AK50" s="46">
        <v>204</v>
      </c>
      <c r="AL50" s="46">
        <v>210</v>
      </c>
      <c r="AM50" s="46">
        <v>210</v>
      </c>
      <c r="AN50" s="46">
        <v>183</v>
      </c>
      <c r="AO50" s="46">
        <v>224</v>
      </c>
      <c r="AP50" s="46">
        <v>180</v>
      </c>
      <c r="AQ50" s="46">
        <v>208</v>
      </c>
      <c r="AR50" s="1">
        <v>209</v>
      </c>
      <c r="AS50" s="1">
        <v>240</v>
      </c>
      <c r="AT50" s="1">
        <v>223</v>
      </c>
      <c r="AU50" s="1">
        <v>260</v>
      </c>
      <c r="AV50" s="1">
        <v>260</v>
      </c>
      <c r="AW50" s="1">
        <v>260</v>
      </c>
      <c r="AX50" s="1">
        <v>269</v>
      </c>
      <c r="AY50" s="1">
        <v>305</v>
      </c>
      <c r="AZ50" s="1">
        <v>300</v>
      </c>
      <c r="BA50" s="1">
        <v>337</v>
      </c>
    </row>
    <row r="51" spans="1:53">
      <c r="A51" s="47" t="s">
        <v>62</v>
      </c>
      <c r="B51" s="48"/>
      <c r="C51" s="48">
        <v>522</v>
      </c>
      <c r="D51" s="48">
        <v>614</v>
      </c>
      <c r="E51" s="48">
        <v>685</v>
      </c>
      <c r="F51" s="48">
        <v>740</v>
      </c>
      <c r="G51" s="48">
        <v>838</v>
      </c>
      <c r="H51" s="48">
        <v>854</v>
      </c>
      <c r="I51" s="48">
        <v>861</v>
      </c>
      <c r="J51" s="48">
        <v>864</v>
      </c>
      <c r="K51" s="48">
        <v>890</v>
      </c>
      <c r="L51" s="48">
        <v>900</v>
      </c>
      <c r="M51" s="48">
        <v>934</v>
      </c>
      <c r="N51" s="48">
        <v>958</v>
      </c>
      <c r="O51" s="48">
        <v>963</v>
      </c>
      <c r="P51" s="48">
        <v>950</v>
      </c>
      <c r="Q51" s="48">
        <v>945</v>
      </c>
      <c r="R51" s="48">
        <v>991</v>
      </c>
      <c r="S51" s="48">
        <v>950</v>
      </c>
      <c r="T51" s="48">
        <v>838</v>
      </c>
      <c r="U51" s="48">
        <v>988</v>
      </c>
      <c r="V51" s="48">
        <v>1017</v>
      </c>
      <c r="W51" s="48">
        <v>967</v>
      </c>
      <c r="X51" s="48">
        <v>1012</v>
      </c>
      <c r="Y51" s="48">
        <v>946</v>
      </c>
      <c r="Z51" s="48">
        <v>971</v>
      </c>
      <c r="AA51" s="48">
        <v>966</v>
      </c>
      <c r="AB51" s="48">
        <v>977</v>
      </c>
      <c r="AC51" s="48">
        <v>949</v>
      </c>
      <c r="AD51" s="48">
        <v>935</v>
      </c>
      <c r="AE51" s="48">
        <v>975</v>
      </c>
      <c r="AF51" s="48">
        <v>980</v>
      </c>
      <c r="AG51" s="48">
        <v>951</v>
      </c>
      <c r="AH51" s="48">
        <v>1080</v>
      </c>
      <c r="AI51" s="48">
        <v>1064</v>
      </c>
      <c r="AJ51" s="48">
        <v>1119</v>
      </c>
      <c r="AK51" s="48">
        <v>1036</v>
      </c>
      <c r="AL51" s="48">
        <v>1127</v>
      </c>
      <c r="AM51" s="48">
        <v>1144</v>
      </c>
      <c r="AN51" s="48">
        <v>1159</v>
      </c>
      <c r="AO51" s="48">
        <v>1281</v>
      </c>
      <c r="AP51" s="48">
        <v>1341</v>
      </c>
      <c r="AQ51" s="48">
        <v>1365</v>
      </c>
      <c r="AR51" s="1">
        <v>1383</v>
      </c>
      <c r="AS51" s="1">
        <v>1450</v>
      </c>
      <c r="AT51" s="1">
        <v>1409</v>
      </c>
      <c r="AU51" s="1">
        <v>1493</v>
      </c>
      <c r="AV51" s="1">
        <v>1568</v>
      </c>
      <c r="AW51" s="1">
        <v>1506</v>
      </c>
      <c r="AX51" s="1">
        <v>1522</v>
      </c>
      <c r="AY51" s="1">
        <v>1665</v>
      </c>
      <c r="AZ51" s="1">
        <v>1718</v>
      </c>
      <c r="BA51" s="1">
        <v>1642</v>
      </c>
    </row>
    <row r="52" spans="1:53">
      <c r="A52" s="42" t="s">
        <v>63</v>
      </c>
      <c r="B52" s="43">
        <f t="shared" ref="B52:AP52" si="35">SUM(B54:B62)</f>
        <v>0</v>
      </c>
      <c r="C52" s="43">
        <f t="shared" si="35"/>
        <v>8792</v>
      </c>
      <c r="D52" s="43">
        <f t="shared" si="35"/>
        <v>9928</v>
      </c>
      <c r="E52" s="43">
        <f t="shared" si="35"/>
        <v>11484</v>
      </c>
      <c r="F52" s="43">
        <f t="shared" si="35"/>
        <v>12633</v>
      </c>
      <c r="G52" s="43">
        <f t="shared" si="35"/>
        <v>12892</v>
      </c>
      <c r="H52" s="43">
        <f t="shared" si="35"/>
        <v>13474</v>
      </c>
      <c r="I52" s="43">
        <f t="shared" si="35"/>
        <v>14430</v>
      </c>
      <c r="J52" s="43">
        <f t="shared" si="35"/>
        <v>14911</v>
      </c>
      <c r="K52" s="43">
        <f t="shared" si="35"/>
        <v>15006</v>
      </c>
      <c r="L52" s="43">
        <f t="shared" si="35"/>
        <v>15809</v>
      </c>
      <c r="M52" s="43">
        <f t="shared" si="35"/>
        <v>16403</v>
      </c>
      <c r="N52" s="43">
        <f t="shared" si="35"/>
        <v>16608</v>
      </c>
      <c r="O52" s="43">
        <f t="shared" si="35"/>
        <v>16707</v>
      </c>
      <c r="P52" s="43">
        <f t="shared" si="35"/>
        <v>17021</v>
      </c>
      <c r="Q52" s="43">
        <f t="shared" si="35"/>
        <v>17476</v>
      </c>
      <c r="R52" s="43">
        <f t="shared" si="35"/>
        <v>17646</v>
      </c>
      <c r="S52" s="43">
        <f t="shared" si="35"/>
        <v>17279</v>
      </c>
      <c r="T52" s="43">
        <f t="shared" si="35"/>
        <v>17593</v>
      </c>
      <c r="U52" s="43">
        <f t="shared" si="35"/>
        <v>16784</v>
      </c>
      <c r="V52" s="43">
        <f t="shared" si="35"/>
        <v>17217</v>
      </c>
      <c r="W52" s="43">
        <f t="shared" si="35"/>
        <v>17530</v>
      </c>
      <c r="X52" s="43">
        <f t="shared" si="35"/>
        <v>17816</v>
      </c>
      <c r="Y52" s="43">
        <f t="shared" si="35"/>
        <v>17911</v>
      </c>
      <c r="Z52" s="43">
        <f t="shared" si="35"/>
        <v>17825</v>
      </c>
      <c r="AA52" s="43">
        <f t="shared" si="35"/>
        <v>17971</v>
      </c>
      <c r="AB52" s="43">
        <f t="shared" si="35"/>
        <v>18363</v>
      </c>
      <c r="AC52" s="43">
        <f t="shared" si="35"/>
        <v>18435</v>
      </c>
      <c r="AD52" s="43">
        <f t="shared" si="35"/>
        <v>18833</v>
      </c>
      <c r="AE52" s="43">
        <f t="shared" si="35"/>
        <v>18877</v>
      </c>
      <c r="AF52" s="43">
        <f t="shared" si="35"/>
        <v>18750</v>
      </c>
      <c r="AG52" s="43">
        <f t="shared" si="35"/>
        <v>19096</v>
      </c>
      <c r="AH52" s="43">
        <f t="shared" si="35"/>
        <v>19429</v>
      </c>
      <c r="AI52" s="43">
        <f t="shared" si="35"/>
        <v>20219</v>
      </c>
      <c r="AJ52" s="43">
        <f t="shared" si="35"/>
        <v>20113</v>
      </c>
      <c r="AK52" s="43">
        <f t="shared" si="35"/>
        <v>20688</v>
      </c>
      <c r="AL52" s="43">
        <f t="shared" si="35"/>
        <v>21735</v>
      </c>
      <c r="AM52" s="43">
        <f t="shared" si="35"/>
        <v>21548</v>
      </c>
      <c r="AN52" s="43">
        <f t="shared" si="35"/>
        <v>21686</v>
      </c>
      <c r="AO52" s="43">
        <f t="shared" si="35"/>
        <v>22300</v>
      </c>
      <c r="AP52" s="43">
        <f t="shared" si="35"/>
        <v>23303</v>
      </c>
      <c r="AQ52" s="43">
        <f>SUM(AQ54:AQ62)</f>
        <v>24535</v>
      </c>
      <c r="AR52" s="43">
        <f>SUM(AR54:AR62)</f>
        <v>24766</v>
      </c>
      <c r="AS52" s="43">
        <f>SUM(AS54:AS62)</f>
        <v>25788</v>
      </c>
      <c r="AT52" s="43">
        <f>SUM(AT54:AT62)</f>
        <v>26191</v>
      </c>
      <c r="AU52" s="43">
        <f t="shared" ref="AU52:AV52" si="36">SUM(AU54:AU62)</f>
        <v>26211</v>
      </c>
      <c r="AV52" s="43">
        <f t="shared" si="36"/>
        <v>25805</v>
      </c>
      <c r="AW52" s="43">
        <f t="shared" ref="AW52:AX52" si="37">SUM(AW54:AW62)</f>
        <v>25516</v>
      </c>
      <c r="AX52" s="43">
        <f t="shared" si="37"/>
        <v>25957</v>
      </c>
      <c r="AY52" s="43">
        <f t="shared" ref="AY52:AZ52" si="38">SUM(AY54:AY62)</f>
        <v>26312</v>
      </c>
      <c r="AZ52" s="43">
        <f t="shared" si="38"/>
        <v>26535</v>
      </c>
      <c r="BA52" s="43">
        <f t="shared" ref="BA52" si="39">SUM(BA54:BA62)</f>
        <v>27178</v>
      </c>
    </row>
    <row r="53" spans="1:53">
      <c r="A53" s="44" t="s">
        <v>131</v>
      </c>
      <c r="B53" s="45">
        <f t="shared" ref="B53:AP53" si="40">(B52/B4)*100</f>
        <v>0</v>
      </c>
      <c r="C53" s="45">
        <f t="shared" si="40"/>
        <v>25.1789907783951</v>
      </c>
      <c r="D53" s="45">
        <f t="shared" si="40"/>
        <v>26.163495493596162</v>
      </c>
      <c r="E53" s="45">
        <f t="shared" si="40"/>
        <v>26.454124530648915</v>
      </c>
      <c r="F53" s="45">
        <f t="shared" si="40"/>
        <v>25.256907513295211</v>
      </c>
      <c r="G53" s="45">
        <f t="shared" si="40"/>
        <v>23.95570090679352</v>
      </c>
      <c r="H53" s="45">
        <f t="shared" si="40"/>
        <v>24.096859575076902</v>
      </c>
      <c r="I53" s="45">
        <f t="shared" si="40"/>
        <v>23.033089115548535</v>
      </c>
      <c r="J53" s="45">
        <f t="shared" si="40"/>
        <v>23.168476825308037</v>
      </c>
      <c r="K53" s="45">
        <f t="shared" si="40"/>
        <v>22.537961280245113</v>
      </c>
      <c r="L53" s="45">
        <f t="shared" si="40"/>
        <v>22.96217755054613</v>
      </c>
      <c r="M53" s="45">
        <f t="shared" si="40"/>
        <v>23.398428027331214</v>
      </c>
      <c r="N53" s="45">
        <f t="shared" si="40"/>
        <v>23.102282685807285</v>
      </c>
      <c r="O53" s="45">
        <f t="shared" si="40"/>
        <v>23.227071139595989</v>
      </c>
      <c r="P53" s="45">
        <f t="shared" si="40"/>
        <v>23.337858034086079</v>
      </c>
      <c r="Q53" s="45">
        <f t="shared" si="40"/>
        <v>23.505992171842845</v>
      </c>
      <c r="R53" s="45">
        <f t="shared" si="40"/>
        <v>23.555953064302972</v>
      </c>
      <c r="S53" s="45">
        <f t="shared" si="40"/>
        <v>23.426928969453748</v>
      </c>
      <c r="T53" s="45">
        <f t="shared" si="40"/>
        <v>24.618333963029819</v>
      </c>
      <c r="U53" s="45">
        <f t="shared" si="40"/>
        <v>23.886374633535425</v>
      </c>
      <c r="V53" s="45">
        <f t="shared" si="40"/>
        <v>24.384267848796863</v>
      </c>
      <c r="W53" s="45">
        <f t="shared" si="40"/>
        <v>24.746954275308102</v>
      </c>
      <c r="X53" s="45">
        <f t="shared" si="40"/>
        <v>24.813716068468921</v>
      </c>
      <c r="Y53" s="45">
        <f t="shared" si="40"/>
        <v>24.214852569389052</v>
      </c>
      <c r="Z53" s="45">
        <f t="shared" si="40"/>
        <v>23.693375159506594</v>
      </c>
      <c r="AA53" s="45">
        <f t="shared" si="40"/>
        <v>23.87760254042491</v>
      </c>
      <c r="AB53" s="45">
        <f t="shared" si="40"/>
        <v>24.275874833097578</v>
      </c>
      <c r="AC53" s="45">
        <f t="shared" si="40"/>
        <v>24.073493692705476</v>
      </c>
      <c r="AD53" s="45">
        <f t="shared" si="40"/>
        <v>23.970928900542219</v>
      </c>
      <c r="AE53" s="45">
        <f t="shared" si="40"/>
        <v>24.017150563627574</v>
      </c>
      <c r="AF53" s="45">
        <f t="shared" si="40"/>
        <v>23.903925343260369</v>
      </c>
      <c r="AG53" s="45">
        <f t="shared" si="40"/>
        <v>23.853004734126934</v>
      </c>
      <c r="AH53" s="45">
        <f t="shared" si="40"/>
        <v>24.375525361636996</v>
      </c>
      <c r="AI53" s="45">
        <f t="shared" si="40"/>
        <v>25.05514386973655</v>
      </c>
      <c r="AJ53" s="45">
        <f t="shared" si="40"/>
        <v>24.862479449176114</v>
      </c>
      <c r="AK53" s="45">
        <f t="shared" si="40"/>
        <v>24.912994785708264</v>
      </c>
      <c r="AL53" s="45">
        <f t="shared" si="40"/>
        <v>24.900044679169199</v>
      </c>
      <c r="AM53" s="45">
        <f t="shared" si="40"/>
        <v>24.582739147795333</v>
      </c>
      <c r="AN53" s="45">
        <f t="shared" si="40"/>
        <v>24.078433114229881</v>
      </c>
      <c r="AO53" s="45">
        <f t="shared" si="40"/>
        <v>24.21675625780529</v>
      </c>
      <c r="AP53" s="45">
        <f t="shared" si="40"/>
        <v>24.54730277780704</v>
      </c>
      <c r="AQ53" s="45">
        <f>(AQ52/AQ4)*100</f>
        <v>24.680863905682585</v>
      </c>
      <c r="AR53" s="45">
        <f>(AR52/AR4)*100</f>
        <v>24.088393491095484</v>
      </c>
      <c r="AS53" s="45">
        <f>(AS52/AS4)*100</f>
        <v>24.16280943725053</v>
      </c>
      <c r="AT53" s="45">
        <f>(AT52/AT4)*100</f>
        <v>24.048738384691667</v>
      </c>
      <c r="AU53" s="45">
        <f t="shared" ref="AU53:AV53" si="41">(AU52/AU4)*100</f>
        <v>24.150258446739699</v>
      </c>
      <c r="AV53" s="45">
        <f t="shared" si="41"/>
        <v>23.910344316370779</v>
      </c>
      <c r="AW53" s="45">
        <f t="shared" ref="AW53:AX53" si="42">(AW52/AW4)*100</f>
        <v>23.983907959544311</v>
      </c>
      <c r="AX53" s="45">
        <f t="shared" si="42"/>
        <v>23.960602592031901</v>
      </c>
      <c r="AY53" s="45">
        <f t="shared" ref="AY53:AZ53" si="43">(AY52/AY4)*100</f>
        <v>24.050089118413233</v>
      </c>
      <c r="AZ53" s="45">
        <f t="shared" si="43"/>
        <v>23.769427150983113</v>
      </c>
      <c r="BA53" s="45">
        <f t="shared" ref="BA53" si="44">(BA52/BA4)*100</f>
        <v>23.823423707716447</v>
      </c>
    </row>
    <row r="54" spans="1:53">
      <c r="A54" s="42" t="s">
        <v>64</v>
      </c>
      <c r="B54" s="46"/>
      <c r="C54" s="46">
        <v>440</v>
      </c>
      <c r="D54" s="46">
        <v>449</v>
      </c>
      <c r="E54" s="46">
        <v>593</v>
      </c>
      <c r="F54" s="46">
        <v>609</v>
      </c>
      <c r="G54" s="46">
        <v>574</v>
      </c>
      <c r="H54" s="46">
        <v>551</v>
      </c>
      <c r="I54" s="46">
        <v>642</v>
      </c>
      <c r="J54" s="46">
        <v>644</v>
      </c>
      <c r="K54" s="46">
        <v>668</v>
      </c>
      <c r="L54" s="46">
        <v>725</v>
      </c>
      <c r="M54" s="46">
        <v>946</v>
      </c>
      <c r="N54" s="46">
        <v>799</v>
      </c>
      <c r="O54" s="46">
        <v>803</v>
      </c>
      <c r="P54" s="46">
        <v>889</v>
      </c>
      <c r="Q54" s="46">
        <v>879</v>
      </c>
      <c r="R54" s="46">
        <v>967</v>
      </c>
      <c r="S54" s="46">
        <v>931</v>
      </c>
      <c r="T54" s="46">
        <v>947</v>
      </c>
      <c r="U54" s="46">
        <v>918</v>
      </c>
      <c r="V54" s="46">
        <v>920</v>
      </c>
      <c r="W54" s="46">
        <v>956</v>
      </c>
      <c r="X54" s="46">
        <v>980</v>
      </c>
      <c r="Y54" s="46">
        <v>896</v>
      </c>
      <c r="Z54" s="46">
        <v>679</v>
      </c>
      <c r="AA54" s="46">
        <v>769</v>
      </c>
      <c r="AB54" s="46">
        <v>920</v>
      </c>
      <c r="AC54" s="46">
        <v>921</v>
      </c>
      <c r="AD54" s="46">
        <v>955</v>
      </c>
      <c r="AE54" s="46">
        <v>884</v>
      </c>
      <c r="AF54" s="46">
        <v>886</v>
      </c>
      <c r="AG54" s="46">
        <v>951</v>
      </c>
      <c r="AH54" s="46">
        <v>962</v>
      </c>
      <c r="AI54" s="46">
        <v>992</v>
      </c>
      <c r="AJ54" s="46">
        <v>1008</v>
      </c>
      <c r="AK54" s="46">
        <v>949</v>
      </c>
      <c r="AL54" s="46">
        <v>1014</v>
      </c>
      <c r="AM54" s="46">
        <v>1054</v>
      </c>
      <c r="AN54" s="46">
        <v>956</v>
      </c>
      <c r="AO54" s="46">
        <v>944</v>
      </c>
      <c r="AP54" s="46">
        <v>984</v>
      </c>
      <c r="AQ54" s="46">
        <v>1164</v>
      </c>
      <c r="AR54" s="1">
        <v>1140</v>
      </c>
      <c r="AS54" s="1">
        <v>1184</v>
      </c>
      <c r="AT54" s="1">
        <v>1188</v>
      </c>
      <c r="AU54" s="1">
        <v>1259</v>
      </c>
      <c r="AV54" s="1">
        <v>1285</v>
      </c>
      <c r="AW54" s="1">
        <v>1227</v>
      </c>
      <c r="AX54" s="1">
        <v>1435</v>
      </c>
      <c r="AY54" s="1">
        <v>1338</v>
      </c>
      <c r="AZ54" s="1">
        <v>1326</v>
      </c>
      <c r="BA54" s="1">
        <v>1458</v>
      </c>
    </row>
    <row r="55" spans="1:53">
      <c r="A55" s="42" t="s">
        <v>65</v>
      </c>
      <c r="B55" s="46"/>
      <c r="C55" s="46">
        <v>45</v>
      </c>
      <c r="D55" s="46">
        <v>58</v>
      </c>
      <c r="E55" s="46">
        <v>60</v>
      </c>
      <c r="F55" s="46">
        <v>84</v>
      </c>
      <c r="G55" s="46">
        <v>84</v>
      </c>
      <c r="H55" s="46">
        <v>69</v>
      </c>
      <c r="I55" s="46">
        <v>88</v>
      </c>
      <c r="J55" s="46">
        <v>95</v>
      </c>
      <c r="K55" s="46">
        <v>109</v>
      </c>
      <c r="L55" s="46">
        <v>100</v>
      </c>
      <c r="M55" s="46">
        <v>110</v>
      </c>
      <c r="N55" s="46">
        <v>83</v>
      </c>
      <c r="O55" s="46">
        <v>122</v>
      </c>
      <c r="P55" s="46">
        <v>135</v>
      </c>
      <c r="Q55" s="46">
        <v>174</v>
      </c>
      <c r="R55" s="46">
        <v>189</v>
      </c>
      <c r="S55" s="46">
        <v>170</v>
      </c>
      <c r="T55" s="46">
        <v>163</v>
      </c>
      <c r="U55" s="46">
        <v>157</v>
      </c>
      <c r="V55" s="46">
        <v>139</v>
      </c>
      <c r="W55" s="46">
        <v>162</v>
      </c>
      <c r="X55" s="46">
        <v>173</v>
      </c>
      <c r="Y55" s="46">
        <v>179</v>
      </c>
      <c r="Z55" s="46">
        <v>168</v>
      </c>
      <c r="AA55" s="46">
        <v>173</v>
      </c>
      <c r="AB55" s="46">
        <v>180</v>
      </c>
      <c r="AC55" s="46">
        <v>181</v>
      </c>
      <c r="AD55" s="46">
        <v>189</v>
      </c>
      <c r="AE55" s="46">
        <v>183</v>
      </c>
      <c r="AF55" s="46">
        <v>193</v>
      </c>
      <c r="AG55" s="46">
        <v>215</v>
      </c>
      <c r="AH55" s="46">
        <v>212</v>
      </c>
      <c r="AI55" s="46">
        <v>184</v>
      </c>
      <c r="AJ55" s="46">
        <v>172</v>
      </c>
      <c r="AK55" s="46">
        <v>202</v>
      </c>
      <c r="AL55" s="46">
        <v>217</v>
      </c>
      <c r="AM55" s="46">
        <v>214</v>
      </c>
      <c r="AN55" s="46">
        <v>201</v>
      </c>
      <c r="AO55" s="46">
        <v>217</v>
      </c>
      <c r="AP55" s="46">
        <v>265</v>
      </c>
      <c r="AQ55" s="46">
        <v>287</v>
      </c>
      <c r="AR55" s="1">
        <v>307</v>
      </c>
      <c r="AS55" s="1">
        <v>322</v>
      </c>
      <c r="AT55" s="1">
        <v>430</v>
      </c>
      <c r="AU55" s="1">
        <v>442</v>
      </c>
      <c r="AV55" s="1">
        <v>455</v>
      </c>
      <c r="AW55" s="1">
        <v>450</v>
      </c>
      <c r="AX55" s="1">
        <v>544</v>
      </c>
      <c r="AY55" s="1">
        <v>563</v>
      </c>
      <c r="AZ55" s="1">
        <v>545</v>
      </c>
      <c r="BA55" s="1">
        <v>521</v>
      </c>
    </row>
    <row r="56" spans="1:53">
      <c r="A56" s="42" t="s">
        <v>66</v>
      </c>
      <c r="B56" s="46"/>
      <c r="C56" s="46">
        <v>1845</v>
      </c>
      <c r="D56" s="46">
        <v>2111</v>
      </c>
      <c r="E56" s="46">
        <v>2429</v>
      </c>
      <c r="F56" s="46">
        <v>2699</v>
      </c>
      <c r="G56" s="46">
        <v>2902</v>
      </c>
      <c r="H56" s="46">
        <v>3082</v>
      </c>
      <c r="I56" s="46">
        <v>3325</v>
      </c>
      <c r="J56" s="46">
        <v>3469</v>
      </c>
      <c r="K56" s="46">
        <v>3335</v>
      </c>
      <c r="L56" s="46">
        <v>3157</v>
      </c>
      <c r="M56" s="46">
        <v>3480</v>
      </c>
      <c r="N56" s="46">
        <v>3496</v>
      </c>
      <c r="O56" s="46">
        <v>3568</v>
      </c>
      <c r="P56" s="46">
        <v>3644</v>
      </c>
      <c r="Q56" s="46">
        <v>3497</v>
      </c>
      <c r="R56" s="46">
        <v>3645</v>
      </c>
      <c r="S56" s="46">
        <v>3557</v>
      </c>
      <c r="T56" s="46">
        <v>3732</v>
      </c>
      <c r="U56" s="46">
        <v>3721</v>
      </c>
      <c r="V56" s="46">
        <v>3605</v>
      </c>
      <c r="W56" s="46">
        <v>3653</v>
      </c>
      <c r="X56" s="46">
        <v>3674</v>
      </c>
      <c r="Y56" s="46">
        <v>3651</v>
      </c>
      <c r="Z56" s="46">
        <v>3677</v>
      </c>
      <c r="AA56" s="46">
        <v>3771</v>
      </c>
      <c r="AB56" s="46">
        <v>3656</v>
      </c>
      <c r="AC56" s="46">
        <v>3668</v>
      </c>
      <c r="AD56" s="46">
        <v>3742</v>
      </c>
      <c r="AE56" s="46">
        <v>3948</v>
      </c>
      <c r="AF56" s="46">
        <v>3801</v>
      </c>
      <c r="AG56" s="46">
        <v>3948</v>
      </c>
      <c r="AH56" s="46">
        <v>3898</v>
      </c>
      <c r="AI56" s="46">
        <v>3912</v>
      </c>
      <c r="AJ56" s="46">
        <v>4076</v>
      </c>
      <c r="AK56" s="46">
        <v>4228</v>
      </c>
      <c r="AL56" s="46">
        <v>4305</v>
      </c>
      <c r="AM56" s="46">
        <v>4321</v>
      </c>
      <c r="AN56" s="46">
        <v>4503</v>
      </c>
      <c r="AO56" s="46">
        <v>4325</v>
      </c>
      <c r="AP56" s="46">
        <v>4401</v>
      </c>
      <c r="AQ56" s="46">
        <v>4628</v>
      </c>
      <c r="AR56" s="1">
        <v>4648</v>
      </c>
      <c r="AS56" s="1">
        <v>5035</v>
      </c>
      <c r="AT56" s="1">
        <v>5079</v>
      </c>
      <c r="AU56" s="1">
        <v>4932</v>
      </c>
      <c r="AV56" s="1">
        <v>4982</v>
      </c>
      <c r="AW56" s="1">
        <v>4938</v>
      </c>
      <c r="AX56" s="1">
        <v>4798</v>
      </c>
      <c r="AY56" s="1">
        <v>4847</v>
      </c>
      <c r="AZ56" s="1">
        <v>4841</v>
      </c>
      <c r="BA56" s="1">
        <v>4936</v>
      </c>
    </row>
    <row r="57" spans="1:53">
      <c r="A57" s="42" t="s">
        <v>67</v>
      </c>
      <c r="B57" s="46"/>
      <c r="C57" s="46">
        <v>0</v>
      </c>
      <c r="D57" s="46"/>
      <c r="E57" s="46"/>
      <c r="F57" s="46">
        <v>45</v>
      </c>
      <c r="G57" s="46">
        <v>20</v>
      </c>
      <c r="H57" s="46">
        <v>57</v>
      </c>
      <c r="I57" s="46">
        <v>123</v>
      </c>
      <c r="J57" s="46">
        <v>59</v>
      </c>
      <c r="K57" s="46">
        <v>58</v>
      </c>
      <c r="L57" s="46">
        <v>169</v>
      </c>
      <c r="M57" s="46">
        <v>175</v>
      </c>
      <c r="N57" s="46">
        <v>185</v>
      </c>
      <c r="O57" s="46">
        <v>179</v>
      </c>
      <c r="P57" s="46">
        <v>122</v>
      </c>
      <c r="Q57" s="46">
        <v>178</v>
      </c>
      <c r="R57" s="46">
        <v>163</v>
      </c>
      <c r="S57" s="46">
        <v>167</v>
      </c>
      <c r="T57" s="46">
        <v>173</v>
      </c>
      <c r="U57" s="46">
        <v>172</v>
      </c>
      <c r="V57" s="46">
        <v>154</v>
      </c>
      <c r="W57" s="46">
        <v>165</v>
      </c>
      <c r="X57" s="46">
        <v>184</v>
      </c>
      <c r="Y57" s="46">
        <v>185</v>
      </c>
      <c r="Z57" s="46">
        <v>195</v>
      </c>
      <c r="AA57" s="46">
        <v>182</v>
      </c>
      <c r="AB57" s="46">
        <v>193</v>
      </c>
      <c r="AC57" s="46">
        <v>184</v>
      </c>
      <c r="AD57" s="46">
        <v>186</v>
      </c>
      <c r="AE57" s="46">
        <v>189</v>
      </c>
      <c r="AF57" s="46">
        <v>208</v>
      </c>
      <c r="AG57" s="46">
        <v>183</v>
      </c>
      <c r="AH57" s="46">
        <v>183</v>
      </c>
      <c r="AI57" s="46">
        <v>166</v>
      </c>
      <c r="AJ57" s="46">
        <v>191</v>
      </c>
      <c r="AK57" s="46">
        <v>158</v>
      </c>
      <c r="AL57" s="46">
        <v>183</v>
      </c>
      <c r="AM57" s="46">
        <v>206</v>
      </c>
      <c r="AN57" s="46">
        <v>198</v>
      </c>
      <c r="AO57" s="46">
        <v>209</v>
      </c>
      <c r="AP57" s="46">
        <v>244</v>
      </c>
      <c r="AQ57" s="46">
        <v>278</v>
      </c>
      <c r="AR57" s="1">
        <v>278</v>
      </c>
      <c r="AS57" s="1">
        <v>283</v>
      </c>
      <c r="AT57" s="1">
        <v>303</v>
      </c>
      <c r="AU57" s="1">
        <v>312</v>
      </c>
      <c r="AV57" s="1">
        <v>265</v>
      </c>
      <c r="AW57" s="1">
        <v>267</v>
      </c>
      <c r="AX57" s="1">
        <v>243</v>
      </c>
      <c r="AY57" s="1">
        <v>278</v>
      </c>
      <c r="AZ57" s="1">
        <v>299</v>
      </c>
      <c r="BA57" s="1">
        <v>320</v>
      </c>
    </row>
    <row r="58" spans="1:53">
      <c r="A58" s="42" t="s">
        <v>68</v>
      </c>
      <c r="B58" s="46"/>
      <c r="C58" s="46">
        <v>672</v>
      </c>
      <c r="D58" s="46">
        <v>683</v>
      </c>
      <c r="E58" s="46">
        <v>860</v>
      </c>
      <c r="F58" s="46">
        <v>1194</v>
      </c>
      <c r="G58" s="46">
        <v>1244</v>
      </c>
      <c r="H58" s="46">
        <v>1208</v>
      </c>
      <c r="I58" s="46">
        <v>1217</v>
      </c>
      <c r="J58" s="46">
        <v>1321</v>
      </c>
      <c r="K58" s="46">
        <v>1364</v>
      </c>
      <c r="L58" s="46">
        <v>1454</v>
      </c>
      <c r="M58" s="46">
        <v>1497</v>
      </c>
      <c r="N58" s="46">
        <v>1547</v>
      </c>
      <c r="O58" s="46">
        <v>1642</v>
      </c>
      <c r="P58" s="46">
        <v>1570</v>
      </c>
      <c r="Q58" s="46">
        <v>1703</v>
      </c>
      <c r="R58" s="46">
        <v>1743</v>
      </c>
      <c r="S58" s="46">
        <v>1690</v>
      </c>
      <c r="T58" s="46">
        <v>1753</v>
      </c>
      <c r="U58" s="46">
        <v>1723</v>
      </c>
      <c r="V58" s="46">
        <v>1613</v>
      </c>
      <c r="W58" s="46">
        <v>1763</v>
      </c>
      <c r="X58" s="46">
        <v>1648</v>
      </c>
      <c r="Y58" s="46">
        <v>1719</v>
      </c>
      <c r="Z58" s="46">
        <v>1679</v>
      </c>
      <c r="AA58" s="46">
        <v>1709</v>
      </c>
      <c r="AB58" s="46">
        <v>1670</v>
      </c>
      <c r="AC58" s="46">
        <v>1694</v>
      </c>
      <c r="AD58" s="46">
        <v>1728</v>
      </c>
      <c r="AE58" s="46">
        <v>1785</v>
      </c>
      <c r="AF58" s="46">
        <v>1540</v>
      </c>
      <c r="AG58" s="46">
        <v>1544</v>
      </c>
      <c r="AH58" s="46">
        <v>1605</v>
      </c>
      <c r="AI58" s="46">
        <v>1540</v>
      </c>
      <c r="AJ58" s="46">
        <v>1609</v>
      </c>
      <c r="AK58" s="46">
        <v>1662</v>
      </c>
      <c r="AL58" s="46">
        <v>1817</v>
      </c>
      <c r="AM58" s="46">
        <v>1696</v>
      </c>
      <c r="AN58" s="46">
        <v>1774</v>
      </c>
      <c r="AO58" s="46">
        <v>1785</v>
      </c>
      <c r="AP58" s="46">
        <v>1733</v>
      </c>
      <c r="AQ58" s="46">
        <v>1709</v>
      </c>
      <c r="AR58" s="1">
        <v>1696</v>
      </c>
      <c r="AS58" s="1">
        <v>1724</v>
      </c>
      <c r="AT58" s="1">
        <v>1214</v>
      </c>
      <c r="AU58" s="1">
        <v>1768</v>
      </c>
      <c r="AV58" s="1">
        <v>1564</v>
      </c>
      <c r="AW58" s="1">
        <v>1502</v>
      </c>
      <c r="AX58" s="1">
        <v>1690</v>
      </c>
      <c r="AY58" s="1">
        <v>1632</v>
      </c>
      <c r="AZ58" s="1">
        <v>1693</v>
      </c>
      <c r="BA58" s="1">
        <v>1747</v>
      </c>
    </row>
    <row r="59" spans="1:53">
      <c r="A59" s="42" t="s">
        <v>69</v>
      </c>
      <c r="B59" s="46"/>
      <c r="C59" s="46">
        <v>3517</v>
      </c>
      <c r="D59" s="46">
        <v>4195</v>
      </c>
      <c r="E59" s="46">
        <v>4580</v>
      </c>
      <c r="F59" s="46">
        <v>4785</v>
      </c>
      <c r="G59" s="46">
        <v>4773</v>
      </c>
      <c r="H59" s="46">
        <v>5111</v>
      </c>
      <c r="I59" s="46">
        <v>5361</v>
      </c>
      <c r="J59" s="46">
        <v>5559</v>
      </c>
      <c r="K59" s="46">
        <v>5649</v>
      </c>
      <c r="L59" s="46">
        <v>6225</v>
      </c>
      <c r="M59" s="46">
        <v>6266</v>
      </c>
      <c r="N59" s="46">
        <v>6512</v>
      </c>
      <c r="O59" s="46">
        <v>6512</v>
      </c>
      <c r="P59" s="46">
        <v>6709</v>
      </c>
      <c r="Q59" s="46">
        <v>7102</v>
      </c>
      <c r="R59" s="46">
        <v>7037</v>
      </c>
      <c r="S59" s="46">
        <v>6765</v>
      </c>
      <c r="T59" s="46">
        <v>6943</v>
      </c>
      <c r="U59" s="46">
        <v>6274</v>
      </c>
      <c r="V59" s="46">
        <v>7046</v>
      </c>
      <c r="W59" s="46">
        <v>7200</v>
      </c>
      <c r="X59" s="46">
        <v>7468</v>
      </c>
      <c r="Y59" s="46">
        <v>7543</v>
      </c>
      <c r="Z59" s="46">
        <v>7476</v>
      </c>
      <c r="AA59" s="46">
        <v>7442</v>
      </c>
      <c r="AB59" s="46">
        <v>7636</v>
      </c>
      <c r="AC59" s="46">
        <v>7638</v>
      </c>
      <c r="AD59" s="46">
        <v>7645</v>
      </c>
      <c r="AE59" s="46">
        <v>7491</v>
      </c>
      <c r="AF59" s="46">
        <v>7568</v>
      </c>
      <c r="AG59" s="46">
        <v>7527</v>
      </c>
      <c r="AH59" s="46">
        <v>7778</v>
      </c>
      <c r="AI59" s="46">
        <v>8477</v>
      </c>
      <c r="AJ59" s="46">
        <v>8117</v>
      </c>
      <c r="AK59" s="46">
        <v>8373</v>
      </c>
      <c r="AL59" s="46">
        <v>8732</v>
      </c>
      <c r="AM59" s="46">
        <v>8639</v>
      </c>
      <c r="AN59" s="46">
        <v>8572</v>
      </c>
      <c r="AO59" s="46">
        <v>9040</v>
      </c>
      <c r="AP59" s="46">
        <v>9340</v>
      </c>
      <c r="AQ59" s="46">
        <v>9717</v>
      </c>
      <c r="AR59" s="1">
        <v>9650</v>
      </c>
      <c r="AS59" s="1">
        <v>10183</v>
      </c>
      <c r="AT59" s="1">
        <v>10469</v>
      </c>
      <c r="AU59" s="1">
        <v>10063</v>
      </c>
      <c r="AV59" s="1">
        <v>9778</v>
      </c>
      <c r="AW59" s="1">
        <v>9715</v>
      </c>
      <c r="AX59" s="1">
        <v>9554</v>
      </c>
      <c r="AY59" s="1">
        <v>9819</v>
      </c>
      <c r="AZ59" s="1">
        <v>9818</v>
      </c>
      <c r="BA59" s="1">
        <v>10025</v>
      </c>
    </row>
    <row r="60" spans="1:53">
      <c r="A60" s="42" t="s">
        <v>70</v>
      </c>
      <c r="B60" s="46"/>
      <c r="C60" s="46">
        <v>2215</v>
      </c>
      <c r="D60" s="46">
        <v>2386</v>
      </c>
      <c r="E60" s="46">
        <v>2896</v>
      </c>
      <c r="F60" s="46">
        <v>3139</v>
      </c>
      <c r="G60" s="46">
        <v>3232</v>
      </c>
      <c r="H60" s="46">
        <v>3269</v>
      </c>
      <c r="I60" s="46">
        <v>3463</v>
      </c>
      <c r="J60" s="46">
        <v>3495</v>
      </c>
      <c r="K60" s="46">
        <v>3577</v>
      </c>
      <c r="L60" s="46">
        <v>3757</v>
      </c>
      <c r="M60" s="46">
        <v>3691</v>
      </c>
      <c r="N60" s="46">
        <v>3723</v>
      </c>
      <c r="O60" s="46">
        <v>3621</v>
      </c>
      <c r="P60" s="46">
        <v>3680</v>
      </c>
      <c r="Q60" s="46">
        <v>3672</v>
      </c>
      <c r="R60" s="46">
        <v>3614</v>
      </c>
      <c r="S60" s="46">
        <v>3715</v>
      </c>
      <c r="T60" s="46">
        <v>3727</v>
      </c>
      <c r="U60" s="46">
        <v>3637</v>
      </c>
      <c r="V60" s="46">
        <v>3575</v>
      </c>
      <c r="W60" s="46">
        <v>3462</v>
      </c>
      <c r="X60" s="46">
        <v>3382</v>
      </c>
      <c r="Y60" s="46">
        <v>3561</v>
      </c>
      <c r="Z60" s="46">
        <v>3774</v>
      </c>
      <c r="AA60" s="46">
        <v>3745</v>
      </c>
      <c r="AB60" s="46">
        <v>3942</v>
      </c>
      <c r="AC60" s="46">
        <v>3875</v>
      </c>
      <c r="AD60" s="46">
        <v>4047</v>
      </c>
      <c r="AE60" s="46">
        <v>3930</v>
      </c>
      <c r="AF60" s="46">
        <v>4074</v>
      </c>
      <c r="AG60" s="46">
        <v>4230</v>
      </c>
      <c r="AH60" s="46">
        <v>4278</v>
      </c>
      <c r="AI60" s="46">
        <v>4438</v>
      </c>
      <c r="AJ60" s="46">
        <v>4442</v>
      </c>
      <c r="AK60" s="46">
        <v>4548</v>
      </c>
      <c r="AL60" s="46">
        <v>4890</v>
      </c>
      <c r="AM60" s="46">
        <v>4792</v>
      </c>
      <c r="AN60" s="46">
        <v>4847</v>
      </c>
      <c r="AO60" s="46">
        <v>5163</v>
      </c>
      <c r="AP60" s="46">
        <v>5654</v>
      </c>
      <c r="AQ60" s="46">
        <v>6064</v>
      </c>
      <c r="AR60" s="1">
        <v>6349</v>
      </c>
      <c r="AS60" s="1">
        <v>6308</v>
      </c>
      <c r="AT60" s="1">
        <v>6751</v>
      </c>
      <c r="AU60" s="1">
        <v>6761</v>
      </c>
      <c r="AV60" s="1">
        <v>6780</v>
      </c>
      <c r="AW60" s="1">
        <v>6799</v>
      </c>
      <c r="AX60" s="1">
        <v>7059</v>
      </c>
      <c r="AY60" s="1">
        <v>7154</v>
      </c>
      <c r="AZ60" s="1">
        <v>7359</v>
      </c>
      <c r="BA60" s="1">
        <v>7435</v>
      </c>
    </row>
    <row r="61" spans="1:53">
      <c r="A61" s="42" t="s">
        <v>71</v>
      </c>
      <c r="B61" s="46"/>
      <c r="C61" s="46">
        <v>0</v>
      </c>
      <c r="D61" s="46"/>
      <c r="E61" s="46"/>
      <c r="F61" s="46"/>
      <c r="G61" s="46"/>
      <c r="H61" s="46">
        <v>58</v>
      </c>
      <c r="I61" s="46">
        <v>60</v>
      </c>
      <c r="J61" s="46">
        <v>60</v>
      </c>
      <c r="K61" s="46">
        <v>64</v>
      </c>
      <c r="L61" s="46">
        <v>60</v>
      </c>
      <c r="M61" s="46">
        <v>61</v>
      </c>
      <c r="N61" s="46">
        <v>67</v>
      </c>
      <c r="O61" s="46">
        <v>64</v>
      </c>
      <c r="P61" s="46">
        <v>63</v>
      </c>
      <c r="Q61" s="46">
        <v>70</v>
      </c>
      <c r="R61" s="46">
        <v>80</v>
      </c>
      <c r="S61" s="46">
        <v>78</v>
      </c>
      <c r="T61" s="46">
        <v>78</v>
      </c>
      <c r="U61" s="46">
        <v>84</v>
      </c>
      <c r="V61" s="46">
        <v>80</v>
      </c>
      <c r="W61" s="46">
        <v>82</v>
      </c>
      <c r="X61" s="46">
        <v>80</v>
      </c>
      <c r="Y61" s="46">
        <v>86</v>
      </c>
      <c r="Z61" s="46">
        <v>81</v>
      </c>
      <c r="AA61" s="46">
        <v>87</v>
      </c>
      <c r="AB61" s="46">
        <v>76</v>
      </c>
      <c r="AC61" s="46">
        <v>180</v>
      </c>
      <c r="AD61" s="46">
        <v>251</v>
      </c>
      <c r="AE61" s="46">
        <v>231</v>
      </c>
      <c r="AF61" s="46">
        <v>225</v>
      </c>
      <c r="AG61" s="46">
        <v>265</v>
      </c>
      <c r="AH61" s="46">
        <v>250</v>
      </c>
      <c r="AI61" s="46">
        <v>249</v>
      </c>
      <c r="AJ61" s="46">
        <v>250</v>
      </c>
      <c r="AK61" s="46">
        <v>321</v>
      </c>
      <c r="AL61" s="46">
        <v>318</v>
      </c>
      <c r="AM61" s="46">
        <v>354</v>
      </c>
      <c r="AN61" s="46">
        <v>353</v>
      </c>
      <c r="AO61" s="46">
        <v>363</v>
      </c>
      <c r="AP61" s="46">
        <v>367</v>
      </c>
      <c r="AQ61" s="46">
        <v>387</v>
      </c>
      <c r="AR61" s="1">
        <v>373</v>
      </c>
      <c r="AS61" s="1">
        <v>398</v>
      </c>
      <c r="AT61" s="1">
        <v>410</v>
      </c>
      <c r="AU61" s="1">
        <v>394</v>
      </c>
      <c r="AV61" s="1">
        <v>388</v>
      </c>
      <c r="AW61" s="1">
        <v>357</v>
      </c>
      <c r="AX61" s="1">
        <v>358</v>
      </c>
      <c r="AY61" s="1">
        <v>376</v>
      </c>
      <c r="AZ61" s="1">
        <v>378</v>
      </c>
      <c r="BA61" s="1">
        <v>413</v>
      </c>
    </row>
    <row r="62" spans="1:53">
      <c r="A62" s="47" t="s">
        <v>72</v>
      </c>
      <c r="B62" s="48"/>
      <c r="C62" s="48">
        <v>58</v>
      </c>
      <c r="D62" s="48">
        <v>46</v>
      </c>
      <c r="E62" s="48">
        <v>66</v>
      </c>
      <c r="F62" s="48">
        <v>78</v>
      </c>
      <c r="G62" s="48">
        <v>63</v>
      </c>
      <c r="H62" s="48">
        <v>69</v>
      </c>
      <c r="I62" s="48">
        <v>151</v>
      </c>
      <c r="J62" s="48">
        <v>209</v>
      </c>
      <c r="K62" s="48">
        <v>182</v>
      </c>
      <c r="L62" s="48">
        <v>162</v>
      </c>
      <c r="M62" s="48">
        <v>177</v>
      </c>
      <c r="N62" s="48">
        <v>196</v>
      </c>
      <c r="O62" s="48">
        <v>196</v>
      </c>
      <c r="P62" s="48">
        <v>209</v>
      </c>
      <c r="Q62" s="48">
        <v>201</v>
      </c>
      <c r="R62" s="48">
        <v>208</v>
      </c>
      <c r="S62" s="48">
        <v>206</v>
      </c>
      <c r="T62" s="48">
        <v>77</v>
      </c>
      <c r="U62" s="48">
        <v>98</v>
      </c>
      <c r="V62" s="48">
        <v>85</v>
      </c>
      <c r="W62" s="48">
        <v>87</v>
      </c>
      <c r="X62" s="48">
        <v>227</v>
      </c>
      <c r="Y62" s="48">
        <v>91</v>
      </c>
      <c r="Z62" s="48">
        <v>96</v>
      </c>
      <c r="AA62" s="48">
        <v>93</v>
      </c>
      <c r="AB62" s="48">
        <v>90</v>
      </c>
      <c r="AC62" s="48">
        <v>94</v>
      </c>
      <c r="AD62" s="48">
        <v>90</v>
      </c>
      <c r="AE62" s="48">
        <v>236</v>
      </c>
      <c r="AF62" s="48">
        <v>255</v>
      </c>
      <c r="AG62" s="48">
        <v>233</v>
      </c>
      <c r="AH62" s="48">
        <v>263</v>
      </c>
      <c r="AI62" s="48">
        <v>261</v>
      </c>
      <c r="AJ62" s="48">
        <v>248</v>
      </c>
      <c r="AK62" s="48">
        <v>247</v>
      </c>
      <c r="AL62" s="48">
        <v>259</v>
      </c>
      <c r="AM62" s="48">
        <v>272</v>
      </c>
      <c r="AN62" s="48">
        <v>282</v>
      </c>
      <c r="AO62" s="48">
        <v>254</v>
      </c>
      <c r="AP62" s="48">
        <v>315</v>
      </c>
      <c r="AQ62" s="48">
        <v>301</v>
      </c>
      <c r="AR62" s="1">
        <v>325</v>
      </c>
      <c r="AS62" s="3">
        <v>351</v>
      </c>
      <c r="AT62" s="1">
        <v>347</v>
      </c>
      <c r="AU62" s="1">
        <v>280</v>
      </c>
      <c r="AV62" s="1">
        <v>308</v>
      </c>
      <c r="AW62" s="1">
        <v>261</v>
      </c>
      <c r="AX62" s="1">
        <v>276</v>
      </c>
      <c r="AY62" s="1">
        <v>305</v>
      </c>
      <c r="AZ62" s="1">
        <v>276</v>
      </c>
      <c r="BA62" s="1">
        <v>323</v>
      </c>
    </row>
    <row r="63" spans="1:53">
      <c r="A63" s="49" t="s">
        <v>73</v>
      </c>
      <c r="B63" s="50"/>
      <c r="C63" s="50">
        <v>1453</v>
      </c>
      <c r="D63" s="50">
        <v>1544</v>
      </c>
      <c r="E63" s="50">
        <v>1933</v>
      </c>
      <c r="F63" s="50">
        <v>2109</v>
      </c>
      <c r="G63" s="50">
        <v>2289</v>
      </c>
      <c r="H63" s="50">
        <v>2267</v>
      </c>
      <c r="I63" s="50">
        <v>2257</v>
      </c>
      <c r="J63" s="50">
        <v>2315</v>
      </c>
      <c r="K63" s="50">
        <v>2331</v>
      </c>
      <c r="L63" s="50">
        <v>2359</v>
      </c>
      <c r="M63" s="50">
        <v>2375</v>
      </c>
      <c r="N63" s="50">
        <v>2460</v>
      </c>
      <c r="O63" s="50">
        <v>2550</v>
      </c>
      <c r="P63" s="50">
        <v>2503</v>
      </c>
      <c r="Q63" s="50">
        <v>2678</v>
      </c>
      <c r="R63" s="50">
        <v>2558</v>
      </c>
      <c r="S63" s="50">
        <v>2643</v>
      </c>
      <c r="T63" s="50">
        <v>2681</v>
      </c>
      <c r="U63" s="50">
        <v>2437</v>
      </c>
      <c r="V63" s="50">
        <v>2467</v>
      </c>
      <c r="W63" s="50">
        <v>2498</v>
      </c>
      <c r="X63" s="50">
        <v>2310</v>
      </c>
      <c r="Y63" s="50">
        <v>2254</v>
      </c>
      <c r="Z63" s="50">
        <v>2321</v>
      </c>
      <c r="AA63" s="50">
        <v>2420</v>
      </c>
      <c r="AB63" s="50">
        <v>2467</v>
      </c>
      <c r="AC63" s="50">
        <v>2495</v>
      </c>
      <c r="AD63" s="50">
        <v>2602</v>
      </c>
      <c r="AE63" s="50">
        <v>2676</v>
      </c>
      <c r="AF63" s="50">
        <v>2630</v>
      </c>
      <c r="AG63" s="50">
        <v>2602</v>
      </c>
      <c r="AH63" s="50">
        <v>2517</v>
      </c>
      <c r="AI63" s="50">
        <v>2681</v>
      </c>
      <c r="AJ63" s="50">
        <v>2605</v>
      </c>
      <c r="AK63" s="50">
        <v>2655</v>
      </c>
      <c r="AL63" s="50">
        <v>2950</v>
      </c>
      <c r="AM63" s="50">
        <v>2724</v>
      </c>
      <c r="AN63" s="50">
        <v>2855</v>
      </c>
      <c r="AO63" s="50">
        <v>2837</v>
      </c>
      <c r="AP63" s="50">
        <v>2860</v>
      </c>
      <c r="AQ63" s="50">
        <v>2862</v>
      </c>
      <c r="AR63" s="50">
        <v>2890</v>
      </c>
      <c r="AS63" s="3">
        <v>2941</v>
      </c>
      <c r="AT63" s="95">
        <v>2972</v>
      </c>
      <c r="AU63" s="95">
        <v>2858</v>
      </c>
      <c r="AV63" s="95">
        <v>2740</v>
      </c>
      <c r="AW63" s="95">
        <v>2828</v>
      </c>
      <c r="AX63" s="95">
        <v>2731</v>
      </c>
      <c r="AY63" s="95">
        <v>2717</v>
      </c>
      <c r="AZ63" s="95">
        <v>2745</v>
      </c>
      <c r="BA63" s="116">
        <v>2651</v>
      </c>
    </row>
    <row r="64" spans="1:53">
      <c r="C64" s="4"/>
      <c r="D64" s="4"/>
      <c r="E64" s="4"/>
      <c r="F64" s="4"/>
      <c r="G64" s="4"/>
      <c r="H64" s="4"/>
      <c r="I64" s="4"/>
      <c r="J64" s="4"/>
      <c r="K64" s="4"/>
      <c r="L64" s="4"/>
      <c r="M64" s="4"/>
      <c r="N64" s="4"/>
      <c r="O64" s="4"/>
      <c r="P64" s="4"/>
      <c r="Q64" s="4"/>
      <c r="R64" s="4"/>
      <c r="S64" s="4"/>
      <c r="T64" s="4"/>
      <c r="U64" s="4"/>
      <c r="V64" s="4"/>
      <c r="W64" s="4"/>
      <c r="X64" s="4"/>
      <c r="Y64" s="4"/>
      <c r="Z64" s="4"/>
      <c r="AA64" s="4"/>
      <c r="AB64" s="4"/>
    </row>
    <row r="65" spans="1:52">
      <c r="C65" s="4"/>
      <c r="D65" s="4"/>
      <c r="E65" s="4"/>
      <c r="F65" s="4"/>
      <c r="G65" s="4"/>
      <c r="H65" s="4"/>
      <c r="I65" s="4"/>
      <c r="J65" s="4"/>
      <c r="K65" s="4"/>
      <c r="L65" s="4"/>
      <c r="M65" s="4"/>
      <c r="N65" s="4"/>
      <c r="O65" s="4"/>
      <c r="P65" s="4"/>
      <c r="Q65" s="4"/>
      <c r="R65" s="4"/>
      <c r="S65" s="4"/>
      <c r="T65" s="4"/>
      <c r="U65" s="4"/>
      <c r="V65" s="4"/>
      <c r="W65" s="4"/>
      <c r="X65" s="4"/>
      <c r="Y65" s="4"/>
      <c r="Z65" s="4"/>
      <c r="AA65" s="4"/>
      <c r="AB65" s="4"/>
      <c r="AF65" s="5" t="s">
        <v>11</v>
      </c>
    </row>
    <row r="66" spans="1:52" ht="12.95">
      <c r="A66" s="11" t="s">
        <v>132</v>
      </c>
      <c r="B66" s="1" t="s">
        <v>133</v>
      </c>
      <c r="C66" s="1" t="s">
        <v>134</v>
      </c>
      <c r="D66" s="1" t="s">
        <v>135</v>
      </c>
      <c r="U66" s="1" t="s">
        <v>134</v>
      </c>
      <c r="W66" s="1" t="s">
        <v>135</v>
      </c>
      <c r="AC66" s="1" t="s">
        <v>134</v>
      </c>
      <c r="AD66" s="1" t="s">
        <v>134</v>
      </c>
      <c r="AE66" s="1" t="s">
        <v>134</v>
      </c>
      <c r="AF66" s="1" t="s">
        <v>134</v>
      </c>
      <c r="AG66" s="1" t="s">
        <v>134</v>
      </c>
      <c r="AH66" s="1" t="s">
        <v>134</v>
      </c>
      <c r="AK66" s="1" t="s">
        <v>134</v>
      </c>
      <c r="AN66" s="5" t="s">
        <v>134</v>
      </c>
      <c r="AO66" s="5" t="s">
        <v>134</v>
      </c>
      <c r="AP66" s="5" t="s">
        <v>134</v>
      </c>
      <c r="AQ66" s="5"/>
      <c r="AZ66" s="5" t="s">
        <v>134</v>
      </c>
    </row>
    <row r="67" spans="1:52">
      <c r="A67" s="1" t="s">
        <v>136</v>
      </c>
      <c r="B67" s="1" t="s">
        <v>137</v>
      </c>
      <c r="C67" s="1" t="s">
        <v>138</v>
      </c>
      <c r="D67" s="1" t="s">
        <v>139</v>
      </c>
      <c r="U67" s="1" t="s">
        <v>138</v>
      </c>
      <c r="W67" s="1" t="s">
        <v>139</v>
      </c>
      <c r="AC67" s="1" t="s">
        <v>140</v>
      </c>
      <c r="AD67" s="1" t="s">
        <v>140</v>
      </c>
      <c r="AE67" s="1" t="s">
        <v>140</v>
      </c>
      <c r="AF67" s="1" t="s">
        <v>140</v>
      </c>
      <c r="AG67" s="1" t="s">
        <v>140</v>
      </c>
      <c r="AH67" s="1" t="s">
        <v>138</v>
      </c>
      <c r="AK67" s="1" t="s">
        <v>141</v>
      </c>
      <c r="AN67" s="5" t="s">
        <v>141</v>
      </c>
      <c r="AO67" s="5" t="s">
        <v>141</v>
      </c>
      <c r="AP67" s="1" t="s">
        <v>141</v>
      </c>
      <c r="AZ67" s="1" t="s">
        <v>141</v>
      </c>
    </row>
    <row r="68" spans="1:52" ht="12.95">
      <c r="A68" s="1" t="s">
        <v>142</v>
      </c>
      <c r="B68" s="1" t="s">
        <v>143</v>
      </c>
      <c r="C68" s="1" t="s">
        <v>144</v>
      </c>
      <c r="D68" s="7" t="s">
        <v>145</v>
      </c>
      <c r="U68" s="1" t="s">
        <v>144</v>
      </c>
      <c r="W68" s="7" t="s">
        <v>145</v>
      </c>
      <c r="AC68" s="1" t="s">
        <v>146</v>
      </c>
      <c r="AD68" s="1" t="s">
        <v>146</v>
      </c>
      <c r="AE68" s="1" t="s">
        <v>146</v>
      </c>
      <c r="AF68" s="1" t="s">
        <v>146</v>
      </c>
      <c r="AG68" s="1" t="s">
        <v>146</v>
      </c>
      <c r="AH68" s="1" t="s">
        <v>144</v>
      </c>
      <c r="AK68" s="1" t="s">
        <v>147</v>
      </c>
      <c r="AN68" s="5" t="s">
        <v>147</v>
      </c>
      <c r="AO68" s="5" t="s">
        <v>147</v>
      </c>
      <c r="AP68" s="1" t="s">
        <v>147</v>
      </c>
      <c r="AZ68" s="1" t="s">
        <v>147</v>
      </c>
    </row>
    <row r="69" spans="1:52">
      <c r="B69" s="1" t="s">
        <v>148</v>
      </c>
      <c r="C69" s="1" t="s">
        <v>149</v>
      </c>
      <c r="D69" s="1" t="s">
        <v>150</v>
      </c>
      <c r="U69" s="1" t="s">
        <v>149</v>
      </c>
      <c r="W69" s="1" t="s">
        <v>150</v>
      </c>
      <c r="AC69" s="1" t="s">
        <v>151</v>
      </c>
      <c r="AD69" s="1" t="s">
        <v>151</v>
      </c>
      <c r="AE69" s="1" t="s">
        <v>151</v>
      </c>
      <c r="AF69" s="1" t="s">
        <v>151</v>
      </c>
      <c r="AG69" s="1" t="s">
        <v>151</v>
      </c>
      <c r="AH69" s="1" t="s">
        <v>149</v>
      </c>
      <c r="AK69" s="1" t="s">
        <v>152</v>
      </c>
      <c r="AN69" s="5" t="s">
        <v>153</v>
      </c>
      <c r="AO69" s="5" t="s">
        <v>153</v>
      </c>
      <c r="AP69" s="1" t="s">
        <v>152</v>
      </c>
      <c r="AZ69" s="1" t="s">
        <v>152</v>
      </c>
    </row>
    <row r="70" spans="1:52">
      <c r="B70" s="1" t="s">
        <v>154</v>
      </c>
      <c r="C70" s="1" t="s">
        <v>155</v>
      </c>
      <c r="U70" s="1" t="s">
        <v>155</v>
      </c>
      <c r="AC70" s="1" t="s">
        <v>153</v>
      </c>
      <c r="AD70" s="1" t="s">
        <v>153</v>
      </c>
      <c r="AE70" s="1" t="s">
        <v>153</v>
      </c>
      <c r="AF70" s="1" t="s">
        <v>153</v>
      </c>
      <c r="AG70" s="1" t="s">
        <v>153</v>
      </c>
      <c r="AH70" s="1" t="s">
        <v>155</v>
      </c>
      <c r="AK70" s="1" t="s">
        <v>156</v>
      </c>
      <c r="AN70" s="5" t="s">
        <v>156</v>
      </c>
      <c r="AO70" s="5" t="s">
        <v>156</v>
      </c>
      <c r="AP70" s="1" t="s">
        <v>156</v>
      </c>
      <c r="AZ70" s="1" t="s">
        <v>156</v>
      </c>
    </row>
    <row r="71" spans="1:52">
      <c r="B71" s="1" t="s">
        <v>157</v>
      </c>
      <c r="C71" s="1" t="s">
        <v>158</v>
      </c>
      <c r="U71" s="1" t="s">
        <v>158</v>
      </c>
      <c r="AC71" s="1" t="s">
        <v>156</v>
      </c>
      <c r="AD71" s="1" t="s">
        <v>156</v>
      </c>
      <c r="AE71" s="1" t="s">
        <v>156</v>
      </c>
      <c r="AF71" s="1" t="s">
        <v>156</v>
      </c>
      <c r="AG71" s="1" t="s">
        <v>156</v>
      </c>
      <c r="AH71" s="1" t="s">
        <v>158</v>
      </c>
      <c r="AK71" s="1" t="s">
        <v>159</v>
      </c>
      <c r="AN71" s="5" t="s">
        <v>159</v>
      </c>
      <c r="AO71" s="5" t="s">
        <v>159</v>
      </c>
      <c r="AP71" s="1" t="s">
        <v>159</v>
      </c>
      <c r="AZ71" s="1" t="s">
        <v>159</v>
      </c>
    </row>
    <row r="72" spans="1:52" ht="12.95">
      <c r="B72" s="1" t="s">
        <v>160</v>
      </c>
      <c r="C72" s="1" t="s">
        <v>161</v>
      </c>
      <c r="E72" s="11"/>
      <c r="U72" s="1" t="s">
        <v>161</v>
      </c>
      <c r="AC72" s="1" t="s">
        <v>162</v>
      </c>
      <c r="AD72" s="1" t="s">
        <v>162</v>
      </c>
      <c r="AE72" s="1" t="s">
        <v>162</v>
      </c>
      <c r="AF72" s="1" t="s">
        <v>162</v>
      </c>
      <c r="AG72" s="1" t="s">
        <v>162</v>
      </c>
      <c r="AH72" s="1" t="s">
        <v>161</v>
      </c>
      <c r="AK72" s="1" t="s">
        <v>163</v>
      </c>
      <c r="AN72" s="5" t="s">
        <v>163</v>
      </c>
      <c r="AO72" s="5" t="s">
        <v>163</v>
      </c>
      <c r="AP72" s="1" t="s">
        <v>164</v>
      </c>
      <c r="AZ72" s="1" t="s">
        <v>164</v>
      </c>
    </row>
    <row r="73" spans="1:52" ht="12.95">
      <c r="B73" s="1" t="s">
        <v>165</v>
      </c>
      <c r="C73" s="1" t="s">
        <v>166</v>
      </c>
      <c r="U73" s="1" t="s">
        <v>166</v>
      </c>
      <c r="AC73" s="7" t="s">
        <v>167</v>
      </c>
      <c r="AD73" s="7" t="s">
        <v>167</v>
      </c>
      <c r="AE73" s="7" t="s">
        <v>167</v>
      </c>
      <c r="AF73" s="7" t="s">
        <v>167</v>
      </c>
      <c r="AG73" s="7" t="s">
        <v>167</v>
      </c>
      <c r="AH73" s="1" t="s">
        <v>166</v>
      </c>
      <c r="AI73" s="7"/>
      <c r="AK73" s="1" t="s">
        <v>168</v>
      </c>
      <c r="AN73" s="7" t="s">
        <v>168</v>
      </c>
      <c r="AO73" s="7" t="s">
        <v>168</v>
      </c>
      <c r="AP73" s="1" t="s">
        <v>169</v>
      </c>
      <c r="AZ73" s="1" t="s">
        <v>169</v>
      </c>
    </row>
    <row r="74" spans="1:52" ht="12.95">
      <c r="B74" s="1" t="s">
        <v>143</v>
      </c>
      <c r="C74" s="1" t="s">
        <v>170</v>
      </c>
      <c r="U74" s="1" t="s">
        <v>170</v>
      </c>
      <c r="AC74" s="7" t="s">
        <v>156</v>
      </c>
      <c r="AD74" s="7" t="s">
        <v>156</v>
      </c>
      <c r="AE74" s="7" t="s">
        <v>156</v>
      </c>
      <c r="AF74" s="7" t="s">
        <v>156</v>
      </c>
      <c r="AG74" s="7" t="s">
        <v>156</v>
      </c>
      <c r="AH74" s="1" t="s">
        <v>170</v>
      </c>
      <c r="AI74" s="7"/>
      <c r="AK74" s="1" t="s">
        <v>171</v>
      </c>
      <c r="AN74" s="7" t="s">
        <v>171</v>
      </c>
      <c r="AO74" s="7" t="s">
        <v>171</v>
      </c>
      <c r="AP74" s="1" t="s">
        <v>172</v>
      </c>
      <c r="AZ74" s="1" t="s">
        <v>172</v>
      </c>
    </row>
    <row r="75" spans="1:52" ht="12.95">
      <c r="AC75" s="7" t="s">
        <v>173</v>
      </c>
      <c r="AD75" s="7" t="s">
        <v>173</v>
      </c>
      <c r="AE75" s="7" t="s">
        <v>173</v>
      </c>
      <c r="AF75" s="7" t="s">
        <v>173</v>
      </c>
      <c r="AG75" s="7" t="s">
        <v>173</v>
      </c>
      <c r="AH75" s="7"/>
      <c r="AI75" s="7"/>
      <c r="AK75" s="1" t="s">
        <v>174</v>
      </c>
      <c r="AN75" s="7" t="s">
        <v>174</v>
      </c>
      <c r="AO75" s="7" t="s">
        <v>174</v>
      </c>
      <c r="AP75" s="1" t="s">
        <v>175</v>
      </c>
      <c r="AZ75" s="1" t="s">
        <v>176</v>
      </c>
    </row>
    <row r="76" spans="1:52" ht="12.95">
      <c r="AC76" s="7" t="s">
        <v>177</v>
      </c>
      <c r="AD76" s="7" t="s">
        <v>177</v>
      </c>
      <c r="AE76" s="7" t="s">
        <v>178</v>
      </c>
      <c r="AF76" s="7" t="s">
        <v>179</v>
      </c>
      <c r="AG76" s="7" t="s">
        <v>179</v>
      </c>
      <c r="AH76" s="7"/>
      <c r="AI76" s="7"/>
      <c r="AK76" s="1" t="s">
        <v>180</v>
      </c>
      <c r="AN76" s="7" t="s">
        <v>180</v>
      </c>
      <c r="AO76" s="7" t="s">
        <v>180</v>
      </c>
      <c r="AP76" s="1" t="s">
        <v>180</v>
      </c>
      <c r="AZ76" s="1" t="s">
        <v>180</v>
      </c>
    </row>
    <row r="77" spans="1:52">
      <c r="AC77" s="1" t="s">
        <v>181</v>
      </c>
      <c r="AD77" s="1" t="s">
        <v>181</v>
      </c>
      <c r="AE77" s="1" t="s">
        <v>182</v>
      </c>
      <c r="AF77" s="1" t="s">
        <v>182</v>
      </c>
      <c r="AG77" s="1" t="s">
        <v>182</v>
      </c>
    </row>
    <row r="78" spans="1:52">
      <c r="AC78" s="1" t="s">
        <v>183</v>
      </c>
      <c r="AD78" s="1" t="s">
        <v>183</v>
      </c>
      <c r="AE78" s="1" t="s">
        <v>48</v>
      </c>
      <c r="AF78" s="39" t="s">
        <v>184</v>
      </c>
      <c r="AG78" s="39" t="s">
        <v>184</v>
      </c>
      <c r="AH78" s="39"/>
      <c r="AI78" s="39"/>
      <c r="AO78" s="1" t="s">
        <v>185</v>
      </c>
      <c r="AP78" s="1" t="s">
        <v>185</v>
      </c>
    </row>
    <row r="79" spans="1:52">
      <c r="AC79" s="1" t="s">
        <v>48</v>
      </c>
      <c r="AD79" s="1" t="s">
        <v>48</v>
      </c>
      <c r="AE79" s="1" t="s">
        <v>186</v>
      </c>
      <c r="AO79" s="1" t="s">
        <v>187</v>
      </c>
      <c r="AP79" s="1" t="s">
        <v>187</v>
      </c>
    </row>
    <row r="80" spans="1:52">
      <c r="AC80" s="1" t="s">
        <v>186</v>
      </c>
      <c r="AD80" s="1" t="s">
        <v>186</v>
      </c>
      <c r="AO80" s="1" t="s">
        <v>188</v>
      </c>
      <c r="AP80" s="1" t="s">
        <v>188</v>
      </c>
    </row>
    <row r="81" spans="41:43">
      <c r="AO81" s="1" t="s">
        <v>189</v>
      </c>
      <c r="AP81" s="1" t="s">
        <v>189</v>
      </c>
    </row>
    <row r="82" spans="41:43">
      <c r="AO82" s="1" t="s">
        <v>190</v>
      </c>
      <c r="AP82" s="1" t="s">
        <v>190</v>
      </c>
    </row>
    <row r="83" spans="41:43">
      <c r="AO83" s="1" t="s">
        <v>191</v>
      </c>
      <c r="AP83" s="1" t="s">
        <v>191</v>
      </c>
    </row>
    <row r="84" spans="41:43">
      <c r="AO84" s="1" t="s">
        <v>192</v>
      </c>
      <c r="AP84" s="1" t="s">
        <v>192</v>
      </c>
    </row>
    <row r="85" spans="41:43">
      <c r="AO85" s="1" t="s">
        <v>193</v>
      </c>
      <c r="AP85" s="1" t="s">
        <v>193</v>
      </c>
    </row>
    <row r="86" spans="41:43">
      <c r="AO86" s="1" t="s">
        <v>194</v>
      </c>
      <c r="AP86" s="1" t="s">
        <v>194</v>
      </c>
    </row>
    <row r="87" spans="41:43">
      <c r="AO87" s="1" t="s">
        <v>195</v>
      </c>
      <c r="AP87" s="1" t="s">
        <v>195</v>
      </c>
    </row>
    <row r="88" spans="41:43">
      <c r="AO88" s="1" t="s">
        <v>196</v>
      </c>
      <c r="AP88" s="1" t="s">
        <v>196</v>
      </c>
    </row>
    <row r="89" spans="41:43">
      <c r="AO89" s="1" t="s">
        <v>197</v>
      </c>
      <c r="AP89" s="1" t="s">
        <v>197</v>
      </c>
    </row>
    <row r="90" spans="41:43">
      <c r="AO90" s="1" t="s">
        <v>198</v>
      </c>
      <c r="AP90" s="1" t="s">
        <v>198</v>
      </c>
    </row>
    <row r="91" spans="41:43">
      <c r="AO91" s="1" t="s">
        <v>199</v>
      </c>
      <c r="AP91" s="1" t="s">
        <v>199</v>
      </c>
    </row>
    <row r="92" spans="41:43" ht="12.95">
      <c r="AO92" s="52" t="s">
        <v>200</v>
      </c>
      <c r="AP92" s="52" t="s">
        <v>200</v>
      </c>
      <c r="AQ92" s="52"/>
    </row>
    <row r="95" spans="41:43" ht="12.95">
      <c r="AO95" s="1" t="s">
        <v>201</v>
      </c>
      <c r="AP95" s="52"/>
      <c r="AQ95" s="52"/>
    </row>
    <row r="96" spans="41:43">
      <c r="AO96" s="1" t="s">
        <v>202</v>
      </c>
    </row>
    <row r="97" spans="41:41">
      <c r="AO97" s="1" t="s">
        <v>203</v>
      </c>
    </row>
    <row r="98" spans="41:41">
      <c r="AO98" s="1" t="s">
        <v>204</v>
      </c>
    </row>
    <row r="99" spans="41:41">
      <c r="AO99" s="1" t="s">
        <v>205</v>
      </c>
    </row>
    <row r="100" spans="41:41">
      <c r="AO100" s="1" t="s">
        <v>206</v>
      </c>
    </row>
  </sheetData>
  <phoneticPr fontId="0" type="noConversion"/>
  <hyperlinks>
    <hyperlink ref="AF78" r:id="rId1" xr:uid="{00000000-0004-0000-0100-000000000000}"/>
    <hyperlink ref="AG78" r:id="rId2" xr:uid="{00000000-0004-0000-0100-000001000000}"/>
    <hyperlink ref="AK76" r:id="rId3" display="www.nces.ed.gov" xr:uid="{00000000-0004-0000-0100-000002000000}"/>
    <hyperlink ref="AP76" r:id="rId4" display="www.nces.ed.gov" xr:uid="{00000000-0004-0000-0100-000003000000}"/>
    <hyperlink ref="AZ76" r:id="rId5" display="www.nces.ed.gov" xr:uid="{B2AACF48-60BE-4049-8082-271B18DB7B79}"/>
  </hyperlinks>
  <pageMargins left="0.75" right="0.75" top="1" bottom="1" header="0.5" footer="0.5"/>
  <headerFooter alignWithMargins="0"/>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AO103"/>
  <sheetViews>
    <sheetView zoomScaleNormal="100" workbookViewId="0">
      <pane xSplit="1" ySplit="3" topLeftCell="E4" activePane="bottomRight" state="frozen"/>
      <selection pane="bottomRight" activeCell="AD63" sqref="AD63"/>
      <selection pane="bottomLeft" activeCell="E1" sqref="E1"/>
      <selection pane="topRight" activeCell="E1" sqref="E1"/>
    </sheetView>
  </sheetViews>
  <sheetFormatPr defaultRowHeight="12.6"/>
  <cols>
    <col min="1" max="1" width="19.140625" customWidth="1"/>
    <col min="2" max="6" width="8.85546875" style="1" customWidth="1"/>
    <col min="7" max="8" width="8.85546875" style="8" customWidth="1"/>
    <col min="9" max="17" width="8.85546875" style="1" customWidth="1"/>
    <col min="21" max="25" width="8.85546875" style="1" customWidth="1"/>
    <col min="26" max="29" width="9.140625" style="1"/>
    <col min="30" max="30" width="8.7109375" style="1"/>
  </cols>
  <sheetData>
    <row r="1" spans="1:41" ht="12.95">
      <c r="A1" s="16" t="s">
        <v>207</v>
      </c>
      <c r="B1" s="11"/>
      <c r="C1" s="11"/>
      <c r="D1" s="11"/>
      <c r="E1" s="11"/>
      <c r="F1" s="11"/>
      <c r="G1" s="1"/>
    </row>
    <row r="2" spans="1:41" ht="12.95">
      <c r="B2" s="11"/>
      <c r="C2" s="11"/>
      <c r="D2" s="11"/>
      <c r="E2" s="11"/>
      <c r="F2" s="11"/>
      <c r="AE2" s="1" t="s">
        <v>208</v>
      </c>
      <c r="AF2" s="1"/>
      <c r="AG2" s="1"/>
      <c r="AH2" s="1"/>
      <c r="AI2" s="1"/>
      <c r="AJ2" s="1"/>
      <c r="AK2" s="1"/>
      <c r="AL2" s="1"/>
      <c r="AM2" s="1"/>
    </row>
    <row r="3" spans="1:41" s="144" customFormat="1" ht="12.95">
      <c r="B3" s="145" t="s">
        <v>99</v>
      </c>
      <c r="C3" s="145" t="s">
        <v>100</v>
      </c>
      <c r="D3" s="145" t="s">
        <v>104</v>
      </c>
      <c r="E3" s="145" t="s">
        <v>105</v>
      </c>
      <c r="F3" s="145" t="s">
        <v>106</v>
      </c>
      <c r="G3" s="145" t="s">
        <v>107</v>
      </c>
      <c r="H3" s="145" t="s">
        <v>108</v>
      </c>
      <c r="I3" s="145" t="s">
        <v>109</v>
      </c>
      <c r="J3" s="145" t="s">
        <v>110</v>
      </c>
      <c r="K3" s="145" t="s">
        <v>111</v>
      </c>
      <c r="L3" s="145" t="s">
        <v>112</v>
      </c>
      <c r="M3" s="145" t="s">
        <v>115</v>
      </c>
      <c r="N3" s="145" t="s">
        <v>116</v>
      </c>
      <c r="O3" s="145" t="s">
        <v>117</v>
      </c>
      <c r="P3" s="145" t="s">
        <v>118</v>
      </c>
      <c r="Q3" s="145" t="s">
        <v>119</v>
      </c>
      <c r="R3" s="145" t="s">
        <v>120</v>
      </c>
      <c r="S3" s="145" t="s">
        <v>121</v>
      </c>
      <c r="T3" s="145" t="s">
        <v>122</v>
      </c>
      <c r="U3" s="145" t="s">
        <v>123</v>
      </c>
      <c r="V3" s="114" t="s">
        <v>124</v>
      </c>
      <c r="W3" s="114" t="s">
        <v>125</v>
      </c>
      <c r="X3" s="114" t="s">
        <v>126</v>
      </c>
      <c r="Y3" s="114" t="s">
        <v>14</v>
      </c>
      <c r="Z3" s="114" t="s">
        <v>127</v>
      </c>
      <c r="AA3" s="114" t="s">
        <v>128</v>
      </c>
      <c r="AB3" s="114" t="s">
        <v>129</v>
      </c>
      <c r="AC3" s="114" t="s">
        <v>130</v>
      </c>
      <c r="AD3" s="115" t="s">
        <v>13</v>
      </c>
      <c r="AE3" s="114" t="s">
        <v>107</v>
      </c>
      <c r="AF3" s="114" t="s">
        <v>108</v>
      </c>
      <c r="AG3" s="114" t="s">
        <v>109</v>
      </c>
      <c r="AH3" s="114" t="s">
        <v>110</v>
      </c>
      <c r="AI3" s="114" t="s">
        <v>111</v>
      </c>
      <c r="AJ3" s="114" t="s">
        <v>112</v>
      </c>
      <c r="AK3" s="114" t="s">
        <v>115</v>
      </c>
      <c r="AL3" s="114" t="s">
        <v>116</v>
      </c>
      <c r="AM3" s="114" t="s">
        <v>117</v>
      </c>
      <c r="AN3" s="114" t="s">
        <v>118</v>
      </c>
      <c r="AO3" s="114" t="s">
        <v>119</v>
      </c>
    </row>
    <row r="4" spans="1:41">
      <c r="A4" s="40" t="s">
        <v>16</v>
      </c>
      <c r="B4" s="41">
        <f t="shared" ref="B4:S4" si="0">B5+B23+B38+B52+B63</f>
        <v>29192</v>
      </c>
      <c r="C4" s="41">
        <f t="shared" si="0"/>
        <v>28650</v>
      </c>
      <c r="D4" s="41">
        <f t="shared" si="0"/>
        <v>29187</v>
      </c>
      <c r="E4" s="41">
        <f t="shared" si="0"/>
        <v>29473</v>
      </c>
      <c r="F4" s="41">
        <f t="shared" si="0"/>
        <v>29687</v>
      </c>
      <c r="G4" s="41">
        <f t="shared" si="0"/>
        <v>29714</v>
      </c>
      <c r="H4" s="41">
        <f t="shared" si="0"/>
        <v>29726</v>
      </c>
      <c r="I4" s="41">
        <f t="shared" si="0"/>
        <v>31079</v>
      </c>
      <c r="J4" s="41">
        <f t="shared" si="0"/>
        <v>31233</v>
      </c>
      <c r="K4" s="41">
        <f t="shared" si="0"/>
        <v>31693</v>
      </c>
      <c r="L4" s="41">
        <f t="shared" si="0"/>
        <v>32247</v>
      </c>
      <c r="M4" s="41">
        <f t="shared" si="0"/>
        <v>33549</v>
      </c>
      <c r="N4" s="41">
        <f t="shared" si="0"/>
        <v>34499</v>
      </c>
      <c r="O4" s="41">
        <f t="shared" si="0"/>
        <v>35768</v>
      </c>
      <c r="P4" s="41">
        <f>P5+P23+P38+P52+P63</f>
        <v>36269</v>
      </c>
      <c r="Q4" s="41">
        <f t="shared" si="0"/>
        <v>36855</v>
      </c>
      <c r="R4" s="41">
        <f t="shared" si="0"/>
        <v>37715</v>
      </c>
      <c r="S4" s="41">
        <f t="shared" si="0"/>
        <v>38670</v>
      </c>
      <c r="T4" s="41">
        <f>T5+T23+T38+T52+T63</f>
        <v>41922</v>
      </c>
      <c r="U4" s="41">
        <f>U5+U23+U38+U52+U63</f>
        <v>43575</v>
      </c>
      <c r="V4" s="41">
        <f>V5+V23+V38+V52+V63</f>
        <v>44760</v>
      </c>
      <c r="W4" s="41">
        <f>W5+W23+W38+W52+W63</f>
        <v>42774</v>
      </c>
      <c r="X4" s="41">
        <f t="shared" ref="X4:AC4" si="1">X5+X23+X38+X52+X63</f>
        <v>44003</v>
      </c>
      <c r="Y4" s="41">
        <f t="shared" si="1"/>
        <v>44193</v>
      </c>
      <c r="Z4" s="41">
        <f t="shared" si="1"/>
        <v>46435</v>
      </c>
      <c r="AA4" s="41">
        <f t="shared" si="1"/>
        <v>47307</v>
      </c>
      <c r="AB4" s="41">
        <f t="shared" si="1"/>
        <v>47933</v>
      </c>
      <c r="AC4" s="41">
        <f t="shared" si="1"/>
        <v>49173</v>
      </c>
      <c r="AD4" s="41">
        <f t="shared" ref="AD4" si="2">AD5+AD23+AD38+AD52+AD63</f>
        <v>50161</v>
      </c>
      <c r="AE4" s="27">
        <f>G4/'Total 1st Prof'!AB4</f>
        <v>0.39281889930330632</v>
      </c>
      <c r="AF4" s="27">
        <f>H4/'Total 1st Prof'!AC4</f>
        <v>0.38817937266577868</v>
      </c>
      <c r="AG4" s="27">
        <f>I4/'Total 1st Prof'!AD4</f>
        <v>0.3955782399511239</v>
      </c>
      <c r="AH4" s="27">
        <f>J4/'Total 1st Prof'!AE4</f>
        <v>0.3973765235756635</v>
      </c>
      <c r="AI4" s="27">
        <f>K4/'Total 1st Prof'!AF4</f>
        <v>0.40404645648210713</v>
      </c>
      <c r="AJ4" s="27">
        <f>L4/'Total 1st Prof'!AG4</f>
        <v>0.4028005046404437</v>
      </c>
      <c r="AK4" s="27">
        <f>M4/'Total 1st Prof'!AJ4</f>
        <v>0.41471253569353622</v>
      </c>
      <c r="AL4" s="27" t="e">
        <f>N4/'Total 1st Prof'!#REF!</f>
        <v>#REF!</v>
      </c>
      <c r="AM4" s="27">
        <f>O4/'Total 1st Prof'!AL4</f>
        <v>0.4097652625187595</v>
      </c>
      <c r="AN4" s="27">
        <f>P4/'Total 1st Prof'!AM4</f>
        <v>0.41376989333181224</v>
      </c>
      <c r="AO4" s="27">
        <f>Q4/'Total 1st Prof'!AN4</f>
        <v>0.40920900692840645</v>
      </c>
    </row>
    <row r="5" spans="1:41">
      <c r="A5" s="42" t="s">
        <v>17</v>
      </c>
      <c r="B5" s="43">
        <f t="shared" ref="B5:S5" si="3">SUM(B7:B22)</f>
        <v>11368</v>
      </c>
      <c r="C5" s="43">
        <f t="shared" si="3"/>
        <v>11421</v>
      </c>
      <c r="D5" s="43">
        <f t="shared" si="3"/>
        <v>11641</v>
      </c>
      <c r="E5" s="43">
        <f t="shared" si="3"/>
        <v>11822</v>
      </c>
      <c r="F5" s="43">
        <f t="shared" si="3"/>
        <v>11864</v>
      </c>
      <c r="G5" s="43">
        <f t="shared" si="3"/>
        <v>11972</v>
      </c>
      <c r="H5" s="43">
        <f t="shared" si="3"/>
        <v>11813</v>
      </c>
      <c r="I5" s="43">
        <f t="shared" si="3"/>
        <v>12588</v>
      </c>
      <c r="J5" s="43">
        <f t="shared" si="3"/>
        <v>12771</v>
      </c>
      <c r="K5" s="43">
        <f t="shared" si="3"/>
        <v>13044</v>
      </c>
      <c r="L5" s="43">
        <f t="shared" si="3"/>
        <v>13226</v>
      </c>
      <c r="M5" s="43">
        <f t="shared" si="3"/>
        <v>13808</v>
      </c>
      <c r="N5" s="43">
        <f t="shared" si="3"/>
        <v>14112</v>
      </c>
      <c r="O5" s="43">
        <f t="shared" si="3"/>
        <v>14618</v>
      </c>
      <c r="P5" s="43">
        <f t="shared" si="3"/>
        <v>14884</v>
      </c>
      <c r="Q5" s="43">
        <f t="shared" si="3"/>
        <v>15111</v>
      </c>
      <c r="R5" s="43">
        <f t="shared" si="3"/>
        <v>15529</v>
      </c>
      <c r="S5" s="43">
        <f t="shared" si="3"/>
        <v>15935</v>
      </c>
      <c r="T5" s="43">
        <f>SUM(T7:T22)</f>
        <v>17696</v>
      </c>
      <c r="U5" s="43">
        <f>SUM(U7:U22)</f>
        <v>18263</v>
      </c>
      <c r="V5" s="43">
        <f>SUM(V7:V22)</f>
        <v>18692</v>
      </c>
      <c r="W5" s="43">
        <f>SUM(W7:W22)</f>
        <v>17189</v>
      </c>
      <c r="X5" s="43">
        <f t="shared" ref="X5:AC5" si="4">SUM(X7:X22)</f>
        <v>17733</v>
      </c>
      <c r="Y5" s="43">
        <f t="shared" si="4"/>
        <v>17853</v>
      </c>
      <c r="Z5" s="43">
        <f t="shared" si="4"/>
        <v>20146</v>
      </c>
      <c r="AA5" s="43">
        <f t="shared" si="4"/>
        <v>20441</v>
      </c>
      <c r="AB5" s="43">
        <f t="shared" si="4"/>
        <v>20543</v>
      </c>
      <c r="AC5" s="43">
        <f t="shared" si="4"/>
        <v>21100</v>
      </c>
      <c r="AD5" s="43">
        <f t="shared" ref="AD5" si="5">SUM(AD7:AD22)</f>
        <v>21380</v>
      </c>
      <c r="AE5" s="27">
        <f>G5/'Total 1st Prof'!AB5</f>
        <v>0.53520497116545218</v>
      </c>
      <c r="AF5" s="27">
        <f>H5/'Total 1st Prof'!AC5</f>
        <v>0.52216770543252444</v>
      </c>
      <c r="AG5" s="27">
        <f>I5/'Total 1st Prof'!AD5</f>
        <v>0.53506758479979599</v>
      </c>
      <c r="AH5" s="27">
        <f>J5/'Total 1st Prof'!AE5</f>
        <v>0.53354779411764708</v>
      </c>
      <c r="AI5" s="27">
        <f>K5/'Total 1st Prof'!AF5</f>
        <v>0.54363590897724434</v>
      </c>
      <c r="AJ5" s="27">
        <f>L5/'Total 1st Prof'!AG5</f>
        <v>0.53249053869071583</v>
      </c>
      <c r="AK5" s="27">
        <f>M5/'Total 1st Prof'!AJ5</f>
        <v>0.57504581042811931</v>
      </c>
      <c r="AL5" s="27" t="e">
        <f>N5/'Total 1st Prof'!#REF!</f>
        <v>#REF!</v>
      </c>
      <c r="AM5" s="27">
        <f>O5/'Total 1st Prof'!AL5</f>
        <v>0.56757911085226165</v>
      </c>
      <c r="AN5" s="27">
        <f>P5/'Total 1st Prof'!AM5</f>
        <v>0.56776654587068476</v>
      </c>
      <c r="AO5" s="27">
        <f>Q5/'Total 1st Prof'!AN5</f>
        <v>0.55758090107376113</v>
      </c>
    </row>
    <row r="6" spans="1:41">
      <c r="A6" s="44" t="s">
        <v>131</v>
      </c>
      <c r="B6" s="45">
        <f t="shared" ref="B6:S6" si="6">(B5/B4)*100</f>
        <v>38.942175938613317</v>
      </c>
      <c r="C6" s="45">
        <f t="shared" si="6"/>
        <v>39.863874345549739</v>
      </c>
      <c r="D6" s="45">
        <f t="shared" si="6"/>
        <v>39.884195018330075</v>
      </c>
      <c r="E6" s="45">
        <f t="shared" si="6"/>
        <v>40.111288297764055</v>
      </c>
      <c r="F6" s="45">
        <f t="shared" si="6"/>
        <v>39.963620439923197</v>
      </c>
      <c r="G6" s="45">
        <f t="shared" si="6"/>
        <v>40.290772026654103</v>
      </c>
      <c r="H6" s="45">
        <f t="shared" si="6"/>
        <v>39.739621879835838</v>
      </c>
      <c r="I6" s="45">
        <f t="shared" si="6"/>
        <v>40.503233694777826</v>
      </c>
      <c r="J6" s="45">
        <f t="shared" si="6"/>
        <v>40.88944385745846</v>
      </c>
      <c r="K6" s="45">
        <f t="shared" si="6"/>
        <v>41.157353358785855</v>
      </c>
      <c r="L6" s="45">
        <f t="shared" si="6"/>
        <v>41.014668031134676</v>
      </c>
      <c r="M6" s="45">
        <f t="shared" si="6"/>
        <v>41.157709618766582</v>
      </c>
      <c r="N6" s="45">
        <f t="shared" si="6"/>
        <v>40.905533493724455</v>
      </c>
      <c r="O6" s="45">
        <f t="shared" si="6"/>
        <v>40.868933124580629</v>
      </c>
      <c r="P6" s="45">
        <f t="shared" si="6"/>
        <v>41.03780087678183</v>
      </c>
      <c r="Q6" s="45">
        <f t="shared" si="6"/>
        <v>41.001221001220998</v>
      </c>
      <c r="R6" s="45">
        <f t="shared" si="6"/>
        <v>41.174598965928681</v>
      </c>
      <c r="S6" s="45">
        <f t="shared" si="6"/>
        <v>41.207654512542021</v>
      </c>
      <c r="T6" s="45">
        <f>(T5/T4)*100</f>
        <v>42.211726539764321</v>
      </c>
      <c r="U6" s="45">
        <f>(U5/U4)*100</f>
        <v>41.911646586345377</v>
      </c>
      <c r="V6" s="45">
        <f>(V5/V4)*100</f>
        <v>41.760500446827528</v>
      </c>
      <c r="W6" s="45">
        <f>(W5/W4)*100</f>
        <v>40.185626782624965</v>
      </c>
      <c r="X6" s="45">
        <f t="shared" ref="X6:AC6" si="7">(X5/X4)*100</f>
        <v>40.299525032384153</v>
      </c>
      <c r="Y6" s="45">
        <f t="shared" si="7"/>
        <v>40.397800556649244</v>
      </c>
      <c r="Z6" s="45">
        <f t="shared" si="7"/>
        <v>43.385377409281787</v>
      </c>
      <c r="AA6" s="45">
        <f t="shared" si="7"/>
        <v>43.209250216669837</v>
      </c>
      <c r="AB6" s="45">
        <f t="shared" si="7"/>
        <v>42.857738927252626</v>
      </c>
      <c r="AC6" s="45">
        <f t="shared" si="7"/>
        <v>42.90972688263885</v>
      </c>
      <c r="AD6" s="45">
        <f t="shared" ref="AD6" si="8">(AD5/AD4)*100</f>
        <v>42.622754729770143</v>
      </c>
    </row>
    <row r="7" spans="1:41">
      <c r="A7" s="42" t="s">
        <v>19</v>
      </c>
      <c r="B7" s="46">
        <v>538</v>
      </c>
      <c r="C7" s="46">
        <v>550</v>
      </c>
      <c r="D7" s="46">
        <v>539</v>
      </c>
      <c r="E7" s="46">
        <v>569</v>
      </c>
      <c r="F7" s="46">
        <v>566</v>
      </c>
      <c r="G7" s="46">
        <v>591</v>
      </c>
      <c r="H7" s="46">
        <v>600</v>
      </c>
      <c r="I7" s="46">
        <v>612</v>
      </c>
      <c r="J7" s="46">
        <v>583</v>
      </c>
      <c r="K7" s="46">
        <v>613</v>
      </c>
      <c r="L7" s="46">
        <v>620</v>
      </c>
      <c r="M7" s="46">
        <v>631</v>
      </c>
      <c r="N7" s="46">
        <v>637</v>
      </c>
      <c r="O7" s="46">
        <v>689</v>
      </c>
      <c r="P7" s="46">
        <v>690</v>
      </c>
      <c r="Q7" s="46">
        <v>672</v>
      </c>
      <c r="R7" s="46">
        <v>691</v>
      </c>
      <c r="S7" s="46">
        <v>756</v>
      </c>
      <c r="T7" s="46">
        <v>1023</v>
      </c>
      <c r="U7" s="46">
        <v>1042</v>
      </c>
      <c r="V7" s="46">
        <v>1060</v>
      </c>
      <c r="W7" s="46">
        <v>1111</v>
      </c>
      <c r="X7" s="46">
        <v>1143</v>
      </c>
      <c r="Y7" s="46">
        <v>1184</v>
      </c>
      <c r="Z7" s="1">
        <v>1164</v>
      </c>
      <c r="AA7" s="1">
        <v>1135</v>
      </c>
      <c r="AB7" s="1">
        <v>1232</v>
      </c>
      <c r="AC7" s="1">
        <v>1242</v>
      </c>
      <c r="AD7" s="1">
        <v>1302</v>
      </c>
    </row>
    <row r="8" spans="1:41">
      <c r="A8" s="42" t="s">
        <v>20</v>
      </c>
      <c r="B8" s="46">
        <v>319</v>
      </c>
      <c r="C8" s="46">
        <v>369</v>
      </c>
      <c r="D8" s="46">
        <v>363</v>
      </c>
      <c r="E8" s="46">
        <v>449</v>
      </c>
      <c r="F8" s="46">
        <v>441</v>
      </c>
      <c r="G8" s="46">
        <v>482</v>
      </c>
      <c r="H8" s="46">
        <v>499</v>
      </c>
      <c r="I8" s="46">
        <v>469</v>
      </c>
      <c r="J8" s="46">
        <v>460</v>
      </c>
      <c r="K8" s="46">
        <v>471</v>
      </c>
      <c r="L8" s="46">
        <v>494</v>
      </c>
      <c r="M8" s="46">
        <v>477</v>
      </c>
      <c r="N8" s="46">
        <v>465</v>
      </c>
      <c r="O8" s="46">
        <v>505</v>
      </c>
      <c r="P8" s="46">
        <v>513</v>
      </c>
      <c r="Q8" s="46">
        <v>503</v>
      </c>
      <c r="R8" s="46">
        <v>507</v>
      </c>
      <c r="S8" s="46">
        <v>506</v>
      </c>
      <c r="T8" s="46">
        <v>521</v>
      </c>
      <c r="U8" s="46">
        <v>518</v>
      </c>
      <c r="V8" s="46">
        <v>598</v>
      </c>
      <c r="W8" s="46">
        <v>632</v>
      </c>
      <c r="X8" s="46">
        <v>630</v>
      </c>
      <c r="Y8" s="46">
        <v>608</v>
      </c>
      <c r="Z8" s="1">
        <v>637</v>
      </c>
      <c r="AA8" s="1">
        <v>646</v>
      </c>
      <c r="AB8" s="1">
        <v>623</v>
      </c>
      <c r="AC8" s="1">
        <v>654</v>
      </c>
      <c r="AD8" s="1">
        <v>686</v>
      </c>
    </row>
    <row r="9" spans="1:41">
      <c r="A9" s="42" t="s">
        <v>21</v>
      </c>
      <c r="B9" s="46"/>
      <c r="C9" s="46"/>
      <c r="D9" s="46"/>
      <c r="E9" s="46"/>
      <c r="F9" s="46"/>
      <c r="G9" s="46"/>
      <c r="H9" s="46"/>
      <c r="I9" s="46"/>
      <c r="J9" s="46"/>
      <c r="K9" s="46"/>
      <c r="L9" s="46"/>
      <c r="M9" s="46"/>
      <c r="N9" s="46"/>
      <c r="O9" s="46"/>
      <c r="P9" s="46"/>
      <c r="Q9" s="46"/>
      <c r="R9" s="46"/>
      <c r="S9" s="46"/>
      <c r="T9" s="46">
        <v>54</v>
      </c>
      <c r="U9" s="46">
        <v>41</v>
      </c>
      <c r="V9" s="46">
        <v>34</v>
      </c>
      <c r="W9" s="46">
        <v>29</v>
      </c>
      <c r="X9" s="46">
        <v>32</v>
      </c>
      <c r="Y9" s="46">
        <v>37</v>
      </c>
      <c r="Z9" s="1">
        <v>32</v>
      </c>
      <c r="AA9" s="1">
        <v>56</v>
      </c>
      <c r="AB9" s="1">
        <v>55</v>
      </c>
      <c r="AC9" s="1">
        <v>54</v>
      </c>
      <c r="AD9" s="1">
        <v>65</v>
      </c>
    </row>
    <row r="10" spans="1:41">
      <c r="A10" s="42" t="s">
        <v>22</v>
      </c>
      <c r="B10" s="46">
        <v>946</v>
      </c>
      <c r="C10" s="46">
        <v>935</v>
      </c>
      <c r="D10" s="46">
        <v>956</v>
      </c>
      <c r="E10" s="46">
        <v>949</v>
      </c>
      <c r="F10" s="46">
        <v>942</v>
      </c>
      <c r="G10" s="46">
        <v>942</v>
      </c>
      <c r="H10" s="46">
        <v>1002</v>
      </c>
      <c r="I10" s="46">
        <v>1036</v>
      </c>
      <c r="J10" s="46">
        <v>1128</v>
      </c>
      <c r="K10" s="46">
        <v>1141</v>
      </c>
      <c r="L10" s="46">
        <v>1237</v>
      </c>
      <c r="M10" s="46">
        <v>1380</v>
      </c>
      <c r="N10" s="46">
        <v>1370</v>
      </c>
      <c r="O10" s="46">
        <v>1578</v>
      </c>
      <c r="P10" s="46">
        <v>1673</v>
      </c>
      <c r="Q10" s="46">
        <v>1830</v>
      </c>
      <c r="R10" s="46">
        <v>2082</v>
      </c>
      <c r="S10" s="46">
        <v>2037</v>
      </c>
      <c r="T10" s="46">
        <v>2396</v>
      </c>
      <c r="U10" s="46">
        <v>2535</v>
      </c>
      <c r="V10" s="46">
        <v>2439</v>
      </c>
      <c r="W10" s="46">
        <v>2478</v>
      </c>
      <c r="X10" s="46">
        <v>2558</v>
      </c>
      <c r="Y10" s="46">
        <v>2699</v>
      </c>
      <c r="Z10" s="1">
        <v>2801</v>
      </c>
      <c r="AA10" s="1">
        <v>2971</v>
      </c>
      <c r="AB10" s="1">
        <v>2916</v>
      </c>
      <c r="AC10" s="1">
        <v>2984</v>
      </c>
      <c r="AD10" s="1">
        <v>2986</v>
      </c>
    </row>
    <row r="11" spans="1:41">
      <c r="A11" s="42" t="s">
        <v>23</v>
      </c>
      <c r="B11" s="46">
        <v>621</v>
      </c>
      <c r="C11" s="46">
        <v>635</v>
      </c>
      <c r="D11" s="46">
        <v>673</v>
      </c>
      <c r="E11" s="46">
        <v>658</v>
      </c>
      <c r="F11" s="46">
        <v>676</v>
      </c>
      <c r="G11" s="46">
        <v>692</v>
      </c>
      <c r="H11" s="46">
        <v>723</v>
      </c>
      <c r="I11" s="46">
        <v>740</v>
      </c>
      <c r="J11" s="46">
        <v>708</v>
      </c>
      <c r="K11" s="46">
        <v>774</v>
      </c>
      <c r="L11" s="46">
        <v>767</v>
      </c>
      <c r="M11" s="46">
        <v>788</v>
      </c>
      <c r="N11" s="46">
        <v>858</v>
      </c>
      <c r="O11" s="46">
        <v>815</v>
      </c>
      <c r="P11" s="46">
        <v>850</v>
      </c>
      <c r="Q11" s="46">
        <v>925</v>
      </c>
      <c r="R11" s="46">
        <v>855</v>
      </c>
      <c r="S11" s="46">
        <v>860</v>
      </c>
      <c r="T11" s="46">
        <v>875</v>
      </c>
      <c r="U11" s="46">
        <v>898</v>
      </c>
      <c r="V11" s="46">
        <v>1040</v>
      </c>
      <c r="W11" s="46">
        <v>1075</v>
      </c>
      <c r="X11" s="46">
        <v>1145</v>
      </c>
      <c r="Y11" s="46">
        <v>1090</v>
      </c>
      <c r="Z11" s="1">
        <v>1136</v>
      </c>
      <c r="AA11" s="1">
        <v>1150</v>
      </c>
      <c r="AB11" s="1">
        <v>1127</v>
      </c>
      <c r="AC11" s="1">
        <v>1175</v>
      </c>
      <c r="AD11" s="1">
        <v>1157</v>
      </c>
    </row>
    <row r="12" spans="1:41">
      <c r="A12" s="42" t="s">
        <v>24</v>
      </c>
      <c r="B12" s="46">
        <v>652</v>
      </c>
      <c r="C12" s="46">
        <v>683</v>
      </c>
      <c r="D12" s="46">
        <v>682</v>
      </c>
      <c r="E12" s="46">
        <v>759</v>
      </c>
      <c r="F12" s="46">
        <v>780</v>
      </c>
      <c r="G12" s="46">
        <v>739</v>
      </c>
      <c r="H12" s="46">
        <v>785</v>
      </c>
      <c r="I12" s="46">
        <v>812</v>
      </c>
      <c r="J12" s="46">
        <v>819</v>
      </c>
      <c r="K12" s="46">
        <v>817</v>
      </c>
      <c r="L12" s="46">
        <v>791</v>
      </c>
      <c r="M12" s="46">
        <v>787</v>
      </c>
      <c r="N12" s="46">
        <v>804</v>
      </c>
      <c r="O12" s="46">
        <v>864</v>
      </c>
      <c r="P12" s="46">
        <v>841</v>
      </c>
      <c r="Q12" s="46">
        <v>848</v>
      </c>
      <c r="R12" s="46">
        <v>902</v>
      </c>
      <c r="S12" s="46">
        <v>876</v>
      </c>
      <c r="T12" s="46">
        <v>961</v>
      </c>
      <c r="U12" s="46">
        <v>1074</v>
      </c>
      <c r="V12" s="46">
        <v>1090</v>
      </c>
      <c r="W12" s="46">
        <v>1092</v>
      </c>
      <c r="X12" s="46">
        <v>1128</v>
      </c>
      <c r="Y12" s="46">
        <v>1085</v>
      </c>
      <c r="Z12" s="1">
        <v>1150</v>
      </c>
      <c r="AA12" s="1">
        <v>1084</v>
      </c>
      <c r="AB12" s="1">
        <v>1150</v>
      </c>
      <c r="AC12" s="1">
        <v>1245</v>
      </c>
      <c r="AD12" s="1">
        <v>1322</v>
      </c>
    </row>
    <row r="13" spans="1:41">
      <c r="A13" s="42" t="s">
        <v>25</v>
      </c>
      <c r="B13" s="46">
        <v>687</v>
      </c>
      <c r="C13" s="46">
        <v>685</v>
      </c>
      <c r="D13" s="46">
        <v>698</v>
      </c>
      <c r="E13" s="46">
        <v>685</v>
      </c>
      <c r="F13" s="46">
        <v>706</v>
      </c>
      <c r="G13" s="46">
        <v>711</v>
      </c>
      <c r="H13" s="46">
        <v>559</v>
      </c>
      <c r="I13" s="46">
        <v>697</v>
      </c>
      <c r="J13" s="46">
        <v>684</v>
      </c>
      <c r="K13" s="46">
        <v>644</v>
      </c>
      <c r="L13" s="46">
        <v>654</v>
      </c>
      <c r="M13" s="46">
        <v>755</v>
      </c>
      <c r="N13" s="46">
        <v>824</v>
      </c>
      <c r="O13" s="46">
        <v>792</v>
      </c>
      <c r="P13" s="46">
        <v>860</v>
      </c>
      <c r="Q13" s="46">
        <v>832</v>
      </c>
      <c r="R13" s="46">
        <v>816</v>
      </c>
      <c r="S13" s="46">
        <v>819</v>
      </c>
      <c r="T13" s="46">
        <v>899</v>
      </c>
      <c r="U13" s="46">
        <v>919</v>
      </c>
      <c r="V13" s="46">
        <v>1000</v>
      </c>
      <c r="W13" s="46">
        <v>1006</v>
      </c>
      <c r="X13" s="46">
        <v>994</v>
      </c>
      <c r="Y13" s="46">
        <v>1017</v>
      </c>
      <c r="Z13" s="1">
        <v>1051</v>
      </c>
      <c r="AA13" s="1">
        <v>1079</v>
      </c>
      <c r="AB13" s="1">
        <v>1026</v>
      </c>
      <c r="AC13" s="1">
        <v>1055</v>
      </c>
      <c r="AD13" s="1">
        <v>1050</v>
      </c>
    </row>
    <row r="14" spans="1:41">
      <c r="A14" s="42" t="s">
        <v>26</v>
      </c>
      <c r="B14" s="46">
        <v>757</v>
      </c>
      <c r="C14" s="46">
        <v>725</v>
      </c>
      <c r="D14" s="46">
        <v>775</v>
      </c>
      <c r="E14" s="46">
        <v>834</v>
      </c>
      <c r="F14" s="46">
        <v>770</v>
      </c>
      <c r="G14" s="46">
        <v>808</v>
      </c>
      <c r="H14" s="46">
        <v>706</v>
      </c>
      <c r="I14" s="46">
        <v>904</v>
      </c>
      <c r="J14" s="46">
        <v>931</v>
      </c>
      <c r="K14" s="46">
        <v>937</v>
      </c>
      <c r="L14" s="46">
        <v>870</v>
      </c>
      <c r="M14" s="46">
        <v>865</v>
      </c>
      <c r="N14" s="46">
        <v>980</v>
      </c>
      <c r="O14" s="46">
        <v>910</v>
      </c>
      <c r="P14" s="46">
        <v>953</v>
      </c>
      <c r="Q14" s="46">
        <v>960</v>
      </c>
      <c r="R14" s="46">
        <v>948</v>
      </c>
      <c r="S14" s="46">
        <v>1066</v>
      </c>
      <c r="T14" s="46">
        <v>1193</v>
      </c>
      <c r="U14" s="46">
        <v>1223</v>
      </c>
      <c r="V14" s="46">
        <v>1273</v>
      </c>
      <c r="W14" s="46">
        <v>1326</v>
      </c>
      <c r="X14" s="46">
        <v>1297</v>
      </c>
      <c r="Y14" s="46">
        <v>1255</v>
      </c>
      <c r="Z14" s="1">
        <v>1182</v>
      </c>
      <c r="AA14" s="1">
        <v>1130</v>
      </c>
      <c r="AB14" s="1">
        <v>1185</v>
      </c>
      <c r="AC14" s="1">
        <v>1216</v>
      </c>
      <c r="AD14" s="1">
        <v>1167</v>
      </c>
    </row>
    <row r="15" spans="1:41">
      <c r="A15" s="42" t="s">
        <v>27</v>
      </c>
      <c r="B15" s="46">
        <v>333</v>
      </c>
      <c r="C15" s="46">
        <v>308</v>
      </c>
      <c r="D15" s="46">
        <v>341</v>
      </c>
      <c r="E15" s="46">
        <v>311</v>
      </c>
      <c r="F15" s="46">
        <v>332</v>
      </c>
      <c r="G15" s="46">
        <v>346</v>
      </c>
      <c r="H15" s="46">
        <v>328</v>
      </c>
      <c r="I15" s="46">
        <v>336</v>
      </c>
      <c r="J15" s="46">
        <v>353</v>
      </c>
      <c r="K15" s="46">
        <v>436</v>
      </c>
      <c r="L15" s="46">
        <v>385</v>
      </c>
      <c r="M15" s="46">
        <v>386</v>
      </c>
      <c r="N15" s="46">
        <v>395</v>
      </c>
      <c r="O15" s="46">
        <v>461</v>
      </c>
      <c r="P15" s="46">
        <v>451</v>
      </c>
      <c r="Q15" s="46">
        <v>415</v>
      </c>
      <c r="R15" s="46">
        <v>437</v>
      </c>
      <c r="S15" s="46">
        <v>497</v>
      </c>
      <c r="T15" s="46">
        <v>509</v>
      </c>
      <c r="U15" s="46">
        <v>545</v>
      </c>
      <c r="V15" s="46">
        <v>548</v>
      </c>
      <c r="W15" s="46">
        <v>581</v>
      </c>
      <c r="X15" s="46">
        <v>544</v>
      </c>
      <c r="Y15" s="46">
        <v>497</v>
      </c>
      <c r="Z15" s="1">
        <v>516</v>
      </c>
      <c r="AA15" s="1">
        <v>567</v>
      </c>
      <c r="AB15" s="1">
        <v>561</v>
      </c>
      <c r="AC15" s="1">
        <v>544</v>
      </c>
      <c r="AD15" s="1">
        <v>545</v>
      </c>
    </row>
    <row r="16" spans="1:41">
      <c r="A16" s="42" t="s">
        <v>28</v>
      </c>
      <c r="B16" s="46">
        <v>669</v>
      </c>
      <c r="C16" s="46">
        <v>650</v>
      </c>
      <c r="D16" s="46">
        <v>696</v>
      </c>
      <c r="E16" s="46">
        <v>686</v>
      </c>
      <c r="F16" s="46">
        <v>683</v>
      </c>
      <c r="G16" s="46">
        <v>709</v>
      </c>
      <c r="H16" s="46">
        <v>710</v>
      </c>
      <c r="I16" s="46">
        <v>700</v>
      </c>
      <c r="J16" s="46">
        <v>811</v>
      </c>
      <c r="K16" s="46">
        <v>814</v>
      </c>
      <c r="L16" s="46">
        <v>842</v>
      </c>
      <c r="M16" s="46">
        <v>898</v>
      </c>
      <c r="N16" s="46">
        <v>836</v>
      </c>
      <c r="O16" s="46">
        <v>864</v>
      </c>
      <c r="P16" s="46">
        <v>871</v>
      </c>
      <c r="Q16" s="46">
        <v>859</v>
      </c>
      <c r="R16" s="46">
        <v>891</v>
      </c>
      <c r="S16" s="46">
        <v>947</v>
      </c>
      <c r="T16" s="46">
        <v>998</v>
      </c>
      <c r="U16" s="46">
        <v>1020</v>
      </c>
      <c r="V16" s="46">
        <v>1026</v>
      </c>
      <c r="W16" s="46">
        <v>1014</v>
      </c>
      <c r="X16" s="46">
        <v>1058</v>
      </c>
      <c r="Y16" s="46">
        <v>1189</v>
      </c>
      <c r="Z16" s="1">
        <v>1208</v>
      </c>
      <c r="AA16" s="1">
        <v>1235</v>
      </c>
      <c r="AB16" s="1">
        <v>1266</v>
      </c>
      <c r="AC16" s="1">
        <v>1279</v>
      </c>
      <c r="AD16" s="1">
        <v>1313</v>
      </c>
    </row>
    <row r="17" spans="1:30">
      <c r="A17" s="42" t="s">
        <v>29</v>
      </c>
      <c r="B17" s="46">
        <v>614</v>
      </c>
      <c r="C17" s="46">
        <v>622</v>
      </c>
      <c r="D17" s="46">
        <v>613</v>
      </c>
      <c r="E17" s="46">
        <v>547</v>
      </c>
      <c r="F17" s="46">
        <v>576</v>
      </c>
      <c r="G17" s="46">
        <v>602</v>
      </c>
      <c r="H17" s="46">
        <v>501</v>
      </c>
      <c r="I17" s="46">
        <v>587</v>
      </c>
      <c r="J17" s="46">
        <v>564</v>
      </c>
      <c r="K17" s="46">
        <v>518</v>
      </c>
      <c r="L17" s="46">
        <v>614</v>
      </c>
      <c r="M17" s="46">
        <v>729</v>
      </c>
      <c r="N17" s="46">
        <v>745</v>
      </c>
      <c r="O17" s="46">
        <v>711</v>
      </c>
      <c r="P17" s="46">
        <v>731</v>
      </c>
      <c r="Q17" s="46">
        <v>755</v>
      </c>
      <c r="R17" s="46">
        <v>739</v>
      </c>
      <c r="S17" s="46">
        <v>768</v>
      </c>
      <c r="T17" s="46">
        <v>800</v>
      </c>
      <c r="U17" s="46">
        <v>866</v>
      </c>
      <c r="V17" s="46">
        <v>862</v>
      </c>
      <c r="W17" s="46">
        <v>855</v>
      </c>
      <c r="X17" s="46">
        <v>843</v>
      </c>
      <c r="Y17" s="46">
        <v>855</v>
      </c>
      <c r="Z17" s="1">
        <v>864</v>
      </c>
      <c r="AA17" s="1">
        <v>919</v>
      </c>
      <c r="AB17" s="1">
        <v>826</v>
      </c>
      <c r="AC17" s="1">
        <v>865</v>
      </c>
      <c r="AD17" s="1">
        <v>868</v>
      </c>
    </row>
    <row r="18" spans="1:30">
      <c r="A18" s="42" t="s">
        <v>30</v>
      </c>
      <c r="B18" s="46">
        <v>514</v>
      </c>
      <c r="C18" s="46">
        <v>507</v>
      </c>
      <c r="D18" s="46">
        <v>528</v>
      </c>
      <c r="E18" s="46">
        <v>513</v>
      </c>
      <c r="F18" s="46">
        <v>506</v>
      </c>
      <c r="G18" s="46">
        <v>539</v>
      </c>
      <c r="H18" s="46">
        <v>534</v>
      </c>
      <c r="I18" s="46">
        <v>559</v>
      </c>
      <c r="J18" s="46">
        <v>564</v>
      </c>
      <c r="K18" s="46">
        <v>584</v>
      </c>
      <c r="L18" s="46">
        <v>593</v>
      </c>
      <c r="M18" s="46">
        <v>574</v>
      </c>
      <c r="N18" s="46">
        <v>619</v>
      </c>
      <c r="O18" s="46">
        <v>628</v>
      </c>
      <c r="P18" s="46">
        <v>664</v>
      </c>
      <c r="Q18" s="46">
        <v>665</v>
      </c>
      <c r="R18" s="46">
        <v>663</v>
      </c>
      <c r="S18" s="46">
        <v>701</v>
      </c>
      <c r="T18" s="46">
        <v>661</v>
      </c>
      <c r="U18" s="46">
        <v>703</v>
      </c>
      <c r="V18" s="46">
        <v>674</v>
      </c>
      <c r="W18" s="46">
        <v>700</v>
      </c>
      <c r="X18" s="46">
        <v>703</v>
      </c>
      <c r="Y18" s="46">
        <v>701</v>
      </c>
      <c r="Z18" s="1">
        <v>743</v>
      </c>
      <c r="AA18" s="1">
        <v>757</v>
      </c>
      <c r="AB18" s="1">
        <v>769</v>
      </c>
      <c r="AC18" s="1">
        <v>804</v>
      </c>
      <c r="AD18" s="1">
        <v>820</v>
      </c>
    </row>
    <row r="19" spans="1:30">
      <c r="A19" s="42" t="s">
        <v>31</v>
      </c>
      <c r="B19" s="46">
        <v>660</v>
      </c>
      <c r="C19" s="46">
        <v>701</v>
      </c>
      <c r="D19" s="46">
        <v>671</v>
      </c>
      <c r="E19" s="46">
        <v>644</v>
      </c>
      <c r="F19" s="46">
        <v>655</v>
      </c>
      <c r="G19" s="46">
        <v>704</v>
      </c>
      <c r="H19" s="46">
        <v>691</v>
      </c>
      <c r="I19" s="46">
        <v>692</v>
      </c>
      <c r="J19" s="46">
        <v>749</v>
      </c>
      <c r="K19" s="46">
        <v>740</v>
      </c>
      <c r="L19" s="46">
        <v>779</v>
      </c>
      <c r="M19" s="46">
        <v>743</v>
      </c>
      <c r="N19" s="46">
        <v>724</v>
      </c>
      <c r="O19" s="46">
        <v>723</v>
      </c>
      <c r="P19" s="46">
        <v>739</v>
      </c>
      <c r="Q19" s="46">
        <v>712</v>
      </c>
      <c r="R19" s="46">
        <v>775</v>
      </c>
      <c r="S19" s="46">
        <v>830</v>
      </c>
      <c r="T19" s="46">
        <v>942</v>
      </c>
      <c r="U19" s="46">
        <v>939</v>
      </c>
      <c r="V19" s="46">
        <v>992</v>
      </c>
      <c r="W19" s="46">
        <v>977</v>
      </c>
      <c r="X19" s="46">
        <v>924</v>
      </c>
      <c r="Y19" s="46">
        <v>936</v>
      </c>
      <c r="Z19" s="1">
        <v>915</v>
      </c>
      <c r="AA19" s="1">
        <v>906</v>
      </c>
      <c r="AB19" s="1">
        <v>928</v>
      </c>
      <c r="AC19" s="1">
        <v>920</v>
      </c>
      <c r="AD19" s="1">
        <v>946</v>
      </c>
    </row>
    <row r="20" spans="1:30">
      <c r="A20" s="42" t="s">
        <v>32</v>
      </c>
      <c r="B20" s="46">
        <v>2576</v>
      </c>
      <c r="C20" s="46">
        <v>2538</v>
      </c>
      <c r="D20" s="46">
        <v>2582</v>
      </c>
      <c r="E20" s="46">
        <v>2664</v>
      </c>
      <c r="F20" s="46">
        <v>2656</v>
      </c>
      <c r="G20" s="46">
        <v>2577</v>
      </c>
      <c r="H20" s="46">
        <v>2615</v>
      </c>
      <c r="I20" s="46">
        <v>2851</v>
      </c>
      <c r="J20" s="46">
        <v>2781</v>
      </c>
      <c r="K20" s="46">
        <v>2910</v>
      </c>
      <c r="L20" s="46">
        <v>2879</v>
      </c>
      <c r="M20" s="46">
        <v>3050</v>
      </c>
      <c r="N20" s="46">
        <v>3061</v>
      </c>
      <c r="O20" s="46">
        <v>3305</v>
      </c>
      <c r="P20" s="46">
        <v>3169</v>
      </c>
      <c r="Q20" s="46">
        <v>3239</v>
      </c>
      <c r="R20" s="46">
        <v>3257</v>
      </c>
      <c r="S20" s="46">
        <v>3264</v>
      </c>
      <c r="T20" s="46">
        <v>3653</v>
      </c>
      <c r="U20" s="46">
        <v>3772</v>
      </c>
      <c r="V20" s="46">
        <v>3845</v>
      </c>
      <c r="W20" s="46">
        <v>1858</v>
      </c>
      <c r="X20" s="46">
        <v>2395</v>
      </c>
      <c r="Y20" s="46">
        <v>2346</v>
      </c>
      <c r="Z20" s="1">
        <v>4325</v>
      </c>
      <c r="AA20" s="1">
        <v>4361</v>
      </c>
      <c r="AB20" s="1">
        <v>4441</v>
      </c>
      <c r="AC20" s="1">
        <v>4554</v>
      </c>
      <c r="AD20" s="1">
        <v>4642</v>
      </c>
    </row>
    <row r="21" spans="1:30">
      <c r="A21" s="42" t="s">
        <v>33</v>
      </c>
      <c r="B21" s="46">
        <v>1153</v>
      </c>
      <c r="C21" s="46">
        <v>1205</v>
      </c>
      <c r="D21" s="46">
        <v>1195</v>
      </c>
      <c r="E21" s="46">
        <v>1234</v>
      </c>
      <c r="F21" s="46">
        <v>1208</v>
      </c>
      <c r="G21" s="46">
        <v>1172</v>
      </c>
      <c r="H21" s="46">
        <v>1210</v>
      </c>
      <c r="I21" s="46">
        <v>1235</v>
      </c>
      <c r="J21" s="46">
        <v>1254</v>
      </c>
      <c r="K21" s="46">
        <v>1254</v>
      </c>
      <c r="L21" s="46">
        <v>1325</v>
      </c>
      <c r="M21" s="46">
        <v>1274</v>
      </c>
      <c r="N21" s="46">
        <v>1341</v>
      </c>
      <c r="O21" s="46">
        <v>1324</v>
      </c>
      <c r="P21" s="46">
        <v>1400</v>
      </c>
      <c r="Q21" s="46">
        <v>1354</v>
      </c>
      <c r="R21" s="46">
        <v>1474</v>
      </c>
      <c r="S21" s="46">
        <v>1490</v>
      </c>
      <c r="T21" s="46">
        <v>1517</v>
      </c>
      <c r="U21" s="46">
        <v>1456</v>
      </c>
      <c r="V21" s="46">
        <v>1510</v>
      </c>
      <c r="W21" s="46">
        <v>1724</v>
      </c>
      <c r="X21" s="46">
        <v>1620</v>
      </c>
      <c r="Y21" s="46">
        <v>1617</v>
      </c>
      <c r="Z21" s="1">
        <v>1607</v>
      </c>
      <c r="AA21" s="1">
        <v>1609</v>
      </c>
      <c r="AB21" s="1">
        <v>1632</v>
      </c>
      <c r="AC21" s="1">
        <v>1720</v>
      </c>
      <c r="AD21" s="1">
        <v>1697</v>
      </c>
    </row>
    <row r="22" spans="1:30">
      <c r="A22" s="47" t="s">
        <v>34</v>
      </c>
      <c r="B22" s="48">
        <v>329</v>
      </c>
      <c r="C22" s="48">
        <v>308</v>
      </c>
      <c r="D22" s="48">
        <v>329</v>
      </c>
      <c r="E22" s="48">
        <v>320</v>
      </c>
      <c r="F22" s="48">
        <v>367</v>
      </c>
      <c r="G22" s="48">
        <v>358</v>
      </c>
      <c r="H22" s="48">
        <v>350</v>
      </c>
      <c r="I22" s="48">
        <v>358</v>
      </c>
      <c r="J22" s="48">
        <v>382</v>
      </c>
      <c r="K22" s="48">
        <v>391</v>
      </c>
      <c r="L22" s="48">
        <v>376</v>
      </c>
      <c r="M22" s="48">
        <v>471</v>
      </c>
      <c r="N22" s="48">
        <v>453</v>
      </c>
      <c r="O22" s="48">
        <v>449</v>
      </c>
      <c r="P22" s="48">
        <v>479</v>
      </c>
      <c r="Q22" s="48">
        <v>542</v>
      </c>
      <c r="R22" s="48">
        <v>492</v>
      </c>
      <c r="S22" s="48">
        <v>518</v>
      </c>
      <c r="T22" s="48">
        <v>694</v>
      </c>
      <c r="U22" s="48">
        <v>712</v>
      </c>
      <c r="V22" s="46">
        <v>701</v>
      </c>
      <c r="W22" s="46">
        <v>731</v>
      </c>
      <c r="X22" s="46">
        <v>719</v>
      </c>
      <c r="Y22" s="46">
        <v>737</v>
      </c>
      <c r="Z22" s="3">
        <v>815</v>
      </c>
      <c r="AA22" s="3">
        <v>836</v>
      </c>
      <c r="AB22" s="3">
        <v>806</v>
      </c>
      <c r="AC22" s="3">
        <v>789</v>
      </c>
      <c r="AD22" s="1">
        <v>814</v>
      </c>
    </row>
    <row r="23" spans="1:30">
      <c r="A23" s="42" t="s">
        <v>35</v>
      </c>
      <c r="B23" s="43">
        <f t="shared" ref="B23:S23" si="9">SUM(B25:B37)</f>
        <v>4674</v>
      </c>
      <c r="C23" s="43">
        <f t="shared" si="9"/>
        <v>4660</v>
      </c>
      <c r="D23" s="43">
        <f t="shared" si="9"/>
        <v>4647</v>
      </c>
      <c r="E23" s="43">
        <f t="shared" si="9"/>
        <v>4755</v>
      </c>
      <c r="F23" s="43">
        <f t="shared" si="9"/>
        <v>4698</v>
      </c>
      <c r="G23" s="43">
        <f t="shared" si="9"/>
        <v>4762</v>
      </c>
      <c r="H23" s="43">
        <f t="shared" si="9"/>
        <v>4662</v>
      </c>
      <c r="I23" s="43">
        <f t="shared" si="9"/>
        <v>4991</v>
      </c>
      <c r="J23" s="43">
        <f t="shared" si="9"/>
        <v>4730</v>
      </c>
      <c r="K23" s="43">
        <f t="shared" si="9"/>
        <v>4980</v>
      </c>
      <c r="L23" s="43">
        <f t="shared" si="9"/>
        <v>5154</v>
      </c>
      <c r="M23" s="43">
        <f t="shared" si="9"/>
        <v>5533</v>
      </c>
      <c r="N23" s="43">
        <f t="shared" si="9"/>
        <v>5622</v>
      </c>
      <c r="O23" s="43">
        <f t="shared" si="9"/>
        <v>5756</v>
      </c>
      <c r="P23" s="43">
        <f t="shared" si="9"/>
        <v>5952</v>
      </c>
      <c r="Q23" s="43">
        <f t="shared" si="9"/>
        <v>6233</v>
      </c>
      <c r="R23" s="43">
        <f t="shared" si="9"/>
        <v>6199</v>
      </c>
      <c r="S23" s="43">
        <f t="shared" si="9"/>
        <v>6221</v>
      </c>
      <c r="T23" s="43">
        <f>SUM(T25:T37)</f>
        <v>6727</v>
      </c>
      <c r="U23" s="43">
        <f>SUM(U25:U37)</f>
        <v>7107</v>
      </c>
      <c r="V23" s="43">
        <f>SUM(V25:V37)</f>
        <v>7486</v>
      </c>
      <c r="W23" s="43">
        <f>SUM(W25:W37)</f>
        <v>7731</v>
      </c>
      <c r="X23" s="43">
        <f t="shared" ref="X23:AC23" si="10">SUM(X25:X37)</f>
        <v>7756</v>
      </c>
      <c r="Y23" s="43">
        <f t="shared" si="10"/>
        <v>7832</v>
      </c>
      <c r="Z23" s="43">
        <f t="shared" si="10"/>
        <v>7580</v>
      </c>
      <c r="AA23" s="43">
        <f t="shared" si="10"/>
        <v>7859</v>
      </c>
      <c r="AB23" s="43">
        <f t="shared" si="10"/>
        <v>7977</v>
      </c>
      <c r="AC23" s="43">
        <f t="shared" si="10"/>
        <v>8075</v>
      </c>
      <c r="AD23" s="43">
        <f t="shared" ref="AD23" si="11">SUM(AD25:AD37)</f>
        <v>8314</v>
      </c>
    </row>
    <row r="24" spans="1:30">
      <c r="A24" s="44" t="s">
        <v>131</v>
      </c>
      <c r="B24" s="45">
        <f t="shared" ref="B24:S24" si="12">(B23/B4)*100</f>
        <v>16.011235955056179</v>
      </c>
      <c r="C24" s="45">
        <f t="shared" si="12"/>
        <v>16.265270506108205</v>
      </c>
      <c r="D24" s="45">
        <f t="shared" si="12"/>
        <v>15.921471888169393</v>
      </c>
      <c r="E24" s="45">
        <f t="shared" si="12"/>
        <v>16.133410239880568</v>
      </c>
      <c r="F24" s="45">
        <f t="shared" si="12"/>
        <v>15.825108633408563</v>
      </c>
      <c r="G24" s="45">
        <f t="shared" si="12"/>
        <v>16.026115635727265</v>
      </c>
      <c r="H24" s="45">
        <f t="shared" si="12"/>
        <v>15.683240261050932</v>
      </c>
      <c r="I24" s="45">
        <f t="shared" si="12"/>
        <v>16.059075259821746</v>
      </c>
      <c r="J24" s="45">
        <f t="shared" si="12"/>
        <v>15.144238465725355</v>
      </c>
      <c r="K24" s="45">
        <f t="shared" si="12"/>
        <v>15.71324898242514</v>
      </c>
      <c r="L24" s="45">
        <f t="shared" si="12"/>
        <v>15.9828821285701</v>
      </c>
      <c r="M24" s="45">
        <f t="shared" si="12"/>
        <v>16.492294852305584</v>
      </c>
      <c r="N24" s="45">
        <f t="shared" si="12"/>
        <v>16.29612452534856</v>
      </c>
      <c r="O24" s="45">
        <f t="shared" si="12"/>
        <v>16.092596734511293</v>
      </c>
      <c r="P24" s="45">
        <f t="shared" si="12"/>
        <v>16.410708869833744</v>
      </c>
      <c r="Q24" s="45">
        <f t="shared" si="12"/>
        <v>16.912223578890245</v>
      </c>
      <c r="R24" s="45">
        <f t="shared" si="12"/>
        <v>16.436431128198329</v>
      </c>
      <c r="S24" s="45">
        <f t="shared" si="12"/>
        <v>16.087406258081199</v>
      </c>
      <c r="T24" s="45">
        <f>(T23/T4)*100</f>
        <v>16.046467248699965</v>
      </c>
      <c r="U24" s="45">
        <f>(U23/U4)*100</f>
        <v>16.309810671256457</v>
      </c>
      <c r="V24" s="45">
        <f>(V23/V4)*100</f>
        <v>16.724754244861483</v>
      </c>
      <c r="W24" s="45">
        <f>(W23/W4)*100</f>
        <v>18.074063683546079</v>
      </c>
      <c r="X24" s="45">
        <f t="shared" ref="X24:AC24" si="13">(X23/X4)*100</f>
        <v>17.626070949707977</v>
      </c>
      <c r="Y24" s="45">
        <f t="shared" si="13"/>
        <v>17.722263706921911</v>
      </c>
      <c r="Z24" s="45">
        <f t="shared" si="13"/>
        <v>16.323893614730267</v>
      </c>
      <c r="AA24" s="45">
        <f t="shared" si="13"/>
        <v>16.61276343881455</v>
      </c>
      <c r="AB24" s="45">
        <f t="shared" si="13"/>
        <v>16.641979429620513</v>
      </c>
      <c r="AC24" s="45">
        <f t="shared" si="13"/>
        <v>16.421613487076243</v>
      </c>
      <c r="AD24" s="45">
        <f t="shared" ref="AD24" si="14">(AD23/AD4)*100</f>
        <v>16.574629692390502</v>
      </c>
    </row>
    <row r="25" spans="1:30">
      <c r="A25" s="42" t="s">
        <v>36</v>
      </c>
      <c r="B25" s="46"/>
      <c r="C25" s="46"/>
      <c r="D25" s="46"/>
      <c r="E25" s="46"/>
      <c r="F25" s="46"/>
      <c r="G25" s="46"/>
      <c r="H25" s="46"/>
      <c r="I25" s="46"/>
      <c r="J25" s="46"/>
      <c r="K25" s="46">
        <v>0</v>
      </c>
      <c r="L25" s="46">
        <v>0</v>
      </c>
      <c r="M25" s="46"/>
      <c r="N25" s="46"/>
      <c r="O25" s="46"/>
      <c r="P25" s="46"/>
      <c r="Q25" s="46"/>
      <c r="R25" s="46"/>
      <c r="S25" s="46"/>
      <c r="T25" s="46">
        <v>0</v>
      </c>
      <c r="U25" s="46"/>
      <c r="V25" s="46"/>
      <c r="W25" s="46"/>
      <c r="X25" s="46"/>
      <c r="Y25" s="46"/>
    </row>
    <row r="26" spans="1:30">
      <c r="A26" s="42" t="s">
        <v>38</v>
      </c>
      <c r="B26" s="46">
        <v>352</v>
      </c>
      <c r="C26" s="46">
        <v>404</v>
      </c>
      <c r="D26" s="46">
        <v>423</v>
      </c>
      <c r="E26" s="46">
        <v>436</v>
      </c>
      <c r="F26" s="46">
        <v>462</v>
      </c>
      <c r="G26" s="46">
        <v>445</v>
      </c>
      <c r="H26" s="46">
        <v>454</v>
      </c>
      <c r="I26" s="46">
        <v>462</v>
      </c>
      <c r="J26" s="46">
        <v>438</v>
      </c>
      <c r="K26" s="46">
        <v>461</v>
      </c>
      <c r="L26" s="46">
        <v>466</v>
      </c>
      <c r="M26" s="46">
        <v>490</v>
      </c>
      <c r="N26" s="46">
        <v>473</v>
      </c>
      <c r="O26" s="46">
        <v>474</v>
      </c>
      <c r="P26" s="46">
        <v>483</v>
      </c>
      <c r="Q26" s="46">
        <v>552</v>
      </c>
      <c r="R26" s="46">
        <v>564</v>
      </c>
      <c r="S26" s="46">
        <v>524</v>
      </c>
      <c r="T26" s="46">
        <v>565</v>
      </c>
      <c r="U26" s="46">
        <v>621</v>
      </c>
      <c r="V26" s="46">
        <v>671</v>
      </c>
      <c r="W26" s="46">
        <v>664</v>
      </c>
      <c r="X26" s="46">
        <v>666</v>
      </c>
      <c r="Y26" s="46">
        <v>709</v>
      </c>
      <c r="Z26" s="1">
        <v>661</v>
      </c>
      <c r="AA26" s="1">
        <v>802</v>
      </c>
      <c r="AB26" s="1">
        <v>905</v>
      </c>
      <c r="AC26" s="1">
        <v>941</v>
      </c>
      <c r="AD26" s="1">
        <v>910</v>
      </c>
    </row>
    <row r="27" spans="1:30">
      <c r="A27" s="42" t="s">
        <v>39</v>
      </c>
      <c r="B27" s="46">
        <v>2333</v>
      </c>
      <c r="C27" s="46">
        <v>2201</v>
      </c>
      <c r="D27" s="46">
        <v>2179</v>
      </c>
      <c r="E27" s="46">
        <v>2230</v>
      </c>
      <c r="F27" s="46">
        <v>2182</v>
      </c>
      <c r="G27" s="46">
        <v>2200</v>
      </c>
      <c r="H27" s="46">
        <v>2093</v>
      </c>
      <c r="I27" s="46">
        <v>2351</v>
      </c>
      <c r="J27" s="46">
        <v>2096</v>
      </c>
      <c r="K27" s="46">
        <v>2230</v>
      </c>
      <c r="L27" s="46">
        <v>2201</v>
      </c>
      <c r="M27" s="46">
        <v>2285</v>
      </c>
      <c r="N27" s="46">
        <v>2333</v>
      </c>
      <c r="O27" s="46">
        <v>2309</v>
      </c>
      <c r="P27" s="46">
        <v>2349</v>
      </c>
      <c r="Q27" s="46">
        <v>2396</v>
      </c>
      <c r="R27" s="46">
        <v>2369</v>
      </c>
      <c r="S27" s="46">
        <v>2379</v>
      </c>
      <c r="T27" s="46">
        <v>2542</v>
      </c>
      <c r="U27" s="46">
        <v>2654</v>
      </c>
      <c r="V27" s="46">
        <v>2785</v>
      </c>
      <c r="W27" s="46">
        <v>2786</v>
      </c>
      <c r="X27" s="46">
        <v>2786</v>
      </c>
      <c r="Y27" s="46">
        <v>2651</v>
      </c>
      <c r="Z27" s="1">
        <v>2784</v>
      </c>
      <c r="AA27" s="1">
        <v>2809</v>
      </c>
      <c r="AB27" s="1">
        <v>2800</v>
      </c>
      <c r="AC27" s="1">
        <v>2826</v>
      </c>
      <c r="AD27" s="1">
        <v>2842</v>
      </c>
    </row>
    <row r="28" spans="1:30">
      <c r="A28" s="42" t="s">
        <v>40</v>
      </c>
      <c r="B28" s="46">
        <v>440</v>
      </c>
      <c r="C28" s="46">
        <v>450</v>
      </c>
      <c r="D28" s="46">
        <v>441</v>
      </c>
      <c r="E28" s="46">
        <v>444</v>
      </c>
      <c r="F28" s="46">
        <v>428</v>
      </c>
      <c r="G28" s="46">
        <v>463</v>
      </c>
      <c r="H28" s="46">
        <v>436</v>
      </c>
      <c r="I28" s="46">
        <v>458</v>
      </c>
      <c r="J28" s="46">
        <v>466</v>
      </c>
      <c r="K28" s="46">
        <v>512</v>
      </c>
      <c r="L28" s="46">
        <v>513</v>
      </c>
      <c r="M28" s="46">
        <v>530</v>
      </c>
      <c r="N28" s="46">
        <v>518</v>
      </c>
      <c r="O28" s="46">
        <v>617</v>
      </c>
      <c r="P28" s="46">
        <v>614</v>
      </c>
      <c r="Q28" s="46">
        <v>644</v>
      </c>
      <c r="R28" s="46">
        <v>749</v>
      </c>
      <c r="S28" s="46">
        <v>662</v>
      </c>
      <c r="T28" s="46">
        <v>786</v>
      </c>
      <c r="U28" s="46">
        <v>774</v>
      </c>
      <c r="V28" s="46">
        <v>842</v>
      </c>
      <c r="W28" s="46">
        <v>873</v>
      </c>
      <c r="X28" s="46">
        <v>842</v>
      </c>
      <c r="Y28" s="46">
        <v>854</v>
      </c>
      <c r="Z28" s="1">
        <v>886</v>
      </c>
      <c r="AA28" s="1">
        <v>872</v>
      </c>
      <c r="AB28" s="1">
        <v>905</v>
      </c>
      <c r="AC28" s="1">
        <v>838</v>
      </c>
      <c r="AD28" s="1">
        <v>899</v>
      </c>
    </row>
    <row r="29" spans="1:30">
      <c r="A29" s="42" t="s">
        <v>41</v>
      </c>
      <c r="B29" s="46">
        <v>137</v>
      </c>
      <c r="C29" s="46">
        <v>126</v>
      </c>
      <c r="D29" s="46">
        <v>116</v>
      </c>
      <c r="E29" s="46">
        <v>115</v>
      </c>
      <c r="F29" s="46">
        <v>133</v>
      </c>
      <c r="G29" s="46">
        <v>121</v>
      </c>
      <c r="H29" s="46">
        <v>122</v>
      </c>
      <c r="I29" s="46">
        <v>129</v>
      </c>
      <c r="J29" s="46">
        <v>128</v>
      </c>
      <c r="K29" s="46">
        <v>127</v>
      </c>
      <c r="L29" s="46">
        <v>128</v>
      </c>
      <c r="M29" s="46">
        <v>125</v>
      </c>
      <c r="N29" s="46">
        <v>143</v>
      </c>
      <c r="O29" s="46">
        <v>154</v>
      </c>
      <c r="P29" s="46">
        <v>165</v>
      </c>
      <c r="Q29" s="46">
        <v>171</v>
      </c>
      <c r="R29" s="46">
        <v>154</v>
      </c>
      <c r="S29" s="46">
        <v>148</v>
      </c>
      <c r="T29" s="46">
        <v>167</v>
      </c>
      <c r="U29" s="46">
        <v>244</v>
      </c>
      <c r="V29" s="46">
        <v>297</v>
      </c>
      <c r="W29" s="46">
        <v>278</v>
      </c>
      <c r="X29" s="46">
        <v>273</v>
      </c>
      <c r="Y29" s="46">
        <v>340</v>
      </c>
      <c r="Z29" s="1">
        <v>266</v>
      </c>
      <c r="AA29" s="1">
        <v>288</v>
      </c>
      <c r="AB29" s="1">
        <v>307</v>
      </c>
      <c r="AC29" s="1">
        <v>272</v>
      </c>
      <c r="AD29" s="1">
        <v>289</v>
      </c>
    </row>
    <row r="30" spans="1:30">
      <c r="A30" s="42" t="s">
        <v>42</v>
      </c>
      <c r="B30" s="46">
        <v>68</v>
      </c>
      <c r="C30" s="46">
        <v>71</v>
      </c>
      <c r="D30" s="46">
        <v>135</v>
      </c>
      <c r="E30" s="46">
        <v>146</v>
      </c>
      <c r="F30" s="46">
        <v>148</v>
      </c>
      <c r="G30" s="46">
        <v>167</v>
      </c>
      <c r="H30" s="46">
        <v>157</v>
      </c>
      <c r="I30" s="46">
        <v>168</v>
      </c>
      <c r="J30" s="46">
        <v>153</v>
      </c>
      <c r="K30" s="46">
        <v>154</v>
      </c>
      <c r="L30" s="46">
        <v>174</v>
      </c>
      <c r="M30" s="46">
        <v>154</v>
      </c>
      <c r="N30" s="46">
        <v>161</v>
      </c>
      <c r="O30" s="46">
        <v>163</v>
      </c>
      <c r="P30" s="46">
        <v>152</v>
      </c>
      <c r="Q30" s="46">
        <v>171</v>
      </c>
      <c r="R30" s="46">
        <v>165</v>
      </c>
      <c r="S30" s="46">
        <v>163</v>
      </c>
      <c r="T30" s="46">
        <v>197</v>
      </c>
      <c r="U30" s="46">
        <v>206</v>
      </c>
      <c r="V30" s="46">
        <v>220</v>
      </c>
      <c r="W30" s="46">
        <v>236</v>
      </c>
      <c r="X30" s="46">
        <v>249</v>
      </c>
      <c r="Y30" s="46">
        <v>237</v>
      </c>
      <c r="Z30" s="1">
        <v>266</v>
      </c>
      <c r="AA30" s="1">
        <v>234</v>
      </c>
      <c r="AB30" s="1">
        <v>248</v>
      </c>
      <c r="AC30" s="1">
        <v>237</v>
      </c>
      <c r="AD30" s="1">
        <v>246</v>
      </c>
    </row>
    <row r="31" spans="1:30">
      <c r="A31" s="42" t="s">
        <v>43</v>
      </c>
      <c r="B31" s="46">
        <v>74</v>
      </c>
      <c r="C31" s="46">
        <v>78</v>
      </c>
      <c r="D31" s="46">
        <v>70</v>
      </c>
      <c r="E31" s="46">
        <v>68</v>
      </c>
      <c r="F31" s="46">
        <v>70</v>
      </c>
      <c r="G31" s="46">
        <v>78</v>
      </c>
      <c r="H31" s="46">
        <v>75</v>
      </c>
      <c r="I31" s="46">
        <v>75</v>
      </c>
      <c r="J31" s="46">
        <v>68</v>
      </c>
      <c r="K31" s="46">
        <v>80</v>
      </c>
      <c r="L31" s="46">
        <v>70</v>
      </c>
      <c r="M31" s="46">
        <v>118</v>
      </c>
      <c r="N31" s="46">
        <v>134</v>
      </c>
      <c r="O31" s="46">
        <v>129</v>
      </c>
      <c r="P31" s="46">
        <v>136</v>
      </c>
      <c r="Q31" s="46">
        <v>136</v>
      </c>
      <c r="R31" s="46">
        <v>141</v>
      </c>
      <c r="S31" s="46">
        <v>140</v>
      </c>
      <c r="T31" s="46">
        <v>216</v>
      </c>
      <c r="U31" s="46">
        <v>256</v>
      </c>
      <c r="V31" s="46">
        <v>275</v>
      </c>
      <c r="W31" s="46">
        <v>297</v>
      </c>
      <c r="X31" s="46">
        <v>313</v>
      </c>
      <c r="Y31" s="46">
        <v>329</v>
      </c>
      <c r="Z31" s="1">
        <v>312</v>
      </c>
      <c r="AA31" s="1">
        <v>367</v>
      </c>
      <c r="AB31" s="1">
        <v>325</v>
      </c>
      <c r="AC31" s="1">
        <v>392</v>
      </c>
      <c r="AD31" s="1">
        <v>465</v>
      </c>
    </row>
    <row r="32" spans="1:30">
      <c r="A32" s="42" t="s">
        <v>44</v>
      </c>
      <c r="B32" s="46">
        <v>42</v>
      </c>
      <c r="C32" s="46">
        <v>46</v>
      </c>
      <c r="D32" s="46">
        <v>44</v>
      </c>
      <c r="E32" s="46">
        <v>54</v>
      </c>
      <c r="F32" s="46">
        <v>39</v>
      </c>
      <c r="G32" s="46">
        <v>54</v>
      </c>
      <c r="H32" s="46">
        <v>55</v>
      </c>
      <c r="I32" s="46">
        <v>47</v>
      </c>
      <c r="J32" s="46">
        <v>48</v>
      </c>
      <c r="K32" s="46">
        <v>52</v>
      </c>
      <c r="L32" s="46">
        <v>53</v>
      </c>
      <c r="M32" s="46">
        <v>178</v>
      </c>
      <c r="N32" s="46">
        <v>169</v>
      </c>
      <c r="O32" s="46">
        <v>180</v>
      </c>
      <c r="P32" s="46">
        <v>265</v>
      </c>
      <c r="Q32" s="46">
        <v>276</v>
      </c>
      <c r="R32" s="46">
        <v>248</v>
      </c>
      <c r="S32" s="46">
        <v>265</v>
      </c>
      <c r="T32" s="46">
        <v>278</v>
      </c>
      <c r="U32" s="46">
        <v>260</v>
      </c>
      <c r="V32" s="46">
        <v>309</v>
      </c>
      <c r="W32" s="46">
        <v>493</v>
      </c>
      <c r="X32" s="46">
        <v>504</v>
      </c>
      <c r="Y32" s="46">
        <v>602</v>
      </c>
      <c r="Z32" s="1">
        <v>254</v>
      </c>
      <c r="AA32" s="1">
        <v>266</v>
      </c>
      <c r="AB32" s="1">
        <v>240</v>
      </c>
      <c r="AC32" s="1">
        <v>281</v>
      </c>
      <c r="AD32" s="1">
        <v>270</v>
      </c>
    </row>
    <row r="33" spans="1:30">
      <c r="A33" s="42" t="s">
        <v>45</v>
      </c>
      <c r="B33" s="46">
        <v>170</v>
      </c>
      <c r="C33" s="46">
        <v>164</v>
      </c>
      <c r="D33" s="46">
        <v>176</v>
      </c>
      <c r="E33" s="46">
        <v>178</v>
      </c>
      <c r="F33" s="46">
        <v>192</v>
      </c>
      <c r="G33" s="46">
        <v>172</v>
      </c>
      <c r="H33" s="46">
        <v>192</v>
      </c>
      <c r="I33" s="46">
        <v>174</v>
      </c>
      <c r="J33" s="46">
        <v>185</v>
      </c>
      <c r="K33" s="46">
        <v>167</v>
      </c>
      <c r="L33" s="46">
        <v>226</v>
      </c>
      <c r="M33" s="46">
        <v>246</v>
      </c>
      <c r="N33" s="46">
        <v>243</v>
      </c>
      <c r="O33" s="46">
        <v>250</v>
      </c>
      <c r="P33" s="46">
        <v>250</v>
      </c>
      <c r="Q33" s="46">
        <v>293</v>
      </c>
      <c r="R33" s="46">
        <v>269</v>
      </c>
      <c r="S33" s="46">
        <v>272</v>
      </c>
      <c r="T33" s="46">
        <v>281</v>
      </c>
      <c r="U33" s="46">
        <v>303</v>
      </c>
      <c r="V33" s="46">
        <v>294</v>
      </c>
      <c r="W33" s="46">
        <v>285</v>
      </c>
      <c r="X33" s="46">
        <v>288</v>
      </c>
      <c r="Y33" s="46">
        <v>328</v>
      </c>
      <c r="Z33" s="1">
        <v>335</v>
      </c>
      <c r="AA33" s="1">
        <v>343</v>
      </c>
      <c r="AB33" s="1">
        <v>333</v>
      </c>
      <c r="AC33" s="1">
        <v>338</v>
      </c>
      <c r="AD33" s="1">
        <v>338</v>
      </c>
    </row>
    <row r="34" spans="1:30">
      <c r="A34" s="42" t="s">
        <v>46</v>
      </c>
      <c r="B34" s="46">
        <v>324</v>
      </c>
      <c r="C34" s="46">
        <v>329</v>
      </c>
      <c r="D34" s="46">
        <v>341</v>
      </c>
      <c r="E34" s="46">
        <v>354</v>
      </c>
      <c r="F34" s="46">
        <v>300</v>
      </c>
      <c r="G34" s="46">
        <v>321</v>
      </c>
      <c r="H34" s="46">
        <v>322</v>
      </c>
      <c r="I34" s="46">
        <v>348</v>
      </c>
      <c r="J34" s="46">
        <v>379</v>
      </c>
      <c r="K34" s="46">
        <v>356</v>
      </c>
      <c r="L34" s="46">
        <v>376</v>
      </c>
      <c r="M34" s="46">
        <v>409</v>
      </c>
      <c r="N34" s="46">
        <v>409</v>
      </c>
      <c r="O34" s="46">
        <v>439</v>
      </c>
      <c r="P34" s="46">
        <v>464</v>
      </c>
      <c r="Q34" s="46">
        <v>481</v>
      </c>
      <c r="R34" s="46">
        <v>462</v>
      </c>
      <c r="S34" s="46">
        <v>481</v>
      </c>
      <c r="T34" s="46">
        <v>510</v>
      </c>
      <c r="U34" s="46">
        <v>503</v>
      </c>
      <c r="V34" s="46">
        <v>506</v>
      </c>
      <c r="W34" s="46">
        <v>498</v>
      </c>
      <c r="X34" s="46">
        <v>552</v>
      </c>
      <c r="Y34" s="46">
        <v>489</v>
      </c>
      <c r="Z34" s="1">
        <v>517</v>
      </c>
      <c r="AA34" s="1">
        <v>468</v>
      </c>
      <c r="AB34" s="1">
        <v>497</v>
      </c>
      <c r="AC34" s="1">
        <v>480</v>
      </c>
      <c r="AD34" s="1">
        <v>520</v>
      </c>
    </row>
    <row r="35" spans="1:30">
      <c r="A35" s="42" t="s">
        <v>47</v>
      </c>
      <c r="B35" s="46">
        <v>217</v>
      </c>
      <c r="C35" s="46">
        <v>236</v>
      </c>
      <c r="D35" s="46">
        <v>214</v>
      </c>
      <c r="E35" s="46">
        <v>237</v>
      </c>
      <c r="F35" s="46">
        <v>223</v>
      </c>
      <c r="G35" s="46">
        <v>218</v>
      </c>
      <c r="H35" s="46">
        <v>225</v>
      </c>
      <c r="I35" s="46">
        <v>236</v>
      </c>
      <c r="J35" s="46">
        <v>237</v>
      </c>
      <c r="K35" s="46">
        <v>209</v>
      </c>
      <c r="L35" s="46">
        <v>240</v>
      </c>
      <c r="M35" s="46">
        <v>245</v>
      </c>
      <c r="N35" s="46">
        <v>260</v>
      </c>
      <c r="O35" s="46">
        <v>267</v>
      </c>
      <c r="P35" s="46">
        <v>277</v>
      </c>
      <c r="Q35" s="46">
        <v>277</v>
      </c>
      <c r="R35" s="46">
        <v>270</v>
      </c>
      <c r="S35" s="46">
        <v>372</v>
      </c>
      <c r="T35" s="46">
        <v>358</v>
      </c>
      <c r="U35" s="46">
        <v>425</v>
      </c>
      <c r="V35" s="46">
        <v>384</v>
      </c>
      <c r="W35" s="46">
        <v>406</v>
      </c>
      <c r="X35" s="46">
        <v>387</v>
      </c>
      <c r="Y35" s="46">
        <v>389</v>
      </c>
      <c r="Z35" s="1">
        <v>392</v>
      </c>
      <c r="AA35" s="1">
        <v>453</v>
      </c>
      <c r="AB35" s="1">
        <v>418</v>
      </c>
      <c r="AC35" s="1">
        <v>464</v>
      </c>
      <c r="AD35" s="1">
        <v>503</v>
      </c>
    </row>
    <row r="36" spans="1:30">
      <c r="A36" s="42" t="s">
        <v>48</v>
      </c>
      <c r="B36" s="46">
        <v>458</v>
      </c>
      <c r="C36" s="46">
        <v>486</v>
      </c>
      <c r="D36" s="46">
        <v>444</v>
      </c>
      <c r="E36" s="46">
        <v>424</v>
      </c>
      <c r="F36" s="46">
        <v>455</v>
      </c>
      <c r="G36" s="46">
        <v>453</v>
      </c>
      <c r="H36" s="46">
        <v>453</v>
      </c>
      <c r="I36" s="46">
        <v>475</v>
      </c>
      <c r="J36" s="46">
        <v>472</v>
      </c>
      <c r="K36" s="46">
        <v>566</v>
      </c>
      <c r="L36" s="46">
        <v>588</v>
      </c>
      <c r="M36" s="46">
        <v>649</v>
      </c>
      <c r="N36" s="46">
        <v>648</v>
      </c>
      <c r="O36" s="46">
        <v>649</v>
      </c>
      <c r="P36" s="46">
        <v>681</v>
      </c>
      <c r="Q36" s="46">
        <v>718</v>
      </c>
      <c r="R36" s="46">
        <v>691</v>
      </c>
      <c r="S36" s="46">
        <v>684</v>
      </c>
      <c r="T36" s="46">
        <v>717</v>
      </c>
      <c r="U36" s="46">
        <v>738</v>
      </c>
      <c r="V36" s="46">
        <v>778</v>
      </c>
      <c r="W36" s="46">
        <v>797</v>
      </c>
      <c r="X36" s="46">
        <v>781</v>
      </c>
      <c r="Y36" s="46">
        <v>775</v>
      </c>
      <c r="Z36" s="1">
        <v>790</v>
      </c>
      <c r="AA36" s="1">
        <v>831</v>
      </c>
      <c r="AB36" s="1">
        <v>850</v>
      </c>
      <c r="AC36" s="1">
        <v>874</v>
      </c>
      <c r="AD36" s="1">
        <v>917</v>
      </c>
    </row>
    <row r="37" spans="1:30">
      <c r="A37" s="47" t="s">
        <v>49</v>
      </c>
      <c r="B37" s="48">
        <v>59</v>
      </c>
      <c r="C37" s="48">
        <v>69</v>
      </c>
      <c r="D37" s="48">
        <v>64</v>
      </c>
      <c r="E37" s="48">
        <v>69</v>
      </c>
      <c r="F37" s="48">
        <v>66</v>
      </c>
      <c r="G37" s="48">
        <v>70</v>
      </c>
      <c r="H37" s="48">
        <v>78</v>
      </c>
      <c r="I37" s="48">
        <v>68</v>
      </c>
      <c r="J37" s="48">
        <v>60</v>
      </c>
      <c r="K37" s="48">
        <v>66</v>
      </c>
      <c r="L37" s="48">
        <v>119</v>
      </c>
      <c r="M37" s="48">
        <v>104</v>
      </c>
      <c r="N37" s="48">
        <v>131</v>
      </c>
      <c r="O37" s="48">
        <v>125</v>
      </c>
      <c r="P37" s="48">
        <v>116</v>
      </c>
      <c r="Q37" s="48">
        <v>118</v>
      </c>
      <c r="R37" s="48">
        <v>117</v>
      </c>
      <c r="S37" s="48">
        <v>131</v>
      </c>
      <c r="T37" s="48">
        <v>110</v>
      </c>
      <c r="U37" s="48">
        <v>123</v>
      </c>
      <c r="V37" s="46">
        <v>125</v>
      </c>
      <c r="W37" s="46">
        <v>118</v>
      </c>
      <c r="X37" s="46">
        <v>115</v>
      </c>
      <c r="Y37" s="46">
        <v>129</v>
      </c>
      <c r="Z37" s="1">
        <v>117</v>
      </c>
      <c r="AA37" s="1">
        <v>126</v>
      </c>
      <c r="AB37" s="1">
        <v>149</v>
      </c>
      <c r="AC37" s="1">
        <v>132</v>
      </c>
      <c r="AD37" s="1">
        <v>115</v>
      </c>
    </row>
    <row r="38" spans="1:30">
      <c r="A38" s="42" t="s">
        <v>50</v>
      </c>
      <c r="B38" s="43">
        <f t="shared" ref="B38:S38" si="15">SUM(B40:B51)</f>
        <v>9314</v>
      </c>
      <c r="C38" s="43">
        <f t="shared" si="15"/>
        <v>9097</v>
      </c>
      <c r="D38" s="43">
        <f t="shared" si="15"/>
        <v>8952</v>
      </c>
      <c r="E38" s="43">
        <f t="shared" si="15"/>
        <v>8993</v>
      </c>
      <c r="F38" s="43">
        <f t="shared" si="15"/>
        <v>9213</v>
      </c>
      <c r="G38" s="43">
        <f t="shared" si="15"/>
        <v>9121</v>
      </c>
      <c r="H38" s="43">
        <f t="shared" si="15"/>
        <v>9240</v>
      </c>
      <c r="I38" s="43">
        <f t="shared" si="15"/>
        <v>9363</v>
      </c>
      <c r="J38" s="43">
        <f t="shared" si="15"/>
        <v>9532</v>
      </c>
      <c r="K38" s="43">
        <f t="shared" si="15"/>
        <v>9470</v>
      </c>
      <c r="L38" s="43">
        <f t="shared" si="15"/>
        <v>9466</v>
      </c>
      <c r="M38" s="43">
        <f t="shared" si="15"/>
        <v>9631</v>
      </c>
      <c r="N38" s="43">
        <f t="shared" si="15"/>
        <v>9961</v>
      </c>
      <c r="O38" s="43">
        <f t="shared" si="15"/>
        <v>10441</v>
      </c>
      <c r="P38" s="43">
        <f t="shared" si="15"/>
        <v>10523</v>
      </c>
      <c r="Q38" s="43">
        <f t="shared" si="15"/>
        <v>10588</v>
      </c>
      <c r="R38" s="43">
        <f t="shared" si="15"/>
        <v>10913</v>
      </c>
      <c r="S38" s="43">
        <f t="shared" si="15"/>
        <v>11282</v>
      </c>
      <c r="T38" s="43">
        <f>SUM(T40:T51)</f>
        <v>11657</v>
      </c>
      <c r="U38" s="43">
        <f>SUM(U40:U51)</f>
        <v>12281</v>
      </c>
      <c r="V38" s="43">
        <f>SUM(V40:V51)</f>
        <v>12599</v>
      </c>
      <c r="W38" s="43">
        <f>SUM(W40:W51)</f>
        <v>12760</v>
      </c>
      <c r="X38" s="43">
        <f t="shared" ref="X38:AC38" si="16">SUM(X40:X51)</f>
        <v>12944</v>
      </c>
      <c r="Y38" s="43">
        <f t="shared" si="16"/>
        <v>13086</v>
      </c>
      <c r="Z38" s="43">
        <f t="shared" si="16"/>
        <v>12814</v>
      </c>
      <c r="AA38" s="43">
        <f t="shared" si="16"/>
        <v>12952</v>
      </c>
      <c r="AB38" s="43">
        <f t="shared" si="16"/>
        <v>13281</v>
      </c>
      <c r="AC38" s="43">
        <f t="shared" si="16"/>
        <v>13815</v>
      </c>
      <c r="AD38" s="43">
        <f t="shared" ref="AD38" si="17">SUM(AD40:AD51)</f>
        <v>14116</v>
      </c>
    </row>
    <row r="39" spans="1:30">
      <c r="A39" s="44" t="s">
        <v>131</v>
      </c>
      <c r="B39" s="45">
        <f t="shared" ref="B39:S39" si="18">(B38/B4)*100</f>
        <v>31.906001644286107</v>
      </c>
      <c r="C39" s="45">
        <f t="shared" si="18"/>
        <v>31.752181500872602</v>
      </c>
      <c r="D39" s="45">
        <f t="shared" si="18"/>
        <v>30.671189228080998</v>
      </c>
      <c r="E39" s="45">
        <f t="shared" si="18"/>
        <v>30.512672615614289</v>
      </c>
      <c r="F39" s="45">
        <f t="shared" si="18"/>
        <v>31.033785832182438</v>
      </c>
      <c r="G39" s="45">
        <f t="shared" si="18"/>
        <v>30.695968230463755</v>
      </c>
      <c r="H39" s="45">
        <f t="shared" si="18"/>
        <v>31.083899616497341</v>
      </c>
      <c r="I39" s="45">
        <f t="shared" si="18"/>
        <v>30.126451945043275</v>
      </c>
      <c r="J39" s="45">
        <f t="shared" si="18"/>
        <v>30.519002337271477</v>
      </c>
      <c r="K39" s="45">
        <f t="shared" si="18"/>
        <v>29.88041523364781</v>
      </c>
      <c r="L39" s="45">
        <f t="shared" si="18"/>
        <v>29.35466865134741</v>
      </c>
      <c r="M39" s="45">
        <f t="shared" si="18"/>
        <v>28.707264001907657</v>
      </c>
      <c r="N39" s="45">
        <f t="shared" si="18"/>
        <v>28.873300675381898</v>
      </c>
      <c r="O39" s="45">
        <f t="shared" si="18"/>
        <v>29.190896891075823</v>
      </c>
      <c r="P39" s="45">
        <f t="shared" si="18"/>
        <v>29.013758305991345</v>
      </c>
      <c r="Q39" s="45">
        <f t="shared" si="18"/>
        <v>28.728802062135394</v>
      </c>
      <c r="R39" s="45">
        <f t="shared" si="18"/>
        <v>28.935436828847937</v>
      </c>
      <c r="S39" s="45">
        <f t="shared" si="18"/>
        <v>29.175071114559092</v>
      </c>
      <c r="T39" s="45">
        <f>(T38/T4)*100</f>
        <v>27.806402366299316</v>
      </c>
      <c r="U39" s="45">
        <f>(U38/U4)*100</f>
        <v>28.183591508892714</v>
      </c>
      <c r="V39" s="45">
        <f>(V38/V4)*100</f>
        <v>28.147899910634493</v>
      </c>
      <c r="W39" s="45">
        <f>(W38/W4)*100</f>
        <v>29.831205872726425</v>
      </c>
      <c r="X39" s="45">
        <f t="shared" ref="X39:AC39" si="19">(X38/X4)*100</f>
        <v>29.416176169806601</v>
      </c>
      <c r="Y39" s="45">
        <f t="shared" si="19"/>
        <v>29.6110243703754</v>
      </c>
      <c r="Z39" s="45">
        <f t="shared" si="19"/>
        <v>27.595563691181219</v>
      </c>
      <c r="AA39" s="45">
        <f t="shared" si="19"/>
        <v>27.37861204472911</v>
      </c>
      <c r="AB39" s="45">
        <f t="shared" si="19"/>
        <v>27.707424947322306</v>
      </c>
      <c r="AC39" s="45">
        <f t="shared" si="19"/>
        <v>28.094686108230128</v>
      </c>
      <c r="AD39" s="45">
        <f t="shared" ref="AD39" si="20">(AD38/AD4)*100</f>
        <v>28.141384741133553</v>
      </c>
    </row>
    <row r="40" spans="1:30">
      <c r="A40" s="42" t="s">
        <v>51</v>
      </c>
      <c r="B40" s="46">
        <v>1028</v>
      </c>
      <c r="C40" s="46">
        <v>1057</v>
      </c>
      <c r="D40" s="46">
        <v>1025</v>
      </c>
      <c r="E40" s="46">
        <v>1071</v>
      </c>
      <c r="F40" s="46">
        <v>1095</v>
      </c>
      <c r="G40" s="46">
        <v>1103</v>
      </c>
      <c r="H40" s="46">
        <v>1067</v>
      </c>
      <c r="I40" s="46">
        <v>1109</v>
      </c>
      <c r="J40" s="46">
        <v>1152</v>
      </c>
      <c r="K40" s="46">
        <v>1163</v>
      </c>
      <c r="L40" s="46">
        <v>1115</v>
      </c>
      <c r="M40" s="46">
        <v>1101</v>
      </c>
      <c r="N40" s="46">
        <v>1136</v>
      </c>
      <c r="O40" s="46">
        <v>1168</v>
      </c>
      <c r="P40" s="46">
        <v>1168</v>
      </c>
      <c r="Q40" s="46">
        <v>1197</v>
      </c>
      <c r="R40" s="46">
        <v>1203</v>
      </c>
      <c r="S40" s="46">
        <v>1259</v>
      </c>
      <c r="T40" s="46">
        <v>1400</v>
      </c>
      <c r="U40" s="46">
        <v>1296</v>
      </c>
      <c r="V40" s="46">
        <v>1427</v>
      </c>
      <c r="W40" s="46">
        <v>1581</v>
      </c>
      <c r="X40" s="46">
        <v>1545</v>
      </c>
      <c r="Y40" s="46">
        <v>1504</v>
      </c>
      <c r="Z40" s="1">
        <v>1575</v>
      </c>
      <c r="AA40" s="1">
        <v>1508</v>
      </c>
      <c r="AB40" s="1">
        <v>1536</v>
      </c>
      <c r="AC40" s="1">
        <v>1549</v>
      </c>
      <c r="AD40" s="1">
        <v>1631</v>
      </c>
    </row>
    <row r="41" spans="1:30">
      <c r="A41" s="42" t="s">
        <v>52</v>
      </c>
      <c r="B41" s="46">
        <v>886</v>
      </c>
      <c r="C41" s="46">
        <v>869</v>
      </c>
      <c r="D41" s="46">
        <v>886</v>
      </c>
      <c r="E41" s="46">
        <v>918</v>
      </c>
      <c r="F41" s="46">
        <v>923</v>
      </c>
      <c r="G41" s="46">
        <v>948</v>
      </c>
      <c r="H41" s="46">
        <v>955</v>
      </c>
      <c r="I41" s="46">
        <v>943</v>
      </c>
      <c r="J41" s="46">
        <v>1031</v>
      </c>
      <c r="K41" s="46">
        <v>992</v>
      </c>
      <c r="L41" s="46">
        <v>1039</v>
      </c>
      <c r="M41" s="46">
        <v>1093</v>
      </c>
      <c r="N41" s="46">
        <v>1093</v>
      </c>
      <c r="O41" s="46">
        <v>1134</v>
      </c>
      <c r="P41" s="46">
        <v>1103</v>
      </c>
      <c r="Q41" s="46">
        <v>1156</v>
      </c>
      <c r="R41" s="46">
        <v>1165</v>
      </c>
      <c r="S41" s="46">
        <v>1117</v>
      </c>
      <c r="T41" s="46">
        <v>1237</v>
      </c>
      <c r="U41" s="46">
        <v>1289</v>
      </c>
      <c r="V41" s="46">
        <v>1283</v>
      </c>
      <c r="W41" s="46">
        <v>1266</v>
      </c>
      <c r="X41" s="46">
        <v>1272</v>
      </c>
      <c r="Y41" s="46">
        <v>1309</v>
      </c>
      <c r="Z41" s="1">
        <v>1258</v>
      </c>
      <c r="AA41" s="1">
        <v>1271</v>
      </c>
      <c r="AB41" s="1">
        <v>1257</v>
      </c>
      <c r="AC41" s="1">
        <v>1408</v>
      </c>
      <c r="AD41" s="1">
        <v>1391</v>
      </c>
    </row>
    <row r="42" spans="1:30">
      <c r="A42" s="42" t="s">
        <v>53</v>
      </c>
      <c r="B42" s="46">
        <v>532</v>
      </c>
      <c r="C42" s="46">
        <v>607</v>
      </c>
      <c r="D42" s="46">
        <v>567</v>
      </c>
      <c r="E42" s="46">
        <v>588</v>
      </c>
      <c r="F42" s="46">
        <v>508</v>
      </c>
      <c r="G42" s="46">
        <v>554</v>
      </c>
      <c r="H42" s="46">
        <v>583</v>
      </c>
      <c r="I42" s="46">
        <v>631</v>
      </c>
      <c r="J42" s="46">
        <v>612</v>
      </c>
      <c r="K42" s="46">
        <v>606</v>
      </c>
      <c r="L42" s="46">
        <v>649</v>
      </c>
      <c r="M42" s="46">
        <v>648</v>
      </c>
      <c r="N42" s="46">
        <v>547</v>
      </c>
      <c r="O42" s="46">
        <v>676</v>
      </c>
      <c r="P42" s="46">
        <v>629</v>
      </c>
      <c r="Q42" s="46">
        <v>647</v>
      </c>
      <c r="R42" s="46">
        <v>618</v>
      </c>
      <c r="S42" s="46">
        <v>646</v>
      </c>
      <c r="T42" s="46">
        <v>643</v>
      </c>
      <c r="U42" s="46">
        <v>661</v>
      </c>
      <c r="V42" s="46">
        <v>655</v>
      </c>
      <c r="W42" s="46">
        <v>649</v>
      </c>
      <c r="X42" s="46">
        <v>657</v>
      </c>
      <c r="Y42" s="46">
        <v>637</v>
      </c>
      <c r="Z42" s="1">
        <v>575</v>
      </c>
      <c r="AA42" s="1">
        <v>601</v>
      </c>
      <c r="AB42" s="1">
        <v>733</v>
      </c>
      <c r="AC42" s="1">
        <v>618</v>
      </c>
      <c r="AD42" s="1">
        <v>615</v>
      </c>
    </row>
    <row r="43" spans="1:30">
      <c r="A43" s="42" t="s">
        <v>54</v>
      </c>
      <c r="B43" s="46">
        <v>630</v>
      </c>
      <c r="C43" s="46">
        <v>614</v>
      </c>
      <c r="D43" s="46">
        <v>594</v>
      </c>
      <c r="E43" s="46">
        <v>581</v>
      </c>
      <c r="F43" s="46">
        <v>599</v>
      </c>
      <c r="G43" s="46">
        <v>572</v>
      </c>
      <c r="H43" s="46">
        <v>604</v>
      </c>
      <c r="I43" s="46">
        <v>569</v>
      </c>
      <c r="J43" s="46">
        <v>569</v>
      </c>
      <c r="K43" s="46">
        <v>663</v>
      </c>
      <c r="L43" s="46">
        <v>663</v>
      </c>
      <c r="M43" s="46">
        <v>648</v>
      </c>
      <c r="N43" s="46">
        <v>727</v>
      </c>
      <c r="O43" s="46">
        <v>759</v>
      </c>
      <c r="P43" s="46">
        <v>744</v>
      </c>
      <c r="Q43" s="46">
        <v>705</v>
      </c>
      <c r="R43" s="46">
        <v>745</v>
      </c>
      <c r="S43" s="46">
        <v>777</v>
      </c>
      <c r="T43" s="46">
        <v>800</v>
      </c>
      <c r="U43" s="46">
        <v>809</v>
      </c>
      <c r="V43" s="46">
        <v>822</v>
      </c>
      <c r="W43" s="46">
        <v>790</v>
      </c>
      <c r="X43" s="46">
        <v>789</v>
      </c>
      <c r="Y43" s="46">
        <v>848</v>
      </c>
      <c r="Z43" s="1">
        <v>816</v>
      </c>
      <c r="AA43" s="1">
        <v>870</v>
      </c>
      <c r="AB43" s="1">
        <v>883</v>
      </c>
      <c r="AC43" s="1">
        <v>884</v>
      </c>
      <c r="AD43" s="1">
        <v>920</v>
      </c>
    </row>
    <row r="44" spans="1:30">
      <c r="A44" s="42" t="s">
        <v>55</v>
      </c>
      <c r="B44" s="46">
        <v>1611</v>
      </c>
      <c r="C44" s="46">
        <v>1445</v>
      </c>
      <c r="D44" s="46">
        <v>1529</v>
      </c>
      <c r="E44" s="46">
        <v>1476</v>
      </c>
      <c r="F44" s="46">
        <v>1569</v>
      </c>
      <c r="G44" s="46">
        <v>1493</v>
      </c>
      <c r="H44" s="46">
        <v>1464</v>
      </c>
      <c r="I44" s="46">
        <v>1610</v>
      </c>
      <c r="J44" s="46">
        <v>1493</v>
      </c>
      <c r="K44" s="46">
        <v>1433</v>
      </c>
      <c r="L44" s="46">
        <v>1444</v>
      </c>
      <c r="M44" s="46">
        <v>1449</v>
      </c>
      <c r="N44" s="46">
        <v>1677</v>
      </c>
      <c r="O44" s="46">
        <v>1688</v>
      </c>
      <c r="P44" s="46">
        <v>1719</v>
      </c>
      <c r="Q44" s="46">
        <v>1698</v>
      </c>
      <c r="R44" s="46">
        <v>1921</v>
      </c>
      <c r="S44" s="46">
        <v>1966</v>
      </c>
      <c r="T44" s="46">
        <v>2094</v>
      </c>
      <c r="U44" s="46">
        <v>2252</v>
      </c>
      <c r="V44" s="46">
        <v>2151</v>
      </c>
      <c r="W44" s="46">
        <v>2216</v>
      </c>
      <c r="X44" s="46">
        <v>2335</v>
      </c>
      <c r="Y44" s="46">
        <v>2418</v>
      </c>
      <c r="Z44" s="1">
        <v>2379</v>
      </c>
      <c r="AA44" s="1">
        <v>2543</v>
      </c>
      <c r="AB44" s="1">
        <v>2554</v>
      </c>
      <c r="AC44" s="1">
        <v>2616</v>
      </c>
      <c r="AD44" s="1">
        <v>2904</v>
      </c>
    </row>
    <row r="45" spans="1:30">
      <c r="A45" s="42" t="s">
        <v>56</v>
      </c>
      <c r="B45" s="46">
        <v>697</v>
      </c>
      <c r="C45" s="46">
        <v>730</v>
      </c>
      <c r="D45" s="46">
        <v>629</v>
      </c>
      <c r="E45" s="46">
        <v>590</v>
      </c>
      <c r="F45" s="46">
        <v>634</v>
      </c>
      <c r="G45" s="46">
        <v>682</v>
      </c>
      <c r="H45" s="46">
        <v>685</v>
      </c>
      <c r="I45" s="46">
        <v>695</v>
      </c>
      <c r="J45" s="46">
        <v>709</v>
      </c>
      <c r="K45" s="46">
        <v>672</v>
      </c>
      <c r="L45" s="46">
        <v>708</v>
      </c>
      <c r="M45" s="46">
        <v>719</v>
      </c>
      <c r="N45" s="46">
        <v>715</v>
      </c>
      <c r="O45" s="46">
        <v>777</v>
      </c>
      <c r="P45" s="46">
        <v>785</v>
      </c>
      <c r="Q45" s="46">
        <v>848</v>
      </c>
      <c r="R45" s="46">
        <v>788</v>
      </c>
      <c r="S45" s="46">
        <v>914</v>
      </c>
      <c r="T45" s="46">
        <v>917</v>
      </c>
      <c r="U45" s="46">
        <v>969</v>
      </c>
      <c r="V45" s="46">
        <v>946</v>
      </c>
      <c r="W45" s="46">
        <v>1054</v>
      </c>
      <c r="X45" s="46">
        <v>1017</v>
      </c>
      <c r="Y45" s="46">
        <v>1036</v>
      </c>
      <c r="Z45" s="1">
        <v>1018</v>
      </c>
      <c r="AA45" s="1">
        <v>989</v>
      </c>
      <c r="AB45" s="1">
        <v>973</v>
      </c>
      <c r="AC45" s="1">
        <v>997</v>
      </c>
      <c r="AD45" s="1">
        <v>1002</v>
      </c>
    </row>
    <row r="46" spans="1:30">
      <c r="A46" s="42" t="s">
        <v>57</v>
      </c>
      <c r="B46" s="46">
        <v>679</v>
      </c>
      <c r="C46" s="46">
        <v>665</v>
      </c>
      <c r="D46" s="46">
        <v>718</v>
      </c>
      <c r="E46" s="46">
        <v>651</v>
      </c>
      <c r="F46" s="46">
        <v>628</v>
      </c>
      <c r="G46" s="46">
        <v>663</v>
      </c>
      <c r="H46" s="46">
        <v>670</v>
      </c>
      <c r="I46" s="46">
        <v>633</v>
      </c>
      <c r="J46" s="46">
        <v>630</v>
      </c>
      <c r="K46" s="46">
        <v>737</v>
      </c>
      <c r="L46" s="46">
        <v>706</v>
      </c>
      <c r="M46" s="46">
        <v>728</v>
      </c>
      <c r="N46" s="46">
        <v>756</v>
      </c>
      <c r="O46" s="46">
        <v>711</v>
      </c>
      <c r="P46" s="46">
        <v>741</v>
      </c>
      <c r="Q46" s="46">
        <v>771</v>
      </c>
      <c r="R46" s="46">
        <v>780</v>
      </c>
      <c r="S46" s="46">
        <v>792</v>
      </c>
      <c r="T46" s="46">
        <v>826</v>
      </c>
      <c r="U46" s="46">
        <v>845</v>
      </c>
      <c r="V46" s="46">
        <v>836</v>
      </c>
      <c r="W46" s="46">
        <v>894</v>
      </c>
      <c r="X46" s="46">
        <v>877</v>
      </c>
      <c r="Y46" s="46">
        <v>921</v>
      </c>
      <c r="Z46" s="1">
        <v>912</v>
      </c>
      <c r="AA46" s="1">
        <v>926</v>
      </c>
      <c r="AB46" s="1">
        <v>942</v>
      </c>
      <c r="AC46" s="1">
        <v>1014</v>
      </c>
      <c r="AD46" s="1">
        <v>1020</v>
      </c>
    </row>
    <row r="47" spans="1:30">
      <c r="A47" s="42" t="s">
        <v>58</v>
      </c>
      <c r="B47" s="46">
        <v>386</v>
      </c>
      <c r="C47" s="46">
        <v>351</v>
      </c>
      <c r="D47" s="46">
        <v>347</v>
      </c>
      <c r="E47" s="46">
        <v>344</v>
      </c>
      <c r="F47" s="46">
        <v>366</v>
      </c>
      <c r="G47" s="46">
        <v>368</v>
      </c>
      <c r="H47" s="46">
        <v>376</v>
      </c>
      <c r="I47" s="46">
        <v>361</v>
      </c>
      <c r="J47" s="46">
        <v>323</v>
      </c>
      <c r="K47" s="46">
        <v>329</v>
      </c>
      <c r="L47" s="46">
        <v>348</v>
      </c>
      <c r="M47" s="46">
        <v>350</v>
      </c>
      <c r="N47" s="46">
        <v>346</v>
      </c>
      <c r="O47" s="46">
        <v>353</v>
      </c>
      <c r="P47" s="46">
        <v>357</v>
      </c>
      <c r="Q47" s="46">
        <v>350</v>
      </c>
      <c r="R47" s="46">
        <v>351</v>
      </c>
      <c r="S47" s="46">
        <v>365</v>
      </c>
      <c r="T47" s="46">
        <v>412</v>
      </c>
      <c r="U47" s="46">
        <v>393</v>
      </c>
      <c r="V47" s="46">
        <v>414</v>
      </c>
      <c r="W47" s="46">
        <v>384</v>
      </c>
      <c r="X47" s="46">
        <v>399</v>
      </c>
      <c r="Y47" s="46">
        <v>426</v>
      </c>
      <c r="Z47" s="1">
        <v>417</v>
      </c>
      <c r="AA47" s="1">
        <v>409</v>
      </c>
      <c r="AB47" s="1">
        <v>337</v>
      </c>
      <c r="AC47" s="1">
        <v>429</v>
      </c>
      <c r="AD47" s="1">
        <v>431</v>
      </c>
    </row>
    <row r="48" spans="1:30">
      <c r="A48" s="42" t="s">
        <v>59</v>
      </c>
      <c r="B48" s="46">
        <v>117</v>
      </c>
      <c r="C48" s="46">
        <v>114</v>
      </c>
      <c r="D48" s="46">
        <v>127</v>
      </c>
      <c r="E48" s="46">
        <v>142</v>
      </c>
      <c r="F48" s="46">
        <v>189</v>
      </c>
      <c r="G48" s="46">
        <v>187</v>
      </c>
      <c r="H48" s="46">
        <v>173</v>
      </c>
      <c r="I48" s="46">
        <v>191</v>
      </c>
      <c r="J48" s="46">
        <v>178</v>
      </c>
      <c r="K48" s="46">
        <v>176</v>
      </c>
      <c r="L48" s="46">
        <v>191</v>
      </c>
      <c r="M48" s="46">
        <v>180</v>
      </c>
      <c r="N48" s="46">
        <v>181</v>
      </c>
      <c r="O48" s="46">
        <v>178</v>
      </c>
      <c r="P48" s="46">
        <v>206</v>
      </c>
      <c r="Q48" s="46">
        <v>208</v>
      </c>
      <c r="R48" s="46">
        <v>233</v>
      </c>
      <c r="S48" s="46">
        <v>223</v>
      </c>
      <c r="T48" s="46">
        <v>281</v>
      </c>
      <c r="U48" s="46">
        <v>284</v>
      </c>
      <c r="V48" s="46">
        <v>292</v>
      </c>
      <c r="W48" s="46">
        <v>276</v>
      </c>
      <c r="X48" s="46">
        <v>274</v>
      </c>
      <c r="Y48" s="46">
        <v>283</v>
      </c>
      <c r="Z48" s="1">
        <v>300</v>
      </c>
      <c r="AA48" s="1">
        <v>273</v>
      </c>
      <c r="AB48" s="1">
        <v>314</v>
      </c>
      <c r="AC48" s="1">
        <v>320</v>
      </c>
      <c r="AD48" s="1">
        <v>289</v>
      </c>
    </row>
    <row r="49" spans="1:30">
      <c r="A49" s="42" t="s">
        <v>60</v>
      </c>
      <c r="B49" s="46">
        <v>2099</v>
      </c>
      <c r="C49" s="46">
        <v>2014</v>
      </c>
      <c r="D49" s="46">
        <v>1946</v>
      </c>
      <c r="E49" s="46">
        <v>2006</v>
      </c>
      <c r="F49" s="46">
        <v>2061</v>
      </c>
      <c r="G49" s="46">
        <v>1901</v>
      </c>
      <c r="H49" s="46">
        <v>2022</v>
      </c>
      <c r="I49" s="46">
        <v>2008</v>
      </c>
      <c r="J49" s="46">
        <v>2113</v>
      </c>
      <c r="K49" s="46">
        <v>1978</v>
      </c>
      <c r="L49" s="46">
        <v>1922</v>
      </c>
      <c r="M49" s="46">
        <v>1945</v>
      </c>
      <c r="N49" s="46">
        <v>2013</v>
      </c>
      <c r="O49" s="46">
        <v>2160</v>
      </c>
      <c r="P49" s="46">
        <v>2263</v>
      </c>
      <c r="Q49" s="46">
        <v>2183</v>
      </c>
      <c r="R49" s="46">
        <v>2219</v>
      </c>
      <c r="S49" s="46">
        <v>2352</v>
      </c>
      <c r="T49" s="46">
        <v>2138</v>
      </c>
      <c r="U49" s="46">
        <v>2560</v>
      </c>
      <c r="V49" s="46">
        <v>2734</v>
      </c>
      <c r="W49" s="46">
        <v>2672</v>
      </c>
      <c r="X49" s="46">
        <v>2740</v>
      </c>
      <c r="Y49" s="46">
        <v>2687</v>
      </c>
      <c r="Z49" s="1">
        <v>2577</v>
      </c>
      <c r="AA49" s="1">
        <v>2577</v>
      </c>
      <c r="AB49" s="1">
        <v>2588</v>
      </c>
      <c r="AC49" s="1">
        <v>2794</v>
      </c>
      <c r="AD49" s="1">
        <v>2824</v>
      </c>
    </row>
    <row r="50" spans="1:30">
      <c r="A50" s="42" t="s">
        <v>61</v>
      </c>
      <c r="B50" s="46">
        <v>125</v>
      </c>
      <c r="C50" s="46">
        <v>104</v>
      </c>
      <c r="D50" s="46">
        <v>114</v>
      </c>
      <c r="E50" s="46">
        <v>112</v>
      </c>
      <c r="F50" s="46">
        <v>124</v>
      </c>
      <c r="G50" s="46">
        <v>124</v>
      </c>
      <c r="H50" s="46">
        <v>126</v>
      </c>
      <c r="I50" s="46">
        <v>129</v>
      </c>
      <c r="J50" s="46">
        <v>168</v>
      </c>
      <c r="K50" s="46">
        <v>166</v>
      </c>
      <c r="L50" s="46">
        <v>171</v>
      </c>
      <c r="M50" s="46">
        <v>152</v>
      </c>
      <c r="N50" s="46">
        <v>185</v>
      </c>
      <c r="O50" s="46">
        <v>189</v>
      </c>
      <c r="P50" s="46">
        <v>195</v>
      </c>
      <c r="Q50" s="46">
        <v>175</v>
      </c>
      <c r="R50" s="46">
        <v>202</v>
      </c>
      <c r="S50" s="46">
        <v>180</v>
      </c>
      <c r="T50" s="46">
        <v>208</v>
      </c>
      <c r="U50" s="46">
        <v>209</v>
      </c>
      <c r="V50" s="46">
        <v>240</v>
      </c>
      <c r="W50" s="46">
        <v>223</v>
      </c>
      <c r="X50" s="46">
        <v>258</v>
      </c>
      <c r="Y50" s="46">
        <v>257</v>
      </c>
      <c r="Z50" s="1">
        <v>254</v>
      </c>
      <c r="AA50" s="1">
        <v>267</v>
      </c>
      <c r="AB50" s="1">
        <v>302</v>
      </c>
      <c r="AC50" s="1">
        <v>284</v>
      </c>
      <c r="AD50" s="1">
        <v>297</v>
      </c>
    </row>
    <row r="51" spans="1:30">
      <c r="A51" s="47" t="s">
        <v>62</v>
      </c>
      <c r="B51" s="48">
        <v>524</v>
      </c>
      <c r="C51" s="48">
        <v>527</v>
      </c>
      <c r="D51" s="48">
        <v>470</v>
      </c>
      <c r="E51" s="48">
        <v>514</v>
      </c>
      <c r="F51" s="48">
        <v>517</v>
      </c>
      <c r="G51" s="48">
        <v>526</v>
      </c>
      <c r="H51" s="48">
        <v>515</v>
      </c>
      <c r="I51" s="48">
        <v>484</v>
      </c>
      <c r="J51" s="48">
        <v>554</v>
      </c>
      <c r="K51" s="48">
        <v>555</v>
      </c>
      <c r="L51" s="48">
        <v>510</v>
      </c>
      <c r="M51" s="48">
        <v>618</v>
      </c>
      <c r="N51" s="48">
        <v>585</v>
      </c>
      <c r="O51" s="48">
        <v>648</v>
      </c>
      <c r="P51" s="48">
        <v>613</v>
      </c>
      <c r="Q51" s="48">
        <v>650</v>
      </c>
      <c r="R51" s="48">
        <v>688</v>
      </c>
      <c r="S51" s="48">
        <v>691</v>
      </c>
      <c r="T51" s="48">
        <v>701</v>
      </c>
      <c r="U51" s="48">
        <v>714</v>
      </c>
      <c r="V51" s="46">
        <v>799</v>
      </c>
      <c r="W51" s="46">
        <v>755</v>
      </c>
      <c r="X51" s="46">
        <v>781</v>
      </c>
      <c r="Y51" s="46">
        <v>760</v>
      </c>
      <c r="Z51" s="1">
        <v>733</v>
      </c>
      <c r="AA51" s="1">
        <v>718</v>
      </c>
      <c r="AB51" s="1">
        <v>862</v>
      </c>
      <c r="AC51" s="1">
        <v>902</v>
      </c>
      <c r="AD51" s="1">
        <v>792</v>
      </c>
    </row>
    <row r="52" spans="1:30">
      <c r="A52" s="42" t="s">
        <v>63</v>
      </c>
      <c r="B52" s="43">
        <f t="shared" ref="B52:S52" si="21">SUM(B54:B62)</f>
        <v>3836</v>
      </c>
      <c r="C52" s="43">
        <f t="shared" si="21"/>
        <v>3472</v>
      </c>
      <c r="D52" s="43">
        <f t="shared" si="21"/>
        <v>3947</v>
      </c>
      <c r="E52" s="43">
        <f t="shared" si="21"/>
        <v>3903</v>
      </c>
      <c r="F52" s="43">
        <f t="shared" si="21"/>
        <v>3912</v>
      </c>
      <c r="G52" s="43">
        <f t="shared" si="21"/>
        <v>3859</v>
      </c>
      <c r="H52" s="43">
        <f t="shared" si="21"/>
        <v>3943</v>
      </c>
      <c r="I52" s="43">
        <f t="shared" si="21"/>
        <v>4075</v>
      </c>
      <c r="J52" s="43">
        <f t="shared" si="21"/>
        <v>4140</v>
      </c>
      <c r="K52" s="43">
        <f t="shared" si="21"/>
        <v>4156</v>
      </c>
      <c r="L52" s="43">
        <f t="shared" si="21"/>
        <v>4364</v>
      </c>
      <c r="M52" s="43">
        <f t="shared" si="21"/>
        <v>4543</v>
      </c>
      <c r="N52" s="43">
        <f t="shared" si="21"/>
        <v>4779</v>
      </c>
      <c r="O52" s="43">
        <f t="shared" si="21"/>
        <v>4900</v>
      </c>
      <c r="P52" s="43">
        <f>SUM(P54:P62)</f>
        <v>4835</v>
      </c>
      <c r="Q52" s="43">
        <f t="shared" si="21"/>
        <v>4858</v>
      </c>
      <c r="R52" s="43">
        <f t="shared" si="21"/>
        <v>5006</v>
      </c>
      <c r="S52" s="43">
        <f t="shared" si="21"/>
        <v>5163</v>
      </c>
      <c r="T52" s="43">
        <f>SUM(T54:T62)</f>
        <v>5761</v>
      </c>
      <c r="U52" s="43">
        <f>SUM(U54:U62)</f>
        <v>5846</v>
      </c>
      <c r="V52" s="43">
        <f>SUM(V54:V62)</f>
        <v>5890</v>
      </c>
      <c r="W52" s="43">
        <f>SUM(W54:W62)</f>
        <v>5013</v>
      </c>
      <c r="X52" s="43">
        <f t="shared" ref="X52:AC52" si="22">SUM(X54:X62)</f>
        <v>5467</v>
      </c>
      <c r="Y52" s="43">
        <f t="shared" si="22"/>
        <v>5354</v>
      </c>
      <c r="Z52" s="43">
        <f t="shared" si="22"/>
        <v>5798</v>
      </c>
      <c r="AA52" s="43">
        <f t="shared" si="22"/>
        <v>5984</v>
      </c>
      <c r="AB52" s="43">
        <f t="shared" si="22"/>
        <v>6068</v>
      </c>
      <c r="AC52" s="43">
        <f t="shared" si="22"/>
        <v>6118</v>
      </c>
      <c r="AD52" s="43">
        <f t="shared" ref="AD52" si="23">SUM(AD54:AD62)</f>
        <v>6273</v>
      </c>
    </row>
    <row r="53" spans="1:30">
      <c r="A53" s="44" t="s">
        <v>131</v>
      </c>
      <c r="B53" s="45">
        <f t="shared" ref="B53:S53" si="24">(B52/B4)*100</f>
        <v>13.140586462044396</v>
      </c>
      <c r="C53" s="45">
        <f t="shared" si="24"/>
        <v>12.118673647469459</v>
      </c>
      <c r="D53" s="45">
        <f t="shared" si="24"/>
        <v>13.523143865419538</v>
      </c>
      <c r="E53" s="45">
        <f t="shared" si="24"/>
        <v>13.242628846741086</v>
      </c>
      <c r="F53" s="45">
        <f t="shared" si="24"/>
        <v>13.177485094485803</v>
      </c>
      <c r="G53" s="45">
        <f t="shared" si="24"/>
        <v>12.987144107154878</v>
      </c>
      <c r="H53" s="45">
        <f t="shared" si="24"/>
        <v>13.264482271412231</v>
      </c>
      <c r="I53" s="45">
        <f t="shared" si="24"/>
        <v>13.111747482222722</v>
      </c>
      <c r="J53" s="45">
        <f t="shared" si="24"/>
        <v>13.255210834694072</v>
      </c>
      <c r="K53" s="45">
        <f t="shared" si="24"/>
        <v>13.113305777300981</v>
      </c>
      <c r="L53" s="45">
        <f t="shared" si="24"/>
        <v>13.533041833348838</v>
      </c>
      <c r="M53" s="45">
        <f t="shared" si="24"/>
        <v>13.541387224656473</v>
      </c>
      <c r="N53" s="45">
        <f t="shared" si="24"/>
        <v>13.852575436969186</v>
      </c>
      <c r="O53" s="45">
        <f t="shared" si="24"/>
        <v>13.699396108253186</v>
      </c>
      <c r="P53" s="45">
        <f t="shared" si="24"/>
        <v>13.330943781190548</v>
      </c>
      <c r="Q53" s="45">
        <f t="shared" si="24"/>
        <v>13.181386514719847</v>
      </c>
      <c r="R53" s="45">
        <f t="shared" si="24"/>
        <v>13.273233461487472</v>
      </c>
      <c r="S53" s="45">
        <f t="shared" si="24"/>
        <v>13.35143522110163</v>
      </c>
      <c r="T53" s="45">
        <f>(T52/T4)*100</f>
        <v>13.742187872715997</v>
      </c>
      <c r="U53" s="45">
        <f>(U52/U4)*100</f>
        <v>13.415949512335054</v>
      </c>
      <c r="V53" s="45">
        <f>(V52/V4)*100</f>
        <v>13.159070598748885</v>
      </c>
      <c r="W53" s="45">
        <f>(W52/W4)*100</f>
        <v>11.719736288399494</v>
      </c>
      <c r="X53" s="45">
        <f t="shared" ref="X53:AC53" si="25">(X52/X4)*100</f>
        <v>12.424152898666</v>
      </c>
      <c r="Y53" s="45">
        <f t="shared" si="25"/>
        <v>12.115040843572512</v>
      </c>
      <c r="Z53" s="45">
        <f t="shared" si="25"/>
        <v>12.486271131689458</v>
      </c>
      <c r="AA53" s="45">
        <f t="shared" si="25"/>
        <v>12.649290802629631</v>
      </c>
      <c r="AB53" s="45">
        <f t="shared" si="25"/>
        <v>12.659336991216907</v>
      </c>
      <c r="AC53" s="45">
        <f t="shared" si="25"/>
        <v>12.441787159620118</v>
      </c>
      <c r="AD53" s="45">
        <f t="shared" ref="AD53" si="26">(AD52/AD4)*100</f>
        <v>12.505731544426945</v>
      </c>
    </row>
    <row r="54" spans="1:30">
      <c r="A54" s="42" t="s">
        <v>64</v>
      </c>
      <c r="B54" s="46">
        <v>322</v>
      </c>
      <c r="C54" s="46">
        <v>319</v>
      </c>
      <c r="D54" s="46">
        <v>321</v>
      </c>
      <c r="E54" s="46">
        <v>282</v>
      </c>
      <c r="F54" s="46">
        <v>302</v>
      </c>
      <c r="G54" s="46">
        <v>310</v>
      </c>
      <c r="H54" s="46">
        <v>312</v>
      </c>
      <c r="I54" s="46">
        <v>324</v>
      </c>
      <c r="J54" s="46">
        <v>307</v>
      </c>
      <c r="K54" s="46">
        <v>296</v>
      </c>
      <c r="L54" s="46">
        <v>339</v>
      </c>
      <c r="M54" s="46">
        <v>341</v>
      </c>
      <c r="N54" s="46">
        <v>356</v>
      </c>
      <c r="O54" s="46">
        <v>402</v>
      </c>
      <c r="P54" s="46">
        <v>443</v>
      </c>
      <c r="Q54" s="46">
        <v>382</v>
      </c>
      <c r="R54" s="46">
        <v>410</v>
      </c>
      <c r="S54" s="46">
        <v>443</v>
      </c>
      <c r="T54" s="46">
        <v>495</v>
      </c>
      <c r="U54" s="46">
        <v>436</v>
      </c>
      <c r="V54" s="46">
        <v>460</v>
      </c>
      <c r="W54" s="46">
        <v>417</v>
      </c>
      <c r="X54" s="46">
        <v>451</v>
      </c>
      <c r="Y54" s="46">
        <v>429</v>
      </c>
      <c r="Z54" s="1">
        <v>418</v>
      </c>
      <c r="AA54" s="1">
        <v>451</v>
      </c>
      <c r="AB54" s="1">
        <v>369</v>
      </c>
      <c r="AC54" s="1">
        <v>396</v>
      </c>
      <c r="AD54" s="1">
        <v>455</v>
      </c>
    </row>
    <row r="55" spans="1:30">
      <c r="A55" s="42" t="s">
        <v>65</v>
      </c>
      <c r="B55" s="46">
        <v>67</v>
      </c>
      <c r="C55" s="46">
        <v>75</v>
      </c>
      <c r="D55" s="46">
        <v>95</v>
      </c>
      <c r="E55" s="46">
        <v>80</v>
      </c>
      <c r="F55" s="46">
        <v>85</v>
      </c>
      <c r="G55" s="46">
        <v>79</v>
      </c>
      <c r="H55" s="46">
        <v>88</v>
      </c>
      <c r="I55" s="46">
        <v>91</v>
      </c>
      <c r="J55" s="46">
        <v>91</v>
      </c>
      <c r="K55" s="46">
        <v>96</v>
      </c>
      <c r="L55" s="46">
        <v>87</v>
      </c>
      <c r="M55" s="46">
        <v>63</v>
      </c>
      <c r="N55" s="46">
        <v>82</v>
      </c>
      <c r="O55" s="46">
        <v>95</v>
      </c>
      <c r="P55" s="46">
        <v>95</v>
      </c>
      <c r="Q55" s="46">
        <v>87</v>
      </c>
      <c r="R55" s="46">
        <v>72</v>
      </c>
      <c r="S55" s="46">
        <v>91</v>
      </c>
      <c r="T55" s="46">
        <v>87</v>
      </c>
      <c r="U55" s="46">
        <v>93</v>
      </c>
      <c r="V55" s="46">
        <v>92</v>
      </c>
      <c r="W55" s="46">
        <v>99</v>
      </c>
      <c r="X55" s="46">
        <v>91</v>
      </c>
      <c r="Y55" s="46">
        <v>78</v>
      </c>
      <c r="Z55" s="1">
        <v>86</v>
      </c>
      <c r="AA55" s="1">
        <v>80</v>
      </c>
      <c r="AB55" s="1">
        <v>80</v>
      </c>
      <c r="AC55" s="1">
        <v>77</v>
      </c>
      <c r="AD55" s="1">
        <v>77</v>
      </c>
    </row>
    <row r="56" spans="1:30">
      <c r="A56" s="42" t="s">
        <v>66</v>
      </c>
      <c r="B56" s="46">
        <v>103</v>
      </c>
      <c r="C56" s="46">
        <v>94</v>
      </c>
      <c r="D56" s="46">
        <v>94</v>
      </c>
      <c r="E56" s="46">
        <v>94</v>
      </c>
      <c r="F56" s="46">
        <v>98</v>
      </c>
      <c r="G56" s="46">
        <v>99</v>
      </c>
      <c r="H56" s="46">
        <v>91</v>
      </c>
      <c r="I56" s="46">
        <v>96</v>
      </c>
      <c r="J56" s="46">
        <v>109</v>
      </c>
      <c r="K56" s="46">
        <v>95</v>
      </c>
      <c r="L56" s="46">
        <v>100</v>
      </c>
      <c r="M56" s="46">
        <v>96</v>
      </c>
      <c r="N56" s="46">
        <v>98</v>
      </c>
      <c r="O56" s="46">
        <v>104</v>
      </c>
      <c r="P56" s="46">
        <v>93</v>
      </c>
      <c r="Q56" s="46">
        <v>88</v>
      </c>
      <c r="R56" s="46">
        <v>102</v>
      </c>
      <c r="S56" s="46">
        <v>130</v>
      </c>
      <c r="T56" s="46">
        <v>127</v>
      </c>
      <c r="U56" s="46">
        <v>188</v>
      </c>
      <c r="V56" s="46">
        <v>239</v>
      </c>
      <c r="W56" s="46">
        <v>308</v>
      </c>
      <c r="X56" s="46">
        <v>285</v>
      </c>
      <c r="Y56" s="46">
        <v>275</v>
      </c>
      <c r="Z56" s="1">
        <v>273</v>
      </c>
      <c r="AA56" s="1">
        <v>307</v>
      </c>
      <c r="AB56" s="1">
        <v>293</v>
      </c>
      <c r="AC56" s="1">
        <v>296</v>
      </c>
      <c r="AD56" s="1">
        <v>334</v>
      </c>
    </row>
    <row r="57" spans="1:30">
      <c r="A57" s="42" t="s">
        <v>67</v>
      </c>
      <c r="B57" s="46"/>
      <c r="C57" s="46"/>
      <c r="D57" s="46"/>
      <c r="E57" s="46"/>
      <c r="F57" s="46"/>
      <c r="G57" s="46"/>
      <c r="H57" s="46"/>
      <c r="I57" s="46"/>
      <c r="J57" s="46"/>
      <c r="K57" s="46">
        <v>0</v>
      </c>
      <c r="L57" s="46">
        <v>0</v>
      </c>
      <c r="M57" s="46"/>
      <c r="N57" s="46"/>
      <c r="O57" s="46"/>
      <c r="P57" s="46"/>
      <c r="Q57" s="46"/>
      <c r="R57" s="46"/>
      <c r="S57" s="46"/>
      <c r="T57" s="46">
        <v>0</v>
      </c>
      <c r="U57" s="46"/>
      <c r="V57" s="46"/>
      <c r="W57" s="46">
        <v>0</v>
      </c>
      <c r="X57" s="46">
        <v>0</v>
      </c>
      <c r="Y57" s="46">
        <v>4</v>
      </c>
      <c r="Z57" s="1">
        <v>75</v>
      </c>
      <c r="AA57" s="1">
        <v>62</v>
      </c>
      <c r="AB57" s="1">
        <v>78</v>
      </c>
      <c r="AC57" s="1">
        <v>79</v>
      </c>
      <c r="AD57" s="1">
        <v>107</v>
      </c>
    </row>
    <row r="58" spans="1:30">
      <c r="A58" s="42" t="s">
        <v>68</v>
      </c>
      <c r="B58" s="46">
        <v>831</v>
      </c>
      <c r="C58" s="46">
        <v>852</v>
      </c>
      <c r="D58" s="46">
        <v>957</v>
      </c>
      <c r="E58" s="46">
        <v>964</v>
      </c>
      <c r="F58" s="46">
        <v>925</v>
      </c>
      <c r="G58" s="46">
        <v>906</v>
      </c>
      <c r="H58" s="46">
        <v>894</v>
      </c>
      <c r="I58" s="46">
        <v>1012</v>
      </c>
      <c r="J58" s="46">
        <v>964</v>
      </c>
      <c r="K58" s="46">
        <v>971</v>
      </c>
      <c r="L58" s="46">
        <v>944</v>
      </c>
      <c r="M58" s="46">
        <v>1041</v>
      </c>
      <c r="N58" s="46">
        <v>1128</v>
      </c>
      <c r="O58" s="46">
        <v>1145</v>
      </c>
      <c r="P58" s="46">
        <v>1106</v>
      </c>
      <c r="Q58" s="46">
        <v>1190</v>
      </c>
      <c r="R58" s="46">
        <v>1232</v>
      </c>
      <c r="S58" s="46">
        <v>1238</v>
      </c>
      <c r="T58" s="46">
        <v>1334</v>
      </c>
      <c r="U58" s="46">
        <v>1348</v>
      </c>
      <c r="V58" s="46">
        <v>1354</v>
      </c>
      <c r="W58" s="46">
        <v>845</v>
      </c>
      <c r="X58" s="46">
        <v>1414</v>
      </c>
      <c r="Y58" s="46">
        <v>1276</v>
      </c>
      <c r="Z58" s="1">
        <v>1211</v>
      </c>
      <c r="AA58" s="1">
        <v>1329</v>
      </c>
      <c r="AB58" s="1">
        <v>1275</v>
      </c>
      <c r="AC58" s="1">
        <v>1322</v>
      </c>
      <c r="AD58" s="1">
        <v>1390</v>
      </c>
    </row>
    <row r="59" spans="1:30">
      <c r="A59" s="42" t="s">
        <v>69</v>
      </c>
      <c r="B59" s="46">
        <v>1281</v>
      </c>
      <c r="C59" s="46">
        <v>888</v>
      </c>
      <c r="D59" s="46">
        <v>1229</v>
      </c>
      <c r="E59" s="46">
        <v>1233</v>
      </c>
      <c r="F59" s="46">
        <v>1238</v>
      </c>
      <c r="G59" s="46">
        <v>1171</v>
      </c>
      <c r="H59" s="46">
        <v>1282</v>
      </c>
      <c r="I59" s="46">
        <v>1234</v>
      </c>
      <c r="J59" s="46">
        <v>1262</v>
      </c>
      <c r="K59" s="46">
        <v>1196</v>
      </c>
      <c r="L59" s="46">
        <v>1193</v>
      </c>
      <c r="M59" s="46">
        <v>1228</v>
      </c>
      <c r="N59" s="46">
        <v>1254</v>
      </c>
      <c r="O59" s="46">
        <v>1271</v>
      </c>
      <c r="P59" s="46">
        <v>1255</v>
      </c>
      <c r="Q59" s="46">
        <v>1242</v>
      </c>
      <c r="R59" s="46">
        <v>1258</v>
      </c>
      <c r="S59" s="46">
        <v>1286</v>
      </c>
      <c r="T59" s="46">
        <v>1518</v>
      </c>
      <c r="U59" s="46">
        <v>1523</v>
      </c>
      <c r="V59" s="46">
        <v>1542</v>
      </c>
      <c r="W59" s="46">
        <v>1177</v>
      </c>
      <c r="X59" s="46">
        <v>1161</v>
      </c>
      <c r="Y59" s="46">
        <v>1186</v>
      </c>
      <c r="Z59" s="1">
        <v>1584</v>
      </c>
      <c r="AA59" s="1">
        <v>1536</v>
      </c>
      <c r="AB59" s="1">
        <v>1714</v>
      </c>
      <c r="AC59" s="1">
        <v>1687</v>
      </c>
      <c r="AD59" s="1">
        <v>1570</v>
      </c>
    </row>
    <row r="60" spans="1:30">
      <c r="A60" s="42" t="s">
        <v>70</v>
      </c>
      <c r="B60" s="46">
        <v>1153</v>
      </c>
      <c r="C60" s="46">
        <v>1144</v>
      </c>
      <c r="D60" s="46">
        <v>1156</v>
      </c>
      <c r="E60" s="46">
        <v>1149</v>
      </c>
      <c r="F60" s="46">
        <v>1164</v>
      </c>
      <c r="G60" s="46">
        <v>1200</v>
      </c>
      <c r="H60" s="46">
        <v>1175</v>
      </c>
      <c r="I60" s="46">
        <v>1212</v>
      </c>
      <c r="J60" s="46">
        <v>1297</v>
      </c>
      <c r="K60" s="46">
        <v>1381</v>
      </c>
      <c r="L60" s="46">
        <v>1544</v>
      </c>
      <c r="M60" s="46">
        <v>1625</v>
      </c>
      <c r="N60" s="46">
        <v>1693</v>
      </c>
      <c r="O60" s="46">
        <v>1715</v>
      </c>
      <c r="P60" s="46">
        <v>1659</v>
      </c>
      <c r="Q60" s="46">
        <v>1687</v>
      </c>
      <c r="R60" s="46">
        <v>1764</v>
      </c>
      <c r="S60" s="46">
        <v>1758</v>
      </c>
      <c r="T60" s="46">
        <v>1945</v>
      </c>
      <c r="U60" s="46">
        <v>1993</v>
      </c>
      <c r="V60" s="46">
        <v>1918</v>
      </c>
      <c r="W60" s="46">
        <v>1900</v>
      </c>
      <c r="X60" s="46">
        <v>1787</v>
      </c>
      <c r="Y60" s="46">
        <v>1808</v>
      </c>
      <c r="Z60" s="1">
        <v>1853</v>
      </c>
      <c r="AA60" s="1">
        <v>1950</v>
      </c>
      <c r="AB60" s="1">
        <v>1970</v>
      </c>
      <c r="AC60" s="1">
        <v>1985</v>
      </c>
      <c r="AD60" s="1">
        <v>2038</v>
      </c>
    </row>
    <row r="61" spans="1:30">
      <c r="A61" s="42" t="s">
        <v>71</v>
      </c>
      <c r="B61" s="46">
        <v>2</v>
      </c>
      <c r="C61" s="46">
        <v>2</v>
      </c>
      <c r="D61" s="46">
        <v>4</v>
      </c>
      <c r="E61" s="46">
        <v>5</v>
      </c>
      <c r="F61" s="46">
        <v>7</v>
      </c>
      <c r="G61" s="46">
        <v>4</v>
      </c>
      <c r="H61" s="46">
        <v>7</v>
      </c>
      <c r="I61" s="46">
        <v>16</v>
      </c>
      <c r="J61" s="46">
        <v>18</v>
      </c>
      <c r="K61" s="46">
        <v>27</v>
      </c>
      <c r="L61" s="46">
        <v>64</v>
      </c>
      <c r="M61" s="46">
        <v>55</v>
      </c>
      <c r="N61" s="46">
        <v>78</v>
      </c>
      <c r="O61" s="46">
        <v>80</v>
      </c>
      <c r="P61" s="46">
        <v>87</v>
      </c>
      <c r="Q61" s="46">
        <v>85</v>
      </c>
      <c r="R61" s="46">
        <v>87</v>
      </c>
      <c r="S61" s="46">
        <v>93</v>
      </c>
      <c r="T61" s="46">
        <v>119</v>
      </c>
      <c r="U61" s="46">
        <v>115</v>
      </c>
      <c r="V61" s="46">
        <v>140</v>
      </c>
      <c r="W61" s="46">
        <v>123</v>
      </c>
      <c r="X61" s="46">
        <v>129</v>
      </c>
      <c r="Y61" s="46">
        <v>153</v>
      </c>
      <c r="Z61" s="1">
        <v>155</v>
      </c>
      <c r="AA61" s="1">
        <v>116</v>
      </c>
      <c r="AB61" s="1">
        <v>127</v>
      </c>
      <c r="AC61" s="1">
        <v>114</v>
      </c>
      <c r="AD61" s="1">
        <v>121</v>
      </c>
    </row>
    <row r="62" spans="1:30">
      <c r="A62" s="47" t="s">
        <v>72</v>
      </c>
      <c r="B62" s="48">
        <v>77</v>
      </c>
      <c r="C62" s="48">
        <v>98</v>
      </c>
      <c r="D62" s="48">
        <v>91</v>
      </c>
      <c r="E62" s="48">
        <v>96</v>
      </c>
      <c r="F62" s="48">
        <v>93</v>
      </c>
      <c r="G62" s="48">
        <v>90</v>
      </c>
      <c r="H62" s="48">
        <v>94</v>
      </c>
      <c r="I62" s="48">
        <v>90</v>
      </c>
      <c r="J62" s="48">
        <v>92</v>
      </c>
      <c r="K62" s="48">
        <v>94</v>
      </c>
      <c r="L62" s="48">
        <v>93</v>
      </c>
      <c r="M62" s="48">
        <v>94</v>
      </c>
      <c r="N62" s="48">
        <v>90</v>
      </c>
      <c r="O62" s="48">
        <v>88</v>
      </c>
      <c r="P62" s="48">
        <v>97</v>
      </c>
      <c r="Q62" s="48">
        <v>97</v>
      </c>
      <c r="R62" s="48">
        <v>81</v>
      </c>
      <c r="S62" s="48">
        <v>124</v>
      </c>
      <c r="T62" s="48">
        <v>136</v>
      </c>
      <c r="U62" s="48">
        <v>150</v>
      </c>
      <c r="V62" s="48">
        <v>145</v>
      </c>
      <c r="W62" s="46">
        <v>144</v>
      </c>
      <c r="X62" s="46">
        <v>149</v>
      </c>
      <c r="Y62" s="46">
        <v>145</v>
      </c>
      <c r="Z62" s="1">
        <v>143</v>
      </c>
      <c r="AA62" s="1">
        <v>153</v>
      </c>
      <c r="AB62" s="1">
        <v>162</v>
      </c>
      <c r="AC62" s="1">
        <v>162</v>
      </c>
      <c r="AD62" s="1">
        <v>181</v>
      </c>
    </row>
    <row r="63" spans="1:30">
      <c r="A63" s="49" t="s">
        <v>73</v>
      </c>
      <c r="B63" s="50"/>
      <c r="C63" s="50"/>
      <c r="D63" s="50"/>
      <c r="E63" s="50"/>
      <c r="F63" s="50"/>
      <c r="G63" s="50"/>
      <c r="H63" s="50">
        <v>68</v>
      </c>
      <c r="I63" s="50">
        <v>62</v>
      </c>
      <c r="J63" s="50">
        <v>60</v>
      </c>
      <c r="K63" s="50">
        <v>43</v>
      </c>
      <c r="L63" s="50">
        <v>37</v>
      </c>
      <c r="M63" s="50">
        <v>34</v>
      </c>
      <c r="N63" s="50">
        <v>25</v>
      </c>
      <c r="O63" s="50">
        <v>53</v>
      </c>
      <c r="P63" s="50">
        <v>75</v>
      </c>
      <c r="Q63" s="50">
        <v>65</v>
      </c>
      <c r="R63" s="50">
        <v>68</v>
      </c>
      <c r="S63" s="50">
        <v>69</v>
      </c>
      <c r="T63" s="50">
        <v>81</v>
      </c>
      <c r="U63" s="50">
        <v>78</v>
      </c>
      <c r="V63" s="50">
        <v>93</v>
      </c>
      <c r="W63" s="50">
        <v>81</v>
      </c>
      <c r="X63" s="50">
        <v>103</v>
      </c>
      <c r="Y63" s="50">
        <v>68</v>
      </c>
      <c r="Z63" s="95">
        <v>97</v>
      </c>
      <c r="AA63" s="95">
        <v>71</v>
      </c>
      <c r="AB63" s="95">
        <v>64</v>
      </c>
      <c r="AC63" s="95">
        <v>65</v>
      </c>
      <c r="AD63" s="116">
        <v>78</v>
      </c>
    </row>
    <row r="64" spans="1:30">
      <c r="B64" s="6"/>
      <c r="C64" s="6"/>
      <c r="D64" s="6"/>
      <c r="E64" s="6"/>
      <c r="F64" s="6"/>
      <c r="G64" s="6"/>
      <c r="H64" s="6"/>
      <c r="I64" s="6"/>
      <c r="J64" s="6"/>
    </row>
    <row r="65" spans="2:30">
      <c r="B65" s="1" t="s">
        <v>209</v>
      </c>
      <c r="C65" s="1" t="s">
        <v>209</v>
      </c>
      <c r="D65" s="1" t="s">
        <v>209</v>
      </c>
      <c r="E65" s="1" t="s">
        <v>209</v>
      </c>
      <c r="F65" s="1" t="s">
        <v>209</v>
      </c>
      <c r="G65" s="5" t="s">
        <v>134</v>
      </c>
      <c r="H65" s="5" t="s">
        <v>134</v>
      </c>
      <c r="I65" s="5" t="s">
        <v>134</v>
      </c>
      <c r="J65" s="5" t="s">
        <v>134</v>
      </c>
      <c r="K65" s="5" t="s">
        <v>134</v>
      </c>
      <c r="L65" s="5" t="s">
        <v>134</v>
      </c>
      <c r="M65" s="5" t="s">
        <v>134</v>
      </c>
      <c r="N65" s="5"/>
      <c r="O65" s="5"/>
      <c r="P65" s="5"/>
      <c r="Q65" s="5"/>
      <c r="R65" s="5" t="s">
        <v>134</v>
      </c>
      <c r="S65" s="5" t="s">
        <v>134</v>
      </c>
      <c r="T65" s="5"/>
      <c r="U65" s="5"/>
      <c r="V65" s="5" t="s">
        <v>134</v>
      </c>
      <c r="W65" s="5"/>
      <c r="X65" s="5"/>
      <c r="Y65" s="5"/>
    </row>
    <row r="66" spans="2:30">
      <c r="B66" s="1" t="s">
        <v>210</v>
      </c>
      <c r="C66" s="1" t="s">
        <v>210</v>
      </c>
      <c r="D66" s="1" t="s">
        <v>210</v>
      </c>
      <c r="E66" s="1" t="s">
        <v>210</v>
      </c>
      <c r="F66" s="1" t="s">
        <v>210</v>
      </c>
      <c r="G66" s="5" t="s">
        <v>140</v>
      </c>
      <c r="H66" s="5" t="s">
        <v>140</v>
      </c>
      <c r="I66" s="5" t="s">
        <v>140</v>
      </c>
      <c r="J66" s="5" t="s">
        <v>140</v>
      </c>
      <c r="K66" s="5" t="s">
        <v>140</v>
      </c>
      <c r="L66" s="5" t="s">
        <v>140</v>
      </c>
      <c r="M66" s="5" t="s">
        <v>141</v>
      </c>
      <c r="N66" s="5"/>
      <c r="O66" s="5"/>
      <c r="P66" s="5"/>
      <c r="Q66" s="5"/>
      <c r="R66" s="5" t="s">
        <v>141</v>
      </c>
      <c r="S66" s="1" t="s">
        <v>141</v>
      </c>
      <c r="T66" s="1"/>
      <c r="U66" s="5"/>
      <c r="V66" s="1" t="s">
        <v>141</v>
      </c>
      <c r="AC66" s="5" t="s">
        <v>134</v>
      </c>
      <c r="AD66" s="5"/>
    </row>
    <row r="67" spans="2:30">
      <c r="B67" s="1" t="s">
        <v>211</v>
      </c>
      <c r="C67" s="1" t="s">
        <v>211</v>
      </c>
      <c r="D67" s="1" t="s">
        <v>211</v>
      </c>
      <c r="E67" s="1" t="s">
        <v>211</v>
      </c>
      <c r="F67" s="1" t="s">
        <v>211</v>
      </c>
      <c r="G67" s="5" t="s">
        <v>146</v>
      </c>
      <c r="H67" s="5" t="s">
        <v>146</v>
      </c>
      <c r="I67" s="5" t="s">
        <v>146</v>
      </c>
      <c r="J67" s="5" t="s">
        <v>146</v>
      </c>
      <c r="K67" s="5" t="s">
        <v>146</v>
      </c>
      <c r="L67" s="5" t="s">
        <v>146</v>
      </c>
      <c r="M67" s="5" t="s">
        <v>147</v>
      </c>
      <c r="N67" s="5"/>
      <c r="O67" s="5"/>
      <c r="P67" s="5"/>
      <c r="Q67" s="5"/>
      <c r="R67" s="5" t="s">
        <v>147</v>
      </c>
      <c r="S67" s="1" t="s">
        <v>147</v>
      </c>
      <c r="T67" s="1"/>
      <c r="U67" s="5"/>
      <c r="V67" s="1" t="s">
        <v>147</v>
      </c>
      <c r="AC67" s="1" t="s">
        <v>141</v>
      </c>
    </row>
    <row r="68" spans="2:30">
      <c r="B68" s="1" t="s">
        <v>212</v>
      </c>
      <c r="C68" s="1" t="s">
        <v>212</v>
      </c>
      <c r="D68" s="1" t="s">
        <v>212</v>
      </c>
      <c r="E68" s="1" t="s">
        <v>212</v>
      </c>
      <c r="F68" s="1" t="s">
        <v>212</v>
      </c>
      <c r="G68" s="5" t="s">
        <v>151</v>
      </c>
      <c r="H68" s="5" t="s">
        <v>151</v>
      </c>
      <c r="I68" s="5" t="s">
        <v>151</v>
      </c>
      <c r="J68" s="5" t="s">
        <v>151</v>
      </c>
      <c r="K68" s="5" t="s">
        <v>151</v>
      </c>
      <c r="L68" s="5" t="s">
        <v>151</v>
      </c>
      <c r="M68" s="5" t="s">
        <v>153</v>
      </c>
      <c r="N68" s="5"/>
      <c r="O68" s="5"/>
      <c r="P68" s="5"/>
      <c r="Q68" s="5"/>
      <c r="R68" s="5" t="s">
        <v>153</v>
      </c>
      <c r="S68" s="1" t="s">
        <v>152</v>
      </c>
      <c r="T68" s="1"/>
      <c r="U68" s="5"/>
      <c r="V68" s="1" t="s">
        <v>152</v>
      </c>
      <c r="AC68" s="1" t="s">
        <v>147</v>
      </c>
    </row>
    <row r="69" spans="2:30">
      <c r="B69" s="1" t="s">
        <v>213</v>
      </c>
      <c r="C69" s="1" t="s">
        <v>213</v>
      </c>
      <c r="D69" s="1" t="s">
        <v>213</v>
      </c>
      <c r="E69" s="1" t="s">
        <v>213</v>
      </c>
      <c r="F69" s="1" t="s">
        <v>213</v>
      </c>
      <c r="G69" s="5" t="s">
        <v>153</v>
      </c>
      <c r="H69" s="5" t="s">
        <v>153</v>
      </c>
      <c r="I69" s="5" t="s">
        <v>153</v>
      </c>
      <c r="J69" s="5" t="s">
        <v>153</v>
      </c>
      <c r="K69" s="5" t="s">
        <v>153</v>
      </c>
      <c r="L69" s="5" t="s">
        <v>153</v>
      </c>
      <c r="M69" s="5" t="s">
        <v>156</v>
      </c>
      <c r="N69" s="5"/>
      <c r="O69" s="5"/>
      <c r="P69" s="5"/>
      <c r="Q69" s="5"/>
      <c r="R69" s="5" t="s">
        <v>156</v>
      </c>
      <c r="S69" s="1" t="s">
        <v>156</v>
      </c>
      <c r="T69" s="1"/>
      <c r="U69" s="5"/>
      <c r="V69" s="1" t="s">
        <v>156</v>
      </c>
      <c r="AC69" s="1" t="s">
        <v>152</v>
      </c>
    </row>
    <row r="70" spans="2:30">
      <c r="B70" s="1" t="s">
        <v>214</v>
      </c>
      <c r="C70" s="1" t="s">
        <v>214</v>
      </c>
      <c r="D70" s="1" t="s">
        <v>214</v>
      </c>
      <c r="E70" s="1" t="s">
        <v>214</v>
      </c>
      <c r="F70" s="1" t="s">
        <v>214</v>
      </c>
      <c r="G70" s="5" t="s">
        <v>156</v>
      </c>
      <c r="H70" s="5" t="s">
        <v>156</v>
      </c>
      <c r="I70" s="5" t="s">
        <v>156</v>
      </c>
      <c r="J70" s="5" t="s">
        <v>156</v>
      </c>
      <c r="K70" s="5" t="s">
        <v>156</v>
      </c>
      <c r="L70" s="5" t="s">
        <v>156</v>
      </c>
      <c r="M70" s="5" t="s">
        <v>159</v>
      </c>
      <c r="N70" s="5"/>
      <c r="O70" s="5"/>
      <c r="P70" s="5"/>
      <c r="Q70" s="5"/>
      <c r="R70" s="5" t="s">
        <v>159</v>
      </c>
      <c r="S70" s="1" t="s">
        <v>159</v>
      </c>
      <c r="T70" s="1"/>
      <c r="U70" s="5"/>
      <c r="V70" s="1" t="s">
        <v>159</v>
      </c>
      <c r="AC70" s="1" t="s">
        <v>156</v>
      </c>
    </row>
    <row r="71" spans="2:30">
      <c r="B71" s="1" t="s">
        <v>215</v>
      </c>
      <c r="C71" s="1" t="s">
        <v>215</v>
      </c>
      <c r="D71" s="1" t="s">
        <v>215</v>
      </c>
      <c r="E71" s="1" t="s">
        <v>215</v>
      </c>
      <c r="F71" s="1" t="s">
        <v>215</v>
      </c>
      <c r="G71" s="5" t="s">
        <v>162</v>
      </c>
      <c r="H71" s="5" t="s">
        <v>162</v>
      </c>
      <c r="I71" s="5" t="s">
        <v>162</v>
      </c>
      <c r="J71" s="5" t="s">
        <v>162</v>
      </c>
      <c r="K71" s="5" t="s">
        <v>162</v>
      </c>
      <c r="L71" s="5" t="s">
        <v>162</v>
      </c>
      <c r="M71" s="5" t="s">
        <v>163</v>
      </c>
      <c r="N71" s="5"/>
      <c r="O71" s="5"/>
      <c r="P71" s="5"/>
      <c r="Q71" s="5"/>
      <c r="R71" s="5" t="s">
        <v>163</v>
      </c>
      <c r="S71" s="1" t="s">
        <v>164</v>
      </c>
      <c r="T71" s="1"/>
      <c r="U71" s="5"/>
      <c r="V71" s="1" t="s">
        <v>164</v>
      </c>
      <c r="AC71" s="1" t="s">
        <v>159</v>
      </c>
    </row>
    <row r="72" spans="2:30" ht="12.95">
      <c r="B72" s="1" t="s">
        <v>99</v>
      </c>
      <c r="C72" s="1" t="s">
        <v>100</v>
      </c>
      <c r="D72" s="1" t="s">
        <v>104</v>
      </c>
      <c r="E72" s="1" t="s">
        <v>105</v>
      </c>
      <c r="F72" s="1" t="s">
        <v>106</v>
      </c>
      <c r="G72" s="10" t="s">
        <v>216</v>
      </c>
      <c r="H72" s="7" t="s">
        <v>167</v>
      </c>
      <c r="I72" s="7" t="s">
        <v>167</v>
      </c>
      <c r="J72" s="7" t="s">
        <v>167</v>
      </c>
      <c r="K72" s="7" t="s">
        <v>167</v>
      </c>
      <c r="L72" s="7" t="s">
        <v>167</v>
      </c>
      <c r="M72" s="7" t="s">
        <v>168</v>
      </c>
      <c r="N72" s="7"/>
      <c r="O72" s="7"/>
      <c r="P72" s="7"/>
      <c r="Q72" s="7"/>
      <c r="R72" s="7" t="s">
        <v>168</v>
      </c>
      <c r="S72" s="1" t="s">
        <v>169</v>
      </c>
      <c r="T72" s="1"/>
      <c r="U72" s="7"/>
      <c r="V72" s="1" t="s">
        <v>169</v>
      </c>
      <c r="AC72" s="1" t="s">
        <v>164</v>
      </c>
    </row>
    <row r="73" spans="2:30" ht="12.95">
      <c r="G73" s="10" t="s">
        <v>217</v>
      </c>
      <c r="H73" s="7" t="s">
        <v>156</v>
      </c>
      <c r="I73" s="7" t="s">
        <v>156</v>
      </c>
      <c r="J73" s="7" t="s">
        <v>156</v>
      </c>
      <c r="K73" s="7" t="s">
        <v>156</v>
      </c>
      <c r="L73" s="7" t="s">
        <v>156</v>
      </c>
      <c r="M73" s="7" t="s">
        <v>171</v>
      </c>
      <c r="N73" s="7"/>
      <c r="O73" s="7"/>
      <c r="P73" s="7"/>
      <c r="Q73" s="7"/>
      <c r="R73" s="7" t="s">
        <v>171</v>
      </c>
      <c r="S73" s="1" t="s">
        <v>172</v>
      </c>
      <c r="T73" s="1"/>
      <c r="U73" s="7"/>
      <c r="V73" s="1" t="s">
        <v>172</v>
      </c>
      <c r="AC73" s="1" t="s">
        <v>169</v>
      </c>
    </row>
    <row r="74" spans="2:30" ht="12.95">
      <c r="G74" s="10" t="s">
        <v>146</v>
      </c>
      <c r="H74" s="7" t="s">
        <v>173</v>
      </c>
      <c r="I74" s="7" t="s">
        <v>173</v>
      </c>
      <c r="J74" s="7" t="s">
        <v>173</v>
      </c>
      <c r="K74" s="7" t="s">
        <v>173</v>
      </c>
      <c r="L74" s="7" t="s">
        <v>173</v>
      </c>
      <c r="M74" s="7" t="s">
        <v>174</v>
      </c>
      <c r="N74" s="7"/>
      <c r="O74" s="7"/>
      <c r="P74" s="7"/>
      <c r="Q74" s="7"/>
      <c r="R74" s="7" t="s">
        <v>174</v>
      </c>
      <c r="S74" s="1" t="s">
        <v>175</v>
      </c>
      <c r="T74" s="1"/>
      <c r="U74" s="7"/>
      <c r="V74" s="1" t="s">
        <v>175</v>
      </c>
      <c r="AC74" s="1" t="s">
        <v>172</v>
      </c>
    </row>
    <row r="75" spans="2:30" ht="12.95">
      <c r="G75" s="10" t="s">
        <v>218</v>
      </c>
      <c r="H75" s="7" t="s">
        <v>219</v>
      </c>
      <c r="I75" s="7" t="s">
        <v>177</v>
      </c>
      <c r="J75" s="7" t="s">
        <v>220</v>
      </c>
      <c r="K75" s="7" t="s">
        <v>179</v>
      </c>
      <c r="L75" s="7" t="s">
        <v>179</v>
      </c>
      <c r="M75" s="7" t="s">
        <v>180</v>
      </c>
      <c r="N75" s="7"/>
      <c r="O75" s="7"/>
      <c r="P75" s="7"/>
      <c r="Q75" s="7"/>
      <c r="R75" s="7" t="s">
        <v>180</v>
      </c>
      <c r="S75" s="1" t="s">
        <v>180</v>
      </c>
      <c r="T75" s="1"/>
      <c r="U75" s="7"/>
      <c r="V75" s="1" t="s">
        <v>180</v>
      </c>
      <c r="AC75" s="1" t="s">
        <v>176</v>
      </c>
    </row>
    <row r="76" spans="2:30" ht="12.95">
      <c r="G76" s="10" t="s">
        <v>221</v>
      </c>
      <c r="H76" s="1" t="s">
        <v>222</v>
      </c>
      <c r="I76" s="1" t="s">
        <v>182</v>
      </c>
      <c r="J76" s="1" t="s">
        <v>223</v>
      </c>
      <c r="K76" s="1" t="s">
        <v>223</v>
      </c>
      <c r="L76" s="1" t="s">
        <v>223</v>
      </c>
      <c r="R76" s="1"/>
      <c r="S76" s="1"/>
      <c r="T76" s="1"/>
      <c r="AC76" s="1" t="s">
        <v>180</v>
      </c>
    </row>
    <row r="77" spans="2:30" ht="12.95">
      <c r="G77" s="10" t="s">
        <v>224</v>
      </c>
      <c r="H77" s="1" t="s">
        <v>225</v>
      </c>
      <c r="I77" s="1" t="s">
        <v>226</v>
      </c>
      <c r="J77" s="1" t="s">
        <v>48</v>
      </c>
      <c r="K77" s="1" t="s">
        <v>226</v>
      </c>
      <c r="L77" s="1" t="s">
        <v>226</v>
      </c>
      <c r="R77" s="1" t="s">
        <v>185</v>
      </c>
      <c r="S77" s="1" t="s">
        <v>185</v>
      </c>
      <c r="T77" s="1"/>
    </row>
    <row r="78" spans="2:30">
      <c r="G78" s="5" t="s">
        <v>227</v>
      </c>
      <c r="H78" s="1" t="s">
        <v>48</v>
      </c>
      <c r="I78" s="1" t="s">
        <v>48</v>
      </c>
      <c r="J78" s="1" t="s">
        <v>186</v>
      </c>
      <c r="K78" s="1" t="s">
        <v>48</v>
      </c>
      <c r="L78" s="1" t="s">
        <v>48</v>
      </c>
      <c r="R78" s="1" t="s">
        <v>187</v>
      </c>
      <c r="S78" s="1" t="s">
        <v>187</v>
      </c>
      <c r="T78" s="1"/>
    </row>
    <row r="79" spans="2:30">
      <c r="G79" s="5" t="s">
        <v>228</v>
      </c>
      <c r="H79" s="1" t="s">
        <v>229</v>
      </c>
      <c r="I79" s="1" t="s">
        <v>186</v>
      </c>
      <c r="K79" s="1" t="s">
        <v>186</v>
      </c>
      <c r="L79" s="1" t="s">
        <v>186</v>
      </c>
      <c r="R79" s="1" t="s">
        <v>188</v>
      </c>
      <c r="S79" s="1" t="s">
        <v>188</v>
      </c>
      <c r="T79" s="1"/>
    </row>
    <row r="80" spans="2:30">
      <c r="G80" s="5" t="s">
        <v>48</v>
      </c>
      <c r="H80" s="5"/>
      <c r="R80" s="1" t="s">
        <v>189</v>
      </c>
      <c r="S80" s="1" t="s">
        <v>189</v>
      </c>
      <c r="T80" s="1"/>
    </row>
    <row r="81" spans="7:20">
      <c r="G81" s="5" t="s">
        <v>230</v>
      </c>
      <c r="H81" s="5"/>
      <c r="R81" s="1" t="s">
        <v>190</v>
      </c>
      <c r="S81" s="1" t="s">
        <v>190</v>
      </c>
      <c r="T81" s="1"/>
    </row>
    <row r="82" spans="7:20">
      <c r="R82" s="1" t="s">
        <v>191</v>
      </c>
      <c r="S82" s="1" t="s">
        <v>191</v>
      </c>
      <c r="T82" s="1"/>
    </row>
    <row r="83" spans="7:20">
      <c r="R83" s="1" t="s">
        <v>192</v>
      </c>
      <c r="S83" s="1" t="s">
        <v>192</v>
      </c>
      <c r="T83" s="1"/>
    </row>
    <row r="84" spans="7:20">
      <c r="R84" s="1" t="s">
        <v>193</v>
      </c>
      <c r="S84" s="1" t="s">
        <v>193</v>
      </c>
      <c r="T84" s="1"/>
    </row>
    <row r="85" spans="7:20" ht="12.95">
      <c r="G85" s="9"/>
      <c r="H85" s="9"/>
      <c r="R85" s="1" t="s">
        <v>194</v>
      </c>
      <c r="S85" s="1" t="s">
        <v>194</v>
      </c>
      <c r="T85" s="1"/>
    </row>
    <row r="86" spans="7:20">
      <c r="R86" s="1" t="s">
        <v>195</v>
      </c>
      <c r="S86" s="1" t="s">
        <v>195</v>
      </c>
      <c r="T86" s="1"/>
    </row>
    <row r="87" spans="7:20">
      <c r="R87" s="1" t="s">
        <v>196</v>
      </c>
      <c r="S87" s="1" t="s">
        <v>196</v>
      </c>
      <c r="T87" s="1"/>
    </row>
    <row r="88" spans="7:20">
      <c r="R88" s="1" t="s">
        <v>197</v>
      </c>
      <c r="S88" s="1" t="s">
        <v>197</v>
      </c>
      <c r="T88" s="1"/>
    </row>
    <row r="89" spans="7:20">
      <c r="R89" s="1" t="s">
        <v>198</v>
      </c>
      <c r="S89" s="1" t="s">
        <v>198</v>
      </c>
      <c r="T89" s="1"/>
    </row>
    <row r="90" spans="7:20">
      <c r="R90" s="1" t="s">
        <v>199</v>
      </c>
      <c r="S90" s="1" t="s">
        <v>199</v>
      </c>
      <c r="T90" s="1"/>
    </row>
    <row r="91" spans="7:20" ht="12.95">
      <c r="R91" s="52" t="s">
        <v>200</v>
      </c>
      <c r="S91" s="52" t="s">
        <v>200</v>
      </c>
      <c r="T91" s="52"/>
    </row>
    <row r="92" spans="7:20">
      <c r="R92" s="1"/>
      <c r="S92" s="1"/>
      <c r="T92" s="1"/>
    </row>
    <row r="93" spans="7:20">
      <c r="R93" s="1" t="s">
        <v>201</v>
      </c>
      <c r="S93" s="1"/>
      <c r="T93" s="1"/>
    </row>
    <row r="94" spans="7:20" ht="12.95">
      <c r="R94" s="1" t="s">
        <v>202</v>
      </c>
      <c r="S94" s="52"/>
      <c r="T94" s="52"/>
    </row>
    <row r="95" spans="7:20">
      <c r="R95" s="1" t="s">
        <v>203</v>
      </c>
      <c r="S95" s="1"/>
      <c r="T95" s="1"/>
    </row>
    <row r="96" spans="7:20">
      <c r="R96" s="1" t="s">
        <v>204</v>
      </c>
      <c r="S96" s="1"/>
      <c r="T96" s="1"/>
    </row>
    <row r="97" spans="18:20">
      <c r="R97" s="1" t="s">
        <v>205</v>
      </c>
      <c r="S97" s="1"/>
      <c r="T97" s="1"/>
    </row>
    <row r="98" spans="18:20">
      <c r="R98" s="1" t="s">
        <v>206</v>
      </c>
      <c r="S98" s="1"/>
      <c r="T98" s="1"/>
    </row>
    <row r="99" spans="18:20">
      <c r="R99" s="1"/>
      <c r="S99" s="1"/>
      <c r="T99" s="1"/>
    </row>
    <row r="100" spans="18:20">
      <c r="R100" s="1"/>
      <c r="S100" s="1"/>
      <c r="T100" s="1"/>
    </row>
    <row r="101" spans="18:20">
      <c r="R101" s="1"/>
    </row>
    <row r="102" spans="18:20">
      <c r="R102" s="1"/>
    </row>
    <row r="103" spans="18:20">
      <c r="R103" s="1"/>
    </row>
  </sheetData>
  <phoneticPr fontId="0" type="noConversion"/>
  <hyperlinks>
    <hyperlink ref="S75" r:id="rId1" display="www.nces.ed.gov" xr:uid="{00000000-0004-0000-0200-000000000000}"/>
    <hyperlink ref="V75" r:id="rId2" display="www.nces.ed.gov" xr:uid="{00000000-0004-0000-0200-000001000000}"/>
    <hyperlink ref="AC76" r:id="rId3" display="www.nces.ed.gov" xr:uid="{F8312C60-9839-4DC4-94A0-2C06CA69489C}"/>
  </hyperlinks>
  <pageMargins left="0.75" right="0.75" top="1" bottom="1" header="0.5" footer="0.5"/>
  <pageSetup orientation="portrait" r:id="rId4"/>
  <headerFooter alignWithMargins="0"/>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CZ109"/>
  <sheetViews>
    <sheetView zoomScale="95" zoomScaleNormal="95" workbookViewId="0">
      <pane xSplit="1" ySplit="3" topLeftCell="CB4" activePane="bottomRight" state="frozen"/>
      <selection pane="bottomRight" activeCell="CY63" sqref="CY63"/>
      <selection pane="bottomLeft" activeCell="E1" sqref="E1"/>
      <selection pane="topRight" activeCell="E1" sqref="E1"/>
    </sheetView>
  </sheetViews>
  <sheetFormatPr defaultColWidth="9.85546875" defaultRowHeight="12.75" customHeight="1"/>
  <cols>
    <col min="1" max="1" width="21.42578125" style="1" customWidth="1"/>
    <col min="2" max="37" width="8.140625" style="1" customWidth="1"/>
    <col min="38" max="47" width="9.85546875" style="1"/>
    <col min="48" max="49" width="9.140625" style="1"/>
    <col min="50" max="16384" width="9.85546875" style="1"/>
  </cols>
  <sheetData>
    <row r="1" spans="1:104">
      <c r="A1" s="17" t="s">
        <v>231</v>
      </c>
      <c r="B1" s="60"/>
      <c r="C1" s="2"/>
      <c r="D1" s="2"/>
      <c r="E1" s="2"/>
      <c r="F1" s="2"/>
      <c r="G1" s="2"/>
      <c r="H1" s="2"/>
      <c r="I1" s="2"/>
      <c r="J1" s="2"/>
      <c r="K1" s="2"/>
      <c r="L1" s="2"/>
      <c r="M1" s="2"/>
      <c r="N1" s="2"/>
      <c r="O1" s="2"/>
      <c r="P1" s="2"/>
      <c r="Q1" s="2"/>
      <c r="R1" s="2"/>
      <c r="S1" s="2"/>
      <c r="T1" s="2"/>
      <c r="U1" s="2"/>
      <c r="V1" s="2"/>
      <c r="W1" s="2"/>
      <c r="X1" s="2"/>
      <c r="Y1" s="2"/>
      <c r="Z1" s="2"/>
      <c r="AA1" s="2"/>
      <c r="AB1" s="2"/>
      <c r="AC1" s="2"/>
      <c r="AD1" s="2"/>
      <c r="AE1" s="2"/>
      <c r="BA1" s="53"/>
    </row>
    <row r="2" spans="1:104">
      <c r="B2" s="108" t="s">
        <v>232</v>
      </c>
      <c r="C2" s="109" t="s">
        <v>232</v>
      </c>
      <c r="D2" s="109" t="s">
        <v>232</v>
      </c>
      <c r="E2" s="109" t="s">
        <v>232</v>
      </c>
      <c r="F2" s="109" t="s">
        <v>232</v>
      </c>
      <c r="G2" s="109" t="s">
        <v>232</v>
      </c>
      <c r="H2" s="109" t="s">
        <v>232</v>
      </c>
      <c r="I2" s="109" t="s">
        <v>232</v>
      </c>
      <c r="J2" s="109" t="s">
        <v>232</v>
      </c>
      <c r="K2" s="109" t="s">
        <v>232</v>
      </c>
      <c r="L2" s="109" t="s">
        <v>232</v>
      </c>
      <c r="M2" s="109" t="s">
        <v>232</v>
      </c>
      <c r="N2" s="109" t="s">
        <v>232</v>
      </c>
      <c r="O2" s="109" t="s">
        <v>232</v>
      </c>
      <c r="P2" s="109" t="s">
        <v>232</v>
      </c>
      <c r="Q2" s="109" t="s">
        <v>232</v>
      </c>
      <c r="R2" s="109" t="s">
        <v>232</v>
      </c>
      <c r="S2" s="109" t="s">
        <v>232</v>
      </c>
      <c r="T2" s="109" t="s">
        <v>232</v>
      </c>
      <c r="U2" s="109" t="s">
        <v>232</v>
      </c>
      <c r="V2" s="109" t="s">
        <v>232</v>
      </c>
      <c r="W2" s="109" t="s">
        <v>232</v>
      </c>
      <c r="X2" s="109" t="s">
        <v>232</v>
      </c>
      <c r="Y2" s="109" t="s">
        <v>232</v>
      </c>
      <c r="Z2" s="109" t="s">
        <v>232</v>
      </c>
      <c r="AA2" s="109" t="s">
        <v>232</v>
      </c>
      <c r="AB2" s="109" t="s">
        <v>232</v>
      </c>
      <c r="AC2" s="109" t="s">
        <v>232</v>
      </c>
      <c r="AD2" s="109" t="s">
        <v>232</v>
      </c>
      <c r="AE2" s="109" t="s">
        <v>232</v>
      </c>
      <c r="AF2" s="109" t="s">
        <v>232</v>
      </c>
      <c r="AG2" s="109" t="s">
        <v>232</v>
      </c>
      <c r="AH2" s="109" t="s">
        <v>232</v>
      </c>
      <c r="AI2" s="109" t="s">
        <v>232</v>
      </c>
      <c r="AJ2" s="109" t="s">
        <v>232</v>
      </c>
      <c r="AK2" s="109" t="s">
        <v>232</v>
      </c>
      <c r="AL2" s="109" t="s">
        <v>232</v>
      </c>
      <c r="AM2" s="109" t="s">
        <v>232</v>
      </c>
      <c r="AN2" s="109" t="s">
        <v>232</v>
      </c>
      <c r="AO2" s="109" t="s">
        <v>232</v>
      </c>
      <c r="AP2" s="109" t="s">
        <v>232</v>
      </c>
      <c r="AQ2" s="109" t="s">
        <v>232</v>
      </c>
      <c r="AR2" s="109" t="s">
        <v>232</v>
      </c>
      <c r="AS2" s="109" t="s">
        <v>232</v>
      </c>
      <c r="AT2" s="109" t="s">
        <v>232</v>
      </c>
      <c r="AU2" s="109" t="s">
        <v>232</v>
      </c>
      <c r="AV2" s="109" t="s">
        <v>232</v>
      </c>
      <c r="AW2" s="109" t="s">
        <v>232</v>
      </c>
      <c r="AX2" s="109" t="s">
        <v>232</v>
      </c>
      <c r="AY2" s="109" t="s">
        <v>232</v>
      </c>
      <c r="AZ2" s="109" t="s">
        <v>232</v>
      </c>
      <c r="BA2" s="110" t="s">
        <v>233</v>
      </c>
      <c r="BB2" s="109" t="s">
        <v>233</v>
      </c>
      <c r="BC2" s="109" t="s">
        <v>233</v>
      </c>
      <c r="BD2" s="109" t="s">
        <v>233</v>
      </c>
      <c r="BE2" s="109" t="s">
        <v>233</v>
      </c>
      <c r="BF2" s="109" t="s">
        <v>233</v>
      </c>
      <c r="BG2" s="109" t="s">
        <v>233</v>
      </c>
      <c r="BH2" s="109" t="s">
        <v>233</v>
      </c>
      <c r="BI2" s="109" t="s">
        <v>233</v>
      </c>
      <c r="BJ2" s="109" t="s">
        <v>233</v>
      </c>
      <c r="BK2" s="109" t="s">
        <v>233</v>
      </c>
      <c r="BL2" s="109" t="s">
        <v>233</v>
      </c>
      <c r="BM2" s="109" t="s">
        <v>233</v>
      </c>
      <c r="BN2" s="109" t="s">
        <v>233</v>
      </c>
      <c r="BO2" s="109" t="s">
        <v>233</v>
      </c>
      <c r="BP2" s="109" t="s">
        <v>233</v>
      </c>
      <c r="BQ2" s="109" t="s">
        <v>233</v>
      </c>
      <c r="BR2" s="109" t="s">
        <v>233</v>
      </c>
      <c r="BS2" s="109" t="s">
        <v>233</v>
      </c>
      <c r="BT2" s="109" t="s">
        <v>233</v>
      </c>
      <c r="BU2" s="109" t="s">
        <v>233</v>
      </c>
      <c r="BV2" s="109" t="s">
        <v>233</v>
      </c>
      <c r="BW2" s="109" t="s">
        <v>233</v>
      </c>
      <c r="BX2" s="109" t="s">
        <v>233</v>
      </c>
      <c r="BY2" s="109" t="s">
        <v>233</v>
      </c>
      <c r="BZ2" s="109" t="s">
        <v>233</v>
      </c>
      <c r="CA2" s="109" t="s">
        <v>233</v>
      </c>
      <c r="CB2" s="109" t="s">
        <v>233</v>
      </c>
      <c r="CC2" s="109" t="s">
        <v>233</v>
      </c>
      <c r="CD2" s="109" t="s">
        <v>233</v>
      </c>
      <c r="CE2" s="109" t="s">
        <v>233</v>
      </c>
      <c r="CF2" s="109" t="s">
        <v>233</v>
      </c>
      <c r="CG2" s="109" t="s">
        <v>233</v>
      </c>
      <c r="CH2" s="109" t="s">
        <v>233</v>
      </c>
      <c r="CI2" s="109" t="s">
        <v>233</v>
      </c>
      <c r="CJ2" s="109" t="s">
        <v>233</v>
      </c>
      <c r="CK2" s="109" t="s">
        <v>233</v>
      </c>
      <c r="CL2" s="109" t="s">
        <v>233</v>
      </c>
      <c r="CM2" s="109" t="s">
        <v>233</v>
      </c>
      <c r="CN2" s="109" t="s">
        <v>233</v>
      </c>
      <c r="CO2" s="109" t="s">
        <v>233</v>
      </c>
      <c r="CP2" s="109" t="s">
        <v>233</v>
      </c>
      <c r="CQ2" s="109" t="s">
        <v>233</v>
      </c>
      <c r="CR2" s="109" t="s">
        <v>233</v>
      </c>
      <c r="CS2" s="109" t="s">
        <v>233</v>
      </c>
      <c r="CT2" s="109" t="s">
        <v>233</v>
      </c>
      <c r="CU2" s="109" t="s">
        <v>233</v>
      </c>
      <c r="CV2" s="109" t="s">
        <v>233</v>
      </c>
      <c r="CW2" s="109" t="s">
        <v>233</v>
      </c>
      <c r="CX2" s="109" t="s">
        <v>233</v>
      </c>
      <c r="CY2" s="109" t="s">
        <v>233</v>
      </c>
      <c r="CZ2" s="109"/>
    </row>
    <row r="3" spans="1:104" s="117" customFormat="1">
      <c r="B3" s="120" t="s">
        <v>82</v>
      </c>
      <c r="C3" s="121" t="s">
        <v>83</v>
      </c>
      <c r="D3" s="121" t="s">
        <v>84</v>
      </c>
      <c r="E3" s="121" t="s">
        <v>85</v>
      </c>
      <c r="F3" s="121" t="s">
        <v>86</v>
      </c>
      <c r="G3" s="121" t="s">
        <v>87</v>
      </c>
      <c r="H3" s="121" t="s">
        <v>88</v>
      </c>
      <c r="I3" s="121" t="s">
        <v>89</v>
      </c>
      <c r="J3" s="121" t="s">
        <v>90</v>
      </c>
      <c r="K3" s="121" t="s">
        <v>91</v>
      </c>
      <c r="L3" s="121" t="s">
        <v>92</v>
      </c>
      <c r="M3" s="121" t="s">
        <v>93</v>
      </c>
      <c r="N3" s="121" t="s">
        <v>94</v>
      </c>
      <c r="O3" s="121" t="s">
        <v>95</v>
      </c>
      <c r="P3" s="121" t="s">
        <v>96</v>
      </c>
      <c r="Q3" s="121" t="s">
        <v>97</v>
      </c>
      <c r="R3" s="121" t="s">
        <v>98</v>
      </c>
      <c r="S3" s="121" t="s">
        <v>99</v>
      </c>
      <c r="T3" s="121" t="s">
        <v>100</v>
      </c>
      <c r="U3" s="121" t="s">
        <v>101</v>
      </c>
      <c r="V3" s="121" t="s">
        <v>102</v>
      </c>
      <c r="W3" s="121" t="s">
        <v>103</v>
      </c>
      <c r="X3" s="121" t="s">
        <v>104</v>
      </c>
      <c r="Y3" s="121" t="s">
        <v>105</v>
      </c>
      <c r="Z3" s="121" t="s">
        <v>106</v>
      </c>
      <c r="AA3" s="121" t="s">
        <v>107</v>
      </c>
      <c r="AB3" s="122" t="s">
        <v>108</v>
      </c>
      <c r="AC3" s="121" t="s">
        <v>109</v>
      </c>
      <c r="AD3" s="121" t="s">
        <v>110</v>
      </c>
      <c r="AE3" s="121" t="s">
        <v>111</v>
      </c>
      <c r="AF3" s="121" t="s">
        <v>112</v>
      </c>
      <c r="AG3" s="121" t="s">
        <v>113</v>
      </c>
      <c r="AH3" s="121" t="s">
        <v>114</v>
      </c>
      <c r="AI3" s="121" t="s">
        <v>115</v>
      </c>
      <c r="AJ3" s="121" t="s">
        <v>116</v>
      </c>
      <c r="AK3" s="121" t="s">
        <v>117</v>
      </c>
      <c r="AL3" s="121" t="s">
        <v>118</v>
      </c>
      <c r="AM3" s="121" t="s">
        <v>119</v>
      </c>
      <c r="AN3" s="121" t="s">
        <v>120</v>
      </c>
      <c r="AO3" s="121" t="s">
        <v>121</v>
      </c>
      <c r="AP3" s="121" t="s">
        <v>122</v>
      </c>
      <c r="AQ3" s="121" t="s">
        <v>123</v>
      </c>
      <c r="AR3" s="121" t="s">
        <v>124</v>
      </c>
      <c r="AS3" s="121" t="s">
        <v>125</v>
      </c>
      <c r="AT3" s="121" t="s">
        <v>126</v>
      </c>
      <c r="AU3" s="121" t="s">
        <v>14</v>
      </c>
      <c r="AV3" s="121" t="s">
        <v>127</v>
      </c>
      <c r="AW3" s="121" t="s">
        <v>128</v>
      </c>
      <c r="AX3" s="121" t="s">
        <v>129</v>
      </c>
      <c r="AY3" s="121" t="s">
        <v>130</v>
      </c>
      <c r="AZ3" s="125" t="s">
        <v>13</v>
      </c>
      <c r="BA3" s="118" t="s">
        <v>82</v>
      </c>
      <c r="BB3" s="114" t="s">
        <v>83</v>
      </c>
      <c r="BC3" s="114" t="s">
        <v>84</v>
      </c>
      <c r="BD3" s="114" t="s">
        <v>85</v>
      </c>
      <c r="BE3" s="114" t="s">
        <v>86</v>
      </c>
      <c r="BF3" s="114" t="s">
        <v>87</v>
      </c>
      <c r="BG3" s="114" t="s">
        <v>88</v>
      </c>
      <c r="BH3" s="114" t="s">
        <v>89</v>
      </c>
      <c r="BI3" s="114" t="s">
        <v>90</v>
      </c>
      <c r="BJ3" s="114" t="s">
        <v>91</v>
      </c>
      <c r="BK3" s="114" t="s">
        <v>92</v>
      </c>
      <c r="BL3" s="114" t="s">
        <v>93</v>
      </c>
      <c r="BM3" s="114" t="s">
        <v>94</v>
      </c>
      <c r="BN3" s="114" t="s">
        <v>95</v>
      </c>
      <c r="BO3" s="114" t="s">
        <v>96</v>
      </c>
      <c r="BP3" s="114" t="s">
        <v>97</v>
      </c>
      <c r="BQ3" s="114" t="s">
        <v>98</v>
      </c>
      <c r="BR3" s="114" t="s">
        <v>99</v>
      </c>
      <c r="BS3" s="114" t="s">
        <v>100</v>
      </c>
      <c r="BT3" s="114" t="s">
        <v>101</v>
      </c>
      <c r="BU3" s="114" t="s">
        <v>102</v>
      </c>
      <c r="BV3" s="114" t="s">
        <v>103</v>
      </c>
      <c r="BW3" s="114" t="s">
        <v>104</v>
      </c>
      <c r="BX3" s="114" t="s">
        <v>105</v>
      </c>
      <c r="BY3" s="114" t="s">
        <v>106</v>
      </c>
      <c r="BZ3" s="114" t="s">
        <v>107</v>
      </c>
      <c r="CA3" s="119" t="s">
        <v>108</v>
      </c>
      <c r="CB3" s="114" t="s">
        <v>109</v>
      </c>
      <c r="CC3" s="114" t="s">
        <v>110</v>
      </c>
      <c r="CD3" s="114" t="s">
        <v>111</v>
      </c>
      <c r="CE3" s="114" t="s">
        <v>112</v>
      </c>
      <c r="CF3" s="114" t="s">
        <v>113</v>
      </c>
      <c r="CG3" s="114" t="s">
        <v>114</v>
      </c>
      <c r="CH3" s="114" t="s">
        <v>115</v>
      </c>
      <c r="CI3" s="114" t="s">
        <v>116</v>
      </c>
      <c r="CJ3" s="114" t="s">
        <v>117</v>
      </c>
      <c r="CK3" s="114" t="s">
        <v>118</v>
      </c>
      <c r="CL3" s="114" t="s">
        <v>119</v>
      </c>
      <c r="CM3" s="114" t="s">
        <v>120</v>
      </c>
      <c r="CN3" s="121" t="s">
        <v>121</v>
      </c>
      <c r="CO3" s="121" t="s">
        <v>122</v>
      </c>
      <c r="CP3" s="121" t="s">
        <v>123</v>
      </c>
      <c r="CQ3" s="129" t="s">
        <v>124</v>
      </c>
      <c r="CR3" s="129" t="s">
        <v>125</v>
      </c>
      <c r="CS3" s="129" t="s">
        <v>126</v>
      </c>
      <c r="CT3" s="129" t="s">
        <v>14</v>
      </c>
      <c r="CU3" s="121" t="s">
        <v>127</v>
      </c>
      <c r="CV3" s="121" t="s">
        <v>128</v>
      </c>
      <c r="CW3" s="121" t="s">
        <v>129</v>
      </c>
      <c r="CX3" s="121" t="s">
        <v>130</v>
      </c>
      <c r="CY3" s="125" t="s">
        <v>13</v>
      </c>
      <c r="CZ3" s="126"/>
    </row>
    <row r="4" spans="1:104">
      <c r="A4" s="40" t="s">
        <v>16</v>
      </c>
      <c r="B4" s="123">
        <f t="shared" ref="B4:BW4" si="0">B5+B23+B38+B52+B63</f>
        <v>33077</v>
      </c>
      <c r="C4" s="124">
        <f t="shared" si="0"/>
        <v>35544</v>
      </c>
      <c r="D4" s="124">
        <f t="shared" si="0"/>
        <v>40723</v>
      </c>
      <c r="E4" s="124">
        <f t="shared" si="0"/>
        <v>46489</v>
      </c>
      <c r="F4" s="124">
        <f t="shared" si="0"/>
        <v>48530</v>
      </c>
      <c r="G4" s="124">
        <f t="shared" si="0"/>
        <v>48956</v>
      </c>
      <c r="H4" s="124">
        <f t="shared" si="0"/>
        <v>52892</v>
      </c>
      <c r="I4" s="124">
        <f t="shared" si="0"/>
        <v>52374</v>
      </c>
      <c r="J4" s="124">
        <f t="shared" si="0"/>
        <v>52270</v>
      </c>
      <c r="K4" s="124">
        <f t="shared" si="0"/>
        <v>52652</v>
      </c>
      <c r="L4" s="124">
        <f t="shared" si="0"/>
        <v>52692</v>
      </c>
      <c r="M4" s="124">
        <f t="shared" si="0"/>
        <v>52739</v>
      </c>
      <c r="N4" s="124">
        <f t="shared" si="0"/>
        <v>52139</v>
      </c>
      <c r="O4" s="124">
        <f t="shared" si="0"/>
        <v>51157</v>
      </c>
      <c r="P4" s="124">
        <f t="shared" si="0"/>
        <v>51285</v>
      </c>
      <c r="Q4" s="124">
        <f t="shared" si="0"/>
        <v>50338</v>
      </c>
      <c r="R4" s="124">
        <f t="shared" si="0"/>
        <v>49142</v>
      </c>
      <c r="S4" s="124">
        <f t="shared" si="0"/>
        <v>46391</v>
      </c>
      <c r="T4" s="124">
        <f t="shared" si="0"/>
        <v>45164</v>
      </c>
      <c r="U4" s="124">
        <f t="shared" si="0"/>
        <v>44949</v>
      </c>
      <c r="V4" s="124">
        <f t="shared" si="0"/>
        <v>43843</v>
      </c>
      <c r="W4" s="124">
        <f t="shared" si="0"/>
        <v>43719</v>
      </c>
      <c r="X4" s="124">
        <f t="shared" si="0"/>
        <v>44932</v>
      </c>
      <c r="Y4" s="124">
        <f t="shared" si="0"/>
        <v>45041</v>
      </c>
      <c r="Z4" s="124">
        <f t="shared" si="0"/>
        <v>44586</v>
      </c>
      <c r="AA4" s="124">
        <f t="shared" si="0"/>
        <v>44731</v>
      </c>
      <c r="AB4" s="124">
        <f t="shared" si="0"/>
        <v>44626</v>
      </c>
      <c r="AC4" s="124">
        <f t="shared" si="0"/>
        <v>45444</v>
      </c>
      <c r="AD4" s="124">
        <f t="shared" si="0"/>
        <v>44911</v>
      </c>
      <c r="AE4" s="124">
        <f t="shared" si="0"/>
        <v>44339</v>
      </c>
      <c r="AF4" s="124">
        <f t="shared" si="0"/>
        <v>44239</v>
      </c>
      <c r="AG4" s="124">
        <f t="shared" si="0"/>
        <v>42862</v>
      </c>
      <c r="AH4" s="124">
        <f t="shared" si="0"/>
        <v>42507</v>
      </c>
      <c r="AI4" s="124">
        <f t="shared" si="0"/>
        <v>41887</v>
      </c>
      <c r="AJ4" s="124">
        <f t="shared" si="0"/>
        <v>42169</v>
      </c>
      <c r="AK4" s="124">
        <f t="shared" si="0"/>
        <v>43849</v>
      </c>
      <c r="AL4" s="124">
        <f t="shared" si="0"/>
        <v>44038</v>
      </c>
      <c r="AM4" s="124">
        <f t="shared" si="0"/>
        <v>45057</v>
      </c>
      <c r="AN4" s="124">
        <f t="shared" si="0"/>
        <v>45535</v>
      </c>
      <c r="AO4" s="124">
        <f t="shared" si="0"/>
        <v>46778</v>
      </c>
      <c r="AP4" s="124">
        <f>AP5+AP23+AP38+AP52+AP63</f>
        <v>46818</v>
      </c>
      <c r="AQ4" s="124">
        <f>AQ5+AQ23+AQ38+AQ52+AQ63</f>
        <v>48777</v>
      </c>
      <c r="AR4" s="124">
        <f t="shared" ref="AR4:AS4" si="1">AR5+AR23+AR38+AR52+AR63</f>
        <v>50809</v>
      </c>
      <c r="AS4" s="124">
        <f t="shared" si="1"/>
        <v>51793</v>
      </c>
      <c r="AT4" s="124">
        <f t="shared" ref="AT4:AW4" si="2">AT5+AT23+AT38+AT52+AT63</f>
        <v>51148</v>
      </c>
      <c r="AU4" s="124">
        <f t="shared" si="2"/>
        <v>49781</v>
      </c>
      <c r="AV4" s="124">
        <f t="shared" si="2"/>
        <v>48590</v>
      </c>
      <c r="AW4" s="124">
        <f t="shared" si="2"/>
        <v>48590</v>
      </c>
      <c r="AX4" s="124">
        <f>AX5+AX23+AX38+AX52+AX63</f>
        <v>48776</v>
      </c>
      <c r="AY4" s="124">
        <f>AY5+AY23+AY38+AY52+AY63</f>
        <v>48671</v>
      </c>
      <c r="AZ4" s="124">
        <f>AZ5+AZ23+AZ38+AZ52+AZ63</f>
        <v>48427</v>
      </c>
      <c r="BA4" s="54">
        <f t="shared" si="0"/>
        <v>1841</v>
      </c>
      <c r="BB4" s="41">
        <f t="shared" si="0"/>
        <v>2402</v>
      </c>
      <c r="BC4" s="41">
        <f t="shared" si="0"/>
        <v>2688</v>
      </c>
      <c r="BD4" s="41">
        <f t="shared" si="0"/>
        <v>3529</v>
      </c>
      <c r="BE4" s="41">
        <f t="shared" si="0"/>
        <v>5286</v>
      </c>
      <c r="BF4" s="41">
        <f t="shared" si="0"/>
        <v>6960</v>
      </c>
      <c r="BG4" s="41">
        <f t="shared" si="0"/>
        <v>9757</v>
      </c>
      <c r="BH4" s="41">
        <f t="shared" si="0"/>
        <v>11985</v>
      </c>
      <c r="BI4" s="41">
        <f t="shared" si="0"/>
        <v>14311</v>
      </c>
      <c r="BJ4" s="41">
        <f t="shared" si="0"/>
        <v>16196</v>
      </c>
      <c r="BK4" s="41">
        <f t="shared" si="0"/>
        <v>17411</v>
      </c>
      <c r="BL4" s="41">
        <f t="shared" si="0"/>
        <v>19150</v>
      </c>
      <c r="BM4" s="41">
        <f t="shared" si="0"/>
        <v>19790</v>
      </c>
      <c r="BN4" s="41">
        <f t="shared" si="0"/>
        <v>21776</v>
      </c>
      <c r="BO4" s="41">
        <f t="shared" si="0"/>
        <v>23062</v>
      </c>
      <c r="BP4" s="41">
        <f t="shared" si="0"/>
        <v>24573</v>
      </c>
      <c r="BQ4" s="41">
        <f t="shared" si="0"/>
        <v>24615</v>
      </c>
      <c r="BR4" s="41">
        <f t="shared" si="0"/>
        <v>25072</v>
      </c>
      <c r="BS4" s="41">
        <f t="shared" si="0"/>
        <v>25102</v>
      </c>
      <c r="BT4" s="41">
        <f t="shared" si="0"/>
        <v>25658</v>
      </c>
      <c r="BU4" s="41">
        <f t="shared" si="0"/>
        <v>26994</v>
      </c>
      <c r="BV4" s="41">
        <f t="shared" si="0"/>
        <v>28080</v>
      </c>
      <c r="BW4" s="41">
        <f t="shared" si="0"/>
        <v>29035</v>
      </c>
      <c r="BX4" s="41">
        <f t="shared" ref="BX4:CN4" si="3">BX5+BX23+BX38+BX52+BX63</f>
        <v>30191</v>
      </c>
      <c r="BY4" s="41">
        <f t="shared" si="3"/>
        <v>30677</v>
      </c>
      <c r="BZ4" s="41">
        <f t="shared" si="3"/>
        <v>30912</v>
      </c>
      <c r="CA4" s="41">
        <f t="shared" si="3"/>
        <v>31952</v>
      </c>
      <c r="CB4" s="41">
        <f t="shared" si="3"/>
        <v>33122</v>
      </c>
      <c r="CC4" s="41">
        <f t="shared" si="3"/>
        <v>33687</v>
      </c>
      <c r="CD4" s="41">
        <f t="shared" si="3"/>
        <v>34100</v>
      </c>
      <c r="CE4" s="41">
        <f t="shared" si="3"/>
        <v>35818</v>
      </c>
      <c r="CF4" s="41">
        <f t="shared" si="3"/>
        <v>36845</v>
      </c>
      <c r="CG4" s="41">
        <f t="shared" si="3"/>
        <v>38191</v>
      </c>
      <c r="CH4" s="41">
        <f t="shared" si="3"/>
        <v>39010</v>
      </c>
      <c r="CI4" s="41">
        <f t="shared" si="3"/>
        <v>40872</v>
      </c>
      <c r="CJ4" s="41">
        <f t="shared" si="3"/>
        <v>43440</v>
      </c>
      <c r="CK4" s="41">
        <f t="shared" si="3"/>
        <v>43617</v>
      </c>
      <c r="CL4" s="41">
        <f t="shared" si="3"/>
        <v>45007</v>
      </c>
      <c r="CM4" s="41">
        <f t="shared" si="3"/>
        <v>46550</v>
      </c>
      <c r="CN4" s="124">
        <f t="shared" si="3"/>
        <v>48153</v>
      </c>
      <c r="CO4" s="124">
        <f>CO5+CO23+CO38+CO52+CO63</f>
        <v>52591</v>
      </c>
      <c r="CP4" s="124">
        <f>CP5+CP23+CP38+CP52+CP63</f>
        <v>54036</v>
      </c>
      <c r="CQ4" s="124">
        <f>CQ5+CQ23+CQ38+CQ52+CQ63</f>
        <v>55917</v>
      </c>
      <c r="CR4" s="124">
        <f>CR5+CR23+CR38+CR52+CR63</f>
        <v>57115</v>
      </c>
      <c r="CS4" s="124">
        <f t="shared" ref="CS4:CV4" si="4">CS5+CS23+CS38+CS52+CS63</f>
        <v>57385</v>
      </c>
      <c r="CT4" s="124">
        <f t="shared" si="4"/>
        <v>58143</v>
      </c>
      <c r="CU4" s="124">
        <f t="shared" si="4"/>
        <v>57798</v>
      </c>
      <c r="CV4" s="124">
        <f t="shared" si="4"/>
        <v>59742</v>
      </c>
      <c r="CW4" s="124">
        <f>CW5+CW23+CW38+CW52+CW63</f>
        <v>60629</v>
      </c>
      <c r="CX4" s="124">
        <f>CX5+CX23+CX38+CX52+CX63</f>
        <v>62964</v>
      </c>
      <c r="CY4" s="124">
        <f>CY5+CY23+CY38+CY52+CY63</f>
        <v>65654</v>
      </c>
      <c r="CZ4" s="127"/>
    </row>
    <row r="5" spans="1:104">
      <c r="A5" s="42" t="s">
        <v>17</v>
      </c>
      <c r="B5" s="55">
        <f t="shared" ref="B5:BW5" si="5">SUM(B7:B22)</f>
        <v>9075</v>
      </c>
      <c r="C5" s="43">
        <f t="shared" si="5"/>
        <v>9394</v>
      </c>
      <c r="D5" s="43">
        <f t="shared" si="5"/>
        <v>10550</v>
      </c>
      <c r="E5" s="43">
        <f t="shared" si="5"/>
        <v>12553</v>
      </c>
      <c r="F5" s="43">
        <f t="shared" si="5"/>
        <v>13705</v>
      </c>
      <c r="G5" s="43">
        <f t="shared" si="5"/>
        <v>13448</v>
      </c>
      <c r="H5" s="43">
        <f t="shared" si="5"/>
        <v>14097</v>
      </c>
      <c r="I5" s="43">
        <f t="shared" si="5"/>
        <v>14193</v>
      </c>
      <c r="J5" s="43">
        <f t="shared" si="5"/>
        <v>14069</v>
      </c>
      <c r="K5" s="43">
        <f t="shared" si="5"/>
        <v>14267</v>
      </c>
      <c r="L5" s="43">
        <f t="shared" si="5"/>
        <v>14493</v>
      </c>
      <c r="M5" s="43">
        <f t="shared" si="5"/>
        <v>15082</v>
      </c>
      <c r="N5" s="43">
        <f t="shared" si="5"/>
        <v>15116</v>
      </c>
      <c r="O5" s="43">
        <f t="shared" si="5"/>
        <v>14844</v>
      </c>
      <c r="P5" s="43">
        <f t="shared" si="5"/>
        <v>14595</v>
      </c>
      <c r="Q5" s="43">
        <f t="shared" si="5"/>
        <v>14460</v>
      </c>
      <c r="R5" s="43">
        <f t="shared" si="5"/>
        <v>14432</v>
      </c>
      <c r="S5" s="43">
        <f t="shared" si="5"/>
        <v>13375</v>
      </c>
      <c r="T5" s="43">
        <f t="shared" si="5"/>
        <v>13181</v>
      </c>
      <c r="U5" s="43">
        <f t="shared" si="5"/>
        <v>13259</v>
      </c>
      <c r="V5" s="43">
        <f t="shared" si="5"/>
        <v>12689</v>
      </c>
      <c r="W5" s="43">
        <f t="shared" si="5"/>
        <v>13028</v>
      </c>
      <c r="X5" s="43">
        <f t="shared" si="5"/>
        <v>13299</v>
      </c>
      <c r="Y5" s="43">
        <f t="shared" si="5"/>
        <v>13386</v>
      </c>
      <c r="Z5" s="43">
        <f t="shared" si="5"/>
        <v>13324</v>
      </c>
      <c r="AA5" s="43">
        <f t="shared" si="5"/>
        <v>13641</v>
      </c>
      <c r="AB5" s="43">
        <f t="shared" si="5"/>
        <v>13573</v>
      </c>
      <c r="AC5" s="43">
        <f t="shared" si="5"/>
        <v>14136</v>
      </c>
      <c r="AD5" s="43">
        <f t="shared" si="5"/>
        <v>13990</v>
      </c>
      <c r="AE5" s="43">
        <f t="shared" si="5"/>
        <v>13885</v>
      </c>
      <c r="AF5" s="43">
        <f t="shared" si="5"/>
        <v>14135</v>
      </c>
      <c r="AG5" s="43">
        <f t="shared" si="5"/>
        <v>13165</v>
      </c>
      <c r="AH5" s="43">
        <f t="shared" si="5"/>
        <v>13068</v>
      </c>
      <c r="AI5" s="43">
        <f t="shared" si="5"/>
        <v>12509</v>
      </c>
      <c r="AJ5" s="43">
        <f t="shared" si="5"/>
        <v>12886</v>
      </c>
      <c r="AK5" s="43">
        <f t="shared" si="5"/>
        <v>12941</v>
      </c>
      <c r="AL5" s="43">
        <f t="shared" si="5"/>
        <v>13288</v>
      </c>
      <c r="AM5" s="43">
        <f t="shared" si="5"/>
        <v>13489</v>
      </c>
      <c r="AN5" s="43">
        <f t="shared" si="5"/>
        <v>14101</v>
      </c>
      <c r="AO5" s="43">
        <f t="shared" si="5"/>
        <v>14556</v>
      </c>
      <c r="AP5" s="43">
        <f>SUM(AP7:AP22)</f>
        <v>14486</v>
      </c>
      <c r="AQ5" s="43">
        <f>SUM(AQ7:AQ22)</f>
        <v>15034</v>
      </c>
      <c r="AR5" s="43">
        <f t="shared" ref="AR5:AS5" si="6">SUM(AR7:AR22)</f>
        <v>16056</v>
      </c>
      <c r="AS5" s="43">
        <f t="shared" si="6"/>
        <v>16041</v>
      </c>
      <c r="AT5" s="43">
        <f t="shared" ref="AT5:AW5" si="7">SUM(AT7:AT22)</f>
        <v>15985</v>
      </c>
      <c r="AU5" s="43">
        <f t="shared" si="7"/>
        <v>15403</v>
      </c>
      <c r="AV5" s="43">
        <f t="shared" si="7"/>
        <v>15157</v>
      </c>
      <c r="AW5" s="43">
        <f t="shared" si="7"/>
        <v>15132</v>
      </c>
      <c r="AX5" s="43">
        <f>SUM(AX7:AX22)</f>
        <v>15144</v>
      </c>
      <c r="AY5" s="43">
        <f>SUM(AY7:AY22)</f>
        <v>15308</v>
      </c>
      <c r="AZ5" s="43">
        <f>SUM(AZ7:AZ22)</f>
        <v>15162</v>
      </c>
      <c r="BA5" s="55">
        <f t="shared" si="5"/>
        <v>409</v>
      </c>
      <c r="BB5" s="43">
        <f t="shared" si="5"/>
        <v>472</v>
      </c>
      <c r="BC5" s="43">
        <f t="shared" si="5"/>
        <v>528</v>
      </c>
      <c r="BD5" s="43">
        <f t="shared" si="5"/>
        <v>660</v>
      </c>
      <c r="BE5" s="43">
        <f t="shared" si="5"/>
        <v>1020</v>
      </c>
      <c r="BF5" s="43">
        <f t="shared" si="5"/>
        <v>1472</v>
      </c>
      <c r="BG5" s="43">
        <f t="shared" si="5"/>
        <v>2002</v>
      </c>
      <c r="BH5" s="43">
        <f t="shared" si="5"/>
        <v>2597</v>
      </c>
      <c r="BI5" s="43">
        <f t="shared" si="5"/>
        <v>3228</v>
      </c>
      <c r="BJ5" s="43">
        <f t="shared" si="5"/>
        <v>3658</v>
      </c>
      <c r="BK5" s="43">
        <f t="shared" si="5"/>
        <v>3900</v>
      </c>
      <c r="BL5" s="43">
        <f t="shared" si="5"/>
        <v>4671</v>
      </c>
      <c r="BM5" s="43">
        <f t="shared" si="5"/>
        <v>4887</v>
      </c>
      <c r="BN5" s="43">
        <f t="shared" si="5"/>
        <v>5393</v>
      </c>
      <c r="BO5" s="43">
        <f t="shared" si="5"/>
        <v>5744</v>
      </c>
      <c r="BP5" s="43">
        <f t="shared" si="5"/>
        <v>6447</v>
      </c>
      <c r="BQ5" s="43">
        <f t="shared" si="5"/>
        <v>6514</v>
      </c>
      <c r="BR5" s="43">
        <f t="shared" si="5"/>
        <v>6631</v>
      </c>
      <c r="BS5" s="43">
        <f t="shared" si="5"/>
        <v>6798</v>
      </c>
      <c r="BT5" s="43">
        <f t="shared" si="5"/>
        <v>6963</v>
      </c>
      <c r="BU5" s="43">
        <f t="shared" si="5"/>
        <v>7342</v>
      </c>
      <c r="BV5" s="43">
        <f t="shared" si="5"/>
        <v>7761</v>
      </c>
      <c r="BW5" s="43">
        <f t="shared" si="5"/>
        <v>7826</v>
      </c>
      <c r="BX5" s="43">
        <f t="shared" ref="BX5:CN5" si="8">SUM(BX7:BX22)</f>
        <v>8348</v>
      </c>
      <c r="BY5" s="43">
        <f t="shared" si="8"/>
        <v>8449</v>
      </c>
      <c r="BZ5" s="43">
        <f t="shared" si="8"/>
        <v>8728</v>
      </c>
      <c r="CA5" s="43">
        <f t="shared" si="8"/>
        <v>9050</v>
      </c>
      <c r="CB5" s="43">
        <f t="shared" si="8"/>
        <v>9390</v>
      </c>
      <c r="CC5" s="43">
        <f t="shared" si="8"/>
        <v>9946</v>
      </c>
      <c r="CD5" s="43">
        <f t="shared" si="8"/>
        <v>10109</v>
      </c>
      <c r="CE5" s="43">
        <f t="shared" si="8"/>
        <v>10703</v>
      </c>
      <c r="CF5" s="43">
        <f t="shared" si="8"/>
        <v>10898</v>
      </c>
      <c r="CG5" s="43">
        <f t="shared" si="8"/>
        <v>11304</v>
      </c>
      <c r="CH5" s="43">
        <f t="shared" si="8"/>
        <v>11503</v>
      </c>
      <c r="CI5" s="43">
        <f t="shared" si="8"/>
        <v>12022</v>
      </c>
      <c r="CJ5" s="43">
        <f t="shared" si="8"/>
        <v>12814</v>
      </c>
      <c r="CK5" s="43">
        <f t="shared" si="8"/>
        <v>12927</v>
      </c>
      <c r="CL5" s="43">
        <f t="shared" si="8"/>
        <v>13612</v>
      </c>
      <c r="CM5" s="43">
        <f t="shared" si="8"/>
        <v>13830</v>
      </c>
      <c r="CN5" s="43">
        <f t="shared" si="8"/>
        <v>14233</v>
      </c>
      <c r="CO5" s="43">
        <f>SUM(CO7:CO22)</f>
        <v>16113</v>
      </c>
      <c r="CP5" s="43">
        <f>SUM(CP7:CP22)</f>
        <v>16482</v>
      </c>
      <c r="CQ5" s="43">
        <f>SUM(CQ7:CQ22)</f>
        <v>17347</v>
      </c>
      <c r="CR5" s="43">
        <f>SUM(CR7:CR22)</f>
        <v>17444</v>
      </c>
      <c r="CS5" s="43">
        <f t="shared" ref="CS5:CV5" si="9">SUM(CS7:CS22)</f>
        <v>17667</v>
      </c>
      <c r="CT5" s="43">
        <f t="shared" si="9"/>
        <v>18085</v>
      </c>
      <c r="CU5" s="43">
        <f t="shared" si="9"/>
        <v>17879</v>
      </c>
      <c r="CV5" s="43">
        <f t="shared" si="9"/>
        <v>18367</v>
      </c>
      <c r="CW5" s="43">
        <f>SUM(CW7:CW22)</f>
        <v>18645</v>
      </c>
      <c r="CX5" s="43">
        <f>SUM(CX7:CX22)</f>
        <v>19594</v>
      </c>
      <c r="CY5" s="43">
        <f>SUM(CY7:CY22)</f>
        <v>20691</v>
      </c>
      <c r="CZ5" s="128"/>
    </row>
    <row r="6" spans="1:104" s="14" customFormat="1">
      <c r="A6" s="44" t="s">
        <v>131</v>
      </c>
      <c r="B6" s="56">
        <f t="shared" ref="B6:BW6" si="10">(B5/B4)*100</f>
        <v>27.435982707016958</v>
      </c>
      <c r="C6" s="45">
        <f t="shared" si="10"/>
        <v>26.429214494710777</v>
      </c>
      <c r="D6" s="45">
        <f t="shared" si="10"/>
        <v>25.906735751295333</v>
      </c>
      <c r="E6" s="45">
        <f t="shared" si="10"/>
        <v>27.002086515089591</v>
      </c>
      <c r="F6" s="45">
        <f t="shared" si="10"/>
        <v>28.240263754378738</v>
      </c>
      <c r="G6" s="45">
        <f t="shared" si="10"/>
        <v>27.46956450690416</v>
      </c>
      <c r="H6" s="45">
        <f t="shared" si="10"/>
        <v>26.65242380700295</v>
      </c>
      <c r="I6" s="45">
        <f t="shared" si="10"/>
        <v>27.09932409210677</v>
      </c>
      <c r="J6" s="45">
        <f t="shared" si="10"/>
        <v>26.916013009374399</v>
      </c>
      <c r="K6" s="45">
        <f t="shared" si="10"/>
        <v>27.096786446858616</v>
      </c>
      <c r="L6" s="45">
        <f t="shared" si="10"/>
        <v>27.505124117513098</v>
      </c>
      <c r="M6" s="45">
        <f t="shared" si="10"/>
        <v>28.597432639981797</v>
      </c>
      <c r="N6" s="45">
        <f t="shared" si="10"/>
        <v>28.991733635090817</v>
      </c>
      <c r="O6" s="45">
        <f t="shared" si="10"/>
        <v>29.016556873937095</v>
      </c>
      <c r="P6" s="45">
        <f t="shared" si="10"/>
        <v>28.458613629716289</v>
      </c>
      <c r="Q6" s="45">
        <f t="shared" si="10"/>
        <v>28.725813500735033</v>
      </c>
      <c r="R6" s="45">
        <f t="shared" si="10"/>
        <v>29.367954092222536</v>
      </c>
      <c r="S6" s="45">
        <f t="shared" si="10"/>
        <v>28.831023258821752</v>
      </c>
      <c r="T6" s="45">
        <f t="shared" si="10"/>
        <v>29.184748915065096</v>
      </c>
      <c r="U6" s="45">
        <f t="shared" si="10"/>
        <v>29.497875369863625</v>
      </c>
      <c r="V6" s="45">
        <f t="shared" si="10"/>
        <v>28.941906347649564</v>
      </c>
      <c r="W6" s="45">
        <f t="shared" si="10"/>
        <v>29.799400718223197</v>
      </c>
      <c r="X6" s="45">
        <f t="shared" si="10"/>
        <v>29.598059289593166</v>
      </c>
      <c r="Y6" s="45">
        <f t="shared" si="10"/>
        <v>29.719588819075955</v>
      </c>
      <c r="Z6" s="45">
        <f t="shared" si="10"/>
        <v>29.883820033194276</v>
      </c>
      <c r="AA6" s="45">
        <f t="shared" si="10"/>
        <v>30.495629429254876</v>
      </c>
      <c r="AB6" s="45">
        <f t="shared" si="10"/>
        <v>30.415004705776898</v>
      </c>
      <c r="AC6" s="45">
        <f t="shared" si="10"/>
        <v>31.106416688671771</v>
      </c>
      <c r="AD6" s="45">
        <f t="shared" si="10"/>
        <v>31.150497650909575</v>
      </c>
      <c r="AE6" s="45">
        <f t="shared" si="10"/>
        <v>31.315546133201021</v>
      </c>
      <c r="AF6" s="45">
        <f t="shared" si="10"/>
        <v>31.951445557087638</v>
      </c>
      <c r="AG6" s="45">
        <f t="shared" si="10"/>
        <v>30.714852316737435</v>
      </c>
      <c r="AH6" s="45">
        <f t="shared" si="10"/>
        <v>30.743171712894345</v>
      </c>
      <c r="AI6" s="45">
        <f t="shared" si="10"/>
        <v>29.863680855635401</v>
      </c>
      <c r="AJ6" s="45">
        <f t="shared" si="10"/>
        <v>30.557992838340965</v>
      </c>
      <c r="AK6" s="45">
        <f t="shared" si="10"/>
        <v>29.512645670368766</v>
      </c>
      <c r="AL6" s="45">
        <f t="shared" si="10"/>
        <v>30.17394068758799</v>
      </c>
      <c r="AM6" s="45">
        <f t="shared" si="10"/>
        <v>29.937634551789955</v>
      </c>
      <c r="AN6" s="45">
        <f t="shared" si="10"/>
        <v>30.967387723729001</v>
      </c>
      <c r="AO6" s="45">
        <f t="shared" si="10"/>
        <v>31.117191842319038</v>
      </c>
      <c r="AP6" s="45">
        <f t="shared" si="10"/>
        <v>30.941091033363239</v>
      </c>
      <c r="AQ6" s="45">
        <f>(AQ5/AQ4)*100</f>
        <v>30.821903766119281</v>
      </c>
      <c r="AR6" s="45">
        <f t="shared" ref="AR6:AS6" si="11">(AR5/AR4)*100</f>
        <v>31.600700663268317</v>
      </c>
      <c r="AS6" s="45">
        <f t="shared" si="11"/>
        <v>30.971366787017551</v>
      </c>
      <c r="AT6" s="45">
        <f t="shared" ref="AT6:AW6" si="12">(AT5/AT4)*100</f>
        <v>31.252443888324077</v>
      </c>
      <c r="AU6" s="45">
        <f t="shared" si="12"/>
        <v>30.94152387457062</v>
      </c>
      <c r="AV6" s="45">
        <f t="shared" si="12"/>
        <v>31.193661247170201</v>
      </c>
      <c r="AW6" s="45">
        <f t="shared" si="12"/>
        <v>31.1422103313439</v>
      </c>
      <c r="AX6" s="45">
        <f>(AX5/AX4)*100</f>
        <v>31.048056421190751</v>
      </c>
      <c r="AY6" s="45">
        <f>(AY5/AY4)*100</f>
        <v>31.451994000534199</v>
      </c>
      <c r="AZ6" s="45">
        <f>(AZ5/AZ4)*100</f>
        <v>31.308980527391743</v>
      </c>
      <c r="BA6" s="56">
        <f t="shared" si="10"/>
        <v>22.216186854970125</v>
      </c>
      <c r="BB6" s="45">
        <f t="shared" si="10"/>
        <v>19.650291423813488</v>
      </c>
      <c r="BC6" s="45">
        <f t="shared" si="10"/>
        <v>19.642857142857142</v>
      </c>
      <c r="BD6" s="45">
        <f t="shared" si="10"/>
        <v>18.702181921224142</v>
      </c>
      <c r="BE6" s="45">
        <f t="shared" si="10"/>
        <v>19.296254256526673</v>
      </c>
      <c r="BF6" s="45">
        <f t="shared" si="10"/>
        <v>21.149425287356323</v>
      </c>
      <c r="BG6" s="45">
        <f t="shared" si="10"/>
        <v>20.518602029312287</v>
      </c>
      <c r="BH6" s="45">
        <f t="shared" si="10"/>
        <v>21.668752607425947</v>
      </c>
      <c r="BI6" s="45">
        <f t="shared" si="10"/>
        <v>22.556075745929704</v>
      </c>
      <c r="BJ6" s="45">
        <f t="shared" si="10"/>
        <v>22.585823660163005</v>
      </c>
      <c r="BK6" s="45">
        <f t="shared" si="10"/>
        <v>22.399632416288554</v>
      </c>
      <c r="BL6" s="45">
        <f t="shared" si="10"/>
        <v>24.39164490861619</v>
      </c>
      <c r="BM6" s="45">
        <f t="shared" si="10"/>
        <v>24.694290045477512</v>
      </c>
      <c r="BN6" s="45">
        <f t="shared" si="10"/>
        <v>24.765797207935343</v>
      </c>
      <c r="BO6" s="45">
        <f t="shared" si="10"/>
        <v>24.906773046570116</v>
      </c>
      <c r="BP6" s="45">
        <f t="shared" si="10"/>
        <v>26.236112806739104</v>
      </c>
      <c r="BQ6" s="45">
        <f t="shared" si="10"/>
        <v>26.463538492788953</v>
      </c>
      <c r="BR6" s="45">
        <f t="shared" si="10"/>
        <v>26.447830248883214</v>
      </c>
      <c r="BS6" s="45">
        <f t="shared" si="10"/>
        <v>27.081507449605606</v>
      </c>
      <c r="BT6" s="45">
        <f t="shared" si="10"/>
        <v>27.137734819549458</v>
      </c>
      <c r="BU6" s="45">
        <f t="shared" si="10"/>
        <v>27.198636734089053</v>
      </c>
      <c r="BV6" s="45">
        <f t="shared" si="10"/>
        <v>27.638888888888889</v>
      </c>
      <c r="BW6" s="45">
        <f t="shared" si="10"/>
        <v>26.953676597210261</v>
      </c>
      <c r="BX6" s="45">
        <f t="shared" ref="BX6:CN6" si="13">(BX5/BX4)*100</f>
        <v>27.650624358252458</v>
      </c>
      <c r="BY6" s="45">
        <f t="shared" si="13"/>
        <v>27.541806565179122</v>
      </c>
      <c r="BZ6" s="45">
        <f t="shared" si="13"/>
        <v>28.234989648033128</v>
      </c>
      <c r="CA6" s="45">
        <f t="shared" si="13"/>
        <v>28.323735603405108</v>
      </c>
      <c r="CB6" s="45">
        <f t="shared" si="13"/>
        <v>28.349737334702013</v>
      </c>
      <c r="CC6" s="45">
        <f t="shared" si="13"/>
        <v>29.524742482263189</v>
      </c>
      <c r="CD6" s="45">
        <f t="shared" si="13"/>
        <v>29.64516129032258</v>
      </c>
      <c r="CE6" s="45">
        <f t="shared" si="13"/>
        <v>29.881623764587641</v>
      </c>
      <c r="CF6" s="45">
        <f t="shared" si="13"/>
        <v>29.577961731578235</v>
      </c>
      <c r="CG6" s="45">
        <f t="shared" si="13"/>
        <v>29.598596527977794</v>
      </c>
      <c r="CH6" s="45">
        <f t="shared" si="13"/>
        <v>29.487310945911304</v>
      </c>
      <c r="CI6" s="45">
        <f t="shared" si="13"/>
        <v>29.4137796046193</v>
      </c>
      <c r="CJ6" s="45">
        <f t="shared" si="13"/>
        <v>29.498158379373852</v>
      </c>
      <c r="CK6" s="45">
        <f t="shared" si="13"/>
        <v>29.637526652452024</v>
      </c>
      <c r="CL6" s="45">
        <f t="shared" si="13"/>
        <v>30.244184238007421</v>
      </c>
      <c r="CM6" s="45">
        <f t="shared" si="13"/>
        <v>29.709989258861441</v>
      </c>
      <c r="CN6" s="45">
        <f t="shared" si="13"/>
        <v>29.557867630261875</v>
      </c>
      <c r="CO6" s="45">
        <f>(CO5/CO4)*100</f>
        <v>30.638322146374854</v>
      </c>
      <c r="CP6" s="45">
        <f>(CP5/CP4)*100</f>
        <v>30.501887630468577</v>
      </c>
      <c r="CQ6" s="45">
        <f>(CQ5/CQ4)*100</f>
        <v>31.022765885151205</v>
      </c>
      <c r="CR6" s="45">
        <f>(CR5/CR4)*100</f>
        <v>30.541889170970848</v>
      </c>
      <c r="CS6" s="45">
        <f t="shared" ref="CS6:CV6" si="14">(CS5/CS4)*100</f>
        <v>30.786790973250849</v>
      </c>
      <c r="CT6" s="45">
        <f t="shared" si="14"/>
        <v>31.104346180967614</v>
      </c>
      <c r="CU6" s="45">
        <f t="shared" si="14"/>
        <v>30.933596318211702</v>
      </c>
      <c r="CV6" s="45">
        <f t="shared" si="14"/>
        <v>30.7438652874025</v>
      </c>
      <c r="CW6" s="45">
        <f>(CW5/CW4)*100</f>
        <v>30.752610137063119</v>
      </c>
      <c r="CX6" s="45">
        <f>(CX5/CX4)*100</f>
        <v>31.119369798615082</v>
      </c>
      <c r="CY6" s="45">
        <f>(CY5/CY4)*100</f>
        <v>31.515216133061198</v>
      </c>
      <c r="CZ6" s="45"/>
    </row>
    <row r="7" spans="1:104">
      <c r="A7" s="42" t="s">
        <v>19</v>
      </c>
      <c r="B7" s="57">
        <v>399</v>
      </c>
      <c r="C7" s="46">
        <v>402</v>
      </c>
      <c r="D7" s="46">
        <v>468</v>
      </c>
      <c r="E7" s="46">
        <v>496</v>
      </c>
      <c r="F7" s="46">
        <v>682</v>
      </c>
      <c r="G7" s="46">
        <v>770</v>
      </c>
      <c r="H7" s="46">
        <v>662</v>
      </c>
      <c r="I7" s="46">
        <v>651</v>
      </c>
      <c r="J7" s="46">
        <v>666</v>
      </c>
      <c r="K7" s="46">
        <v>713</v>
      </c>
      <c r="L7" s="46">
        <v>725</v>
      </c>
      <c r="M7" s="46">
        <v>717</v>
      </c>
      <c r="N7" s="46">
        <v>682</v>
      </c>
      <c r="O7" s="46">
        <v>662</v>
      </c>
      <c r="P7" s="46">
        <v>656</v>
      </c>
      <c r="Q7" s="46">
        <v>599</v>
      </c>
      <c r="R7" s="46">
        <v>574</v>
      </c>
      <c r="S7" s="46">
        <v>586</v>
      </c>
      <c r="T7" s="46">
        <v>563</v>
      </c>
      <c r="U7" s="46">
        <v>522</v>
      </c>
      <c r="V7" s="46">
        <v>544</v>
      </c>
      <c r="W7" s="46">
        <v>574</v>
      </c>
      <c r="X7" s="46">
        <v>548</v>
      </c>
      <c r="Y7" s="46">
        <v>524</v>
      </c>
      <c r="Z7" s="46">
        <v>551</v>
      </c>
      <c r="AA7" s="46">
        <v>591</v>
      </c>
      <c r="AB7" s="46">
        <v>600</v>
      </c>
      <c r="AC7" s="46">
        <v>678</v>
      </c>
      <c r="AD7" s="46">
        <v>637</v>
      </c>
      <c r="AE7" s="46">
        <v>611</v>
      </c>
      <c r="AF7" s="46">
        <v>651</v>
      </c>
      <c r="AG7" s="46">
        <v>586</v>
      </c>
      <c r="AH7" s="46">
        <v>552</v>
      </c>
      <c r="AI7" s="46">
        <v>527</v>
      </c>
      <c r="AJ7" s="46">
        <v>517</v>
      </c>
      <c r="AK7" s="46">
        <v>554</v>
      </c>
      <c r="AL7" s="46">
        <v>604</v>
      </c>
      <c r="AM7" s="46">
        <v>565</v>
      </c>
      <c r="AN7" s="46">
        <v>572</v>
      </c>
      <c r="AO7" s="46">
        <v>570</v>
      </c>
      <c r="AP7" s="46">
        <v>614</v>
      </c>
      <c r="AQ7" s="46">
        <v>617</v>
      </c>
      <c r="AR7" s="46">
        <v>650</v>
      </c>
      <c r="AS7" s="46">
        <v>622</v>
      </c>
      <c r="AT7" s="46">
        <v>615</v>
      </c>
      <c r="AU7" s="46">
        <v>584</v>
      </c>
      <c r="AV7" s="1">
        <v>612</v>
      </c>
      <c r="AW7" s="1">
        <v>675</v>
      </c>
      <c r="AX7" s="1">
        <v>674</v>
      </c>
      <c r="AY7" s="1">
        <v>690</v>
      </c>
      <c r="AZ7" s="1">
        <v>672</v>
      </c>
      <c r="BA7" s="57">
        <v>14</v>
      </c>
      <c r="BB7" s="46">
        <v>23</v>
      </c>
      <c r="BC7" s="46">
        <v>18</v>
      </c>
      <c r="BD7" s="46">
        <v>14</v>
      </c>
      <c r="BE7" s="46">
        <v>38</v>
      </c>
      <c r="BF7" s="46">
        <v>68</v>
      </c>
      <c r="BG7" s="46">
        <v>65</v>
      </c>
      <c r="BH7" s="46">
        <v>96</v>
      </c>
      <c r="BI7" s="46">
        <v>143</v>
      </c>
      <c r="BJ7" s="46">
        <v>157</v>
      </c>
      <c r="BK7" s="46">
        <v>168</v>
      </c>
      <c r="BL7" s="46">
        <v>223</v>
      </c>
      <c r="BM7" s="46">
        <v>196</v>
      </c>
      <c r="BN7" s="46">
        <v>240</v>
      </c>
      <c r="BO7" s="46">
        <v>265</v>
      </c>
      <c r="BP7" s="46">
        <v>256</v>
      </c>
      <c r="BQ7" s="46">
        <v>268</v>
      </c>
      <c r="BR7" s="46">
        <v>211</v>
      </c>
      <c r="BS7" s="46">
        <v>254</v>
      </c>
      <c r="BT7" s="46">
        <v>265</v>
      </c>
      <c r="BU7" s="46">
        <v>288</v>
      </c>
      <c r="BV7" s="46">
        <v>276</v>
      </c>
      <c r="BW7" s="46">
        <v>302</v>
      </c>
      <c r="BX7" s="46">
        <v>342</v>
      </c>
      <c r="BY7" s="46">
        <v>357</v>
      </c>
      <c r="BZ7" s="46">
        <v>372</v>
      </c>
      <c r="CA7" s="46">
        <v>435</v>
      </c>
      <c r="CB7" s="46">
        <v>445</v>
      </c>
      <c r="CC7" s="46">
        <v>458</v>
      </c>
      <c r="CD7" s="46">
        <v>492</v>
      </c>
      <c r="CE7" s="46">
        <v>434</v>
      </c>
      <c r="CF7" s="46">
        <v>538</v>
      </c>
      <c r="CG7" s="46">
        <v>514</v>
      </c>
      <c r="CH7" s="46">
        <v>492</v>
      </c>
      <c r="CI7" s="46">
        <v>499</v>
      </c>
      <c r="CJ7" s="46">
        <v>546</v>
      </c>
      <c r="CK7" s="46">
        <v>516</v>
      </c>
      <c r="CL7" s="46">
        <v>561</v>
      </c>
      <c r="CM7" s="46">
        <v>560</v>
      </c>
      <c r="CN7" s="46">
        <v>629</v>
      </c>
      <c r="CO7" s="46">
        <v>872</v>
      </c>
      <c r="CP7" s="1">
        <v>901</v>
      </c>
      <c r="CQ7" s="1">
        <v>904</v>
      </c>
      <c r="CR7" s="1">
        <v>954</v>
      </c>
      <c r="CS7" s="1">
        <v>942</v>
      </c>
      <c r="CT7" s="1">
        <v>1027</v>
      </c>
      <c r="CU7" s="1">
        <v>983</v>
      </c>
      <c r="CV7" s="1">
        <v>1048</v>
      </c>
      <c r="CW7" s="1">
        <v>1174</v>
      </c>
      <c r="CX7" s="1">
        <v>1176</v>
      </c>
      <c r="CY7" s="1">
        <v>1245</v>
      </c>
    </row>
    <row r="8" spans="1:104">
      <c r="A8" s="42" t="s">
        <v>20</v>
      </c>
      <c r="B8" s="57">
        <v>186</v>
      </c>
      <c r="C8" s="46">
        <v>195</v>
      </c>
      <c r="D8" s="46">
        <v>197</v>
      </c>
      <c r="E8" s="46">
        <v>253</v>
      </c>
      <c r="F8" s="46">
        <v>229</v>
      </c>
      <c r="G8" s="46">
        <v>209</v>
      </c>
      <c r="H8" s="46">
        <v>285</v>
      </c>
      <c r="I8" s="46">
        <v>272</v>
      </c>
      <c r="J8" s="46">
        <v>290</v>
      </c>
      <c r="K8" s="46">
        <v>287</v>
      </c>
      <c r="L8" s="46">
        <v>269</v>
      </c>
      <c r="M8" s="46">
        <v>307</v>
      </c>
      <c r="N8" s="46">
        <v>294</v>
      </c>
      <c r="O8" s="46">
        <v>277</v>
      </c>
      <c r="P8" s="46">
        <v>251</v>
      </c>
      <c r="Q8" s="46">
        <v>267</v>
      </c>
      <c r="R8" s="46">
        <v>246</v>
      </c>
      <c r="S8" s="46">
        <v>226</v>
      </c>
      <c r="T8" s="46">
        <v>261</v>
      </c>
      <c r="U8" s="46">
        <v>229</v>
      </c>
      <c r="V8" s="46">
        <v>220</v>
      </c>
      <c r="W8" s="46">
        <v>238</v>
      </c>
      <c r="X8" s="46">
        <v>268</v>
      </c>
      <c r="Y8" s="46">
        <v>264</v>
      </c>
      <c r="Z8" s="46">
        <v>240</v>
      </c>
      <c r="AA8" s="46">
        <v>274</v>
      </c>
      <c r="AB8" s="46">
        <v>275</v>
      </c>
      <c r="AC8" s="46">
        <v>271</v>
      </c>
      <c r="AD8" s="46">
        <v>245</v>
      </c>
      <c r="AE8" s="46">
        <v>254</v>
      </c>
      <c r="AF8" s="46">
        <v>277</v>
      </c>
      <c r="AG8" s="46">
        <v>293</v>
      </c>
      <c r="AH8" s="46">
        <v>293</v>
      </c>
      <c r="AI8" s="46">
        <v>250</v>
      </c>
      <c r="AJ8" s="46">
        <v>219</v>
      </c>
      <c r="AK8" s="46">
        <v>262</v>
      </c>
      <c r="AL8" s="46">
        <v>286</v>
      </c>
      <c r="AM8" s="46">
        <v>250</v>
      </c>
      <c r="AN8" s="46">
        <v>283</v>
      </c>
      <c r="AO8" s="46">
        <v>259</v>
      </c>
      <c r="AP8" s="46">
        <v>281</v>
      </c>
      <c r="AQ8" s="46">
        <v>283</v>
      </c>
      <c r="AR8" s="46">
        <v>337</v>
      </c>
      <c r="AS8" s="46">
        <v>345</v>
      </c>
      <c r="AT8" s="46">
        <v>357</v>
      </c>
      <c r="AU8" s="46">
        <v>353</v>
      </c>
      <c r="AV8" s="1">
        <v>364</v>
      </c>
      <c r="AW8" s="1">
        <v>370</v>
      </c>
      <c r="AX8" s="1">
        <v>349</v>
      </c>
      <c r="AY8" s="1">
        <v>347</v>
      </c>
      <c r="AZ8" s="1">
        <v>339</v>
      </c>
      <c r="BA8" s="57">
        <v>5</v>
      </c>
      <c r="BB8" s="46">
        <v>11</v>
      </c>
      <c r="BC8" s="46">
        <v>11</v>
      </c>
      <c r="BD8" s="46">
        <v>9</v>
      </c>
      <c r="BE8" s="46">
        <v>19</v>
      </c>
      <c r="BF8" s="46">
        <v>19</v>
      </c>
      <c r="BG8" s="46">
        <v>26</v>
      </c>
      <c r="BH8" s="46">
        <v>55</v>
      </c>
      <c r="BI8" s="46">
        <v>60</v>
      </c>
      <c r="BJ8" s="46">
        <v>92</v>
      </c>
      <c r="BK8" s="46">
        <v>76</v>
      </c>
      <c r="BL8" s="46">
        <v>84</v>
      </c>
      <c r="BM8" s="46">
        <v>88</v>
      </c>
      <c r="BN8" s="46">
        <v>86</v>
      </c>
      <c r="BO8" s="46">
        <v>91</v>
      </c>
      <c r="BP8" s="46">
        <v>87</v>
      </c>
      <c r="BQ8" s="46">
        <v>109</v>
      </c>
      <c r="BR8" s="46">
        <v>93</v>
      </c>
      <c r="BS8" s="46">
        <v>108</v>
      </c>
      <c r="BT8" s="46">
        <v>114</v>
      </c>
      <c r="BU8" s="46">
        <v>104</v>
      </c>
      <c r="BV8" s="46">
        <v>116</v>
      </c>
      <c r="BW8" s="46">
        <v>95</v>
      </c>
      <c r="BX8" s="46">
        <v>185</v>
      </c>
      <c r="BY8" s="46">
        <v>201</v>
      </c>
      <c r="BZ8" s="46">
        <v>208</v>
      </c>
      <c r="CA8" s="46">
        <v>224</v>
      </c>
      <c r="CB8" s="46">
        <v>198</v>
      </c>
      <c r="CC8" s="46">
        <v>215</v>
      </c>
      <c r="CD8" s="46">
        <v>217</v>
      </c>
      <c r="CE8" s="46">
        <v>217</v>
      </c>
      <c r="CF8" s="46">
        <v>219</v>
      </c>
      <c r="CG8" s="46">
        <v>197</v>
      </c>
      <c r="CH8" s="46">
        <v>227</v>
      </c>
      <c r="CI8" s="46">
        <v>246</v>
      </c>
      <c r="CJ8" s="46">
        <v>243</v>
      </c>
      <c r="CK8" s="46">
        <v>240</v>
      </c>
      <c r="CL8" s="46">
        <v>262</v>
      </c>
      <c r="CM8" s="46">
        <v>234</v>
      </c>
      <c r="CN8" s="46">
        <v>250</v>
      </c>
      <c r="CO8" s="46">
        <v>243</v>
      </c>
      <c r="CP8" s="1">
        <v>238</v>
      </c>
      <c r="CQ8" s="1">
        <v>318</v>
      </c>
      <c r="CR8" s="1">
        <v>344</v>
      </c>
      <c r="CS8" s="1">
        <v>355</v>
      </c>
      <c r="CT8" s="1">
        <v>324</v>
      </c>
      <c r="CU8" s="1">
        <v>369</v>
      </c>
      <c r="CV8" s="1">
        <v>361</v>
      </c>
      <c r="CW8" s="1">
        <v>354</v>
      </c>
      <c r="CX8" s="1">
        <v>392</v>
      </c>
      <c r="CY8" s="1">
        <v>429</v>
      </c>
    </row>
    <row r="9" spans="1:104">
      <c r="A9" s="42" t="s">
        <v>21</v>
      </c>
      <c r="B9" s="57">
        <v>0</v>
      </c>
      <c r="C9" s="46">
        <v>0</v>
      </c>
      <c r="D9" s="46">
        <v>0</v>
      </c>
      <c r="E9" s="46">
        <v>0</v>
      </c>
      <c r="F9" s="46">
        <v>0</v>
      </c>
      <c r="G9" s="46">
        <v>0</v>
      </c>
      <c r="H9" s="46">
        <v>0</v>
      </c>
      <c r="I9" s="46">
        <v>0</v>
      </c>
      <c r="J9" s="46">
        <v>0</v>
      </c>
      <c r="K9" s="46">
        <v>0</v>
      </c>
      <c r="L9" s="46">
        <v>0</v>
      </c>
      <c r="M9" s="46">
        <v>0</v>
      </c>
      <c r="N9" s="46">
        <v>153</v>
      </c>
      <c r="O9" s="46">
        <v>180</v>
      </c>
      <c r="P9" s="46">
        <v>164</v>
      </c>
      <c r="Q9" s="46">
        <v>187</v>
      </c>
      <c r="R9" s="46">
        <v>187</v>
      </c>
      <c r="S9" s="46">
        <v>158</v>
      </c>
      <c r="T9" s="46">
        <v>179</v>
      </c>
      <c r="U9" s="46">
        <v>207</v>
      </c>
      <c r="V9" s="46">
        <v>203</v>
      </c>
      <c r="W9" s="46">
        <v>262</v>
      </c>
      <c r="X9" s="46">
        <v>352</v>
      </c>
      <c r="Y9" s="46">
        <v>329</v>
      </c>
      <c r="Z9" s="46">
        <v>265</v>
      </c>
      <c r="AA9" s="46">
        <v>238</v>
      </c>
      <c r="AB9" s="46">
        <v>231</v>
      </c>
      <c r="AC9" s="46">
        <v>217</v>
      </c>
      <c r="AD9" s="46">
        <v>187</v>
      </c>
      <c r="AE9" s="46">
        <v>183</v>
      </c>
      <c r="AF9" s="46">
        <v>154</v>
      </c>
      <c r="AG9" s="46">
        <v>137</v>
      </c>
      <c r="AH9" s="46">
        <v>165</v>
      </c>
      <c r="AI9" s="46">
        <v>147</v>
      </c>
      <c r="AJ9" s="46">
        <v>121</v>
      </c>
      <c r="AK9" s="46">
        <v>174</v>
      </c>
      <c r="AL9" s="46">
        <v>175</v>
      </c>
      <c r="AM9" s="46">
        <v>144</v>
      </c>
      <c r="AN9" s="46">
        <v>167</v>
      </c>
      <c r="AO9" s="46">
        <v>157</v>
      </c>
      <c r="AP9" s="46">
        <v>165</v>
      </c>
      <c r="AQ9" s="46">
        <v>153</v>
      </c>
      <c r="AR9" s="46">
        <v>172</v>
      </c>
      <c r="AS9" s="46">
        <v>154</v>
      </c>
      <c r="AT9" s="46">
        <v>151</v>
      </c>
      <c r="AU9" s="46">
        <v>98</v>
      </c>
      <c r="AV9" s="1">
        <v>11</v>
      </c>
      <c r="AW9" s="1">
        <v>20</v>
      </c>
      <c r="AX9" s="1">
        <v>22</v>
      </c>
      <c r="AY9" s="1">
        <v>21</v>
      </c>
      <c r="AZ9" s="1">
        <v>22</v>
      </c>
      <c r="BA9" s="57">
        <v>0</v>
      </c>
      <c r="BB9" s="46">
        <v>0</v>
      </c>
      <c r="BC9" s="46">
        <v>0</v>
      </c>
      <c r="BD9" s="46">
        <v>0</v>
      </c>
      <c r="BE9" s="46">
        <v>0</v>
      </c>
      <c r="BF9" s="46">
        <v>0</v>
      </c>
      <c r="BG9" s="46">
        <v>0</v>
      </c>
      <c r="BH9" s="46">
        <v>0</v>
      </c>
      <c r="BI9" s="46">
        <v>0</v>
      </c>
      <c r="BJ9" s="46">
        <v>0</v>
      </c>
      <c r="BK9" s="46">
        <v>0</v>
      </c>
      <c r="BL9" s="46">
        <v>0</v>
      </c>
      <c r="BM9" s="46">
        <v>68</v>
      </c>
      <c r="BN9" s="46">
        <v>42</v>
      </c>
      <c r="BO9" s="46">
        <v>74</v>
      </c>
      <c r="BP9" s="46">
        <v>78</v>
      </c>
      <c r="BQ9" s="46">
        <v>78</v>
      </c>
      <c r="BR9" s="46">
        <v>87</v>
      </c>
      <c r="BS9" s="46">
        <v>105</v>
      </c>
      <c r="BT9" s="46">
        <v>110</v>
      </c>
      <c r="BU9" s="46">
        <v>126</v>
      </c>
      <c r="BV9" s="46">
        <v>156</v>
      </c>
      <c r="BW9" s="46">
        <v>226</v>
      </c>
      <c r="BX9" s="46">
        <v>221</v>
      </c>
      <c r="BY9" s="46">
        <v>196</v>
      </c>
      <c r="BZ9" s="46">
        <v>180</v>
      </c>
      <c r="CA9" s="46">
        <v>160</v>
      </c>
      <c r="CB9" s="46">
        <v>151</v>
      </c>
      <c r="CC9" s="46">
        <v>157</v>
      </c>
      <c r="CD9" s="46">
        <v>139</v>
      </c>
      <c r="CE9" s="46">
        <v>161</v>
      </c>
      <c r="CF9" s="46">
        <v>130</v>
      </c>
      <c r="CG9" s="46">
        <v>126</v>
      </c>
      <c r="CH9" s="46">
        <v>165</v>
      </c>
      <c r="CI9" s="46">
        <v>122</v>
      </c>
      <c r="CJ9" s="46">
        <v>161</v>
      </c>
      <c r="CK9" s="46">
        <v>145</v>
      </c>
      <c r="CL9" s="46">
        <v>147</v>
      </c>
      <c r="CM9" s="46">
        <v>147</v>
      </c>
      <c r="CN9" s="46">
        <v>122</v>
      </c>
      <c r="CO9" s="46">
        <v>142</v>
      </c>
      <c r="CP9" s="1">
        <v>135</v>
      </c>
      <c r="CQ9" s="1">
        <v>133</v>
      </c>
      <c r="CR9" s="1">
        <v>148</v>
      </c>
      <c r="CS9" s="1">
        <v>123</v>
      </c>
      <c r="CT9" s="1">
        <v>109</v>
      </c>
      <c r="CU9" s="1">
        <v>21</v>
      </c>
      <c r="CV9" s="1">
        <v>36</v>
      </c>
      <c r="CW9" s="1">
        <v>33</v>
      </c>
      <c r="CX9" s="1">
        <v>33</v>
      </c>
      <c r="CY9" s="1">
        <v>43</v>
      </c>
    </row>
    <row r="10" spans="1:104">
      <c r="A10" s="42" t="s">
        <v>22</v>
      </c>
      <c r="B10" s="57">
        <v>600</v>
      </c>
      <c r="C10" s="46">
        <v>638</v>
      </c>
      <c r="D10" s="46">
        <v>865</v>
      </c>
      <c r="E10" s="46">
        <v>1066</v>
      </c>
      <c r="F10" s="46">
        <v>1109</v>
      </c>
      <c r="G10" s="46">
        <v>1054</v>
      </c>
      <c r="H10" s="46">
        <v>1174</v>
      </c>
      <c r="I10" s="46">
        <v>1418</v>
      </c>
      <c r="J10" s="46">
        <v>1346</v>
      </c>
      <c r="K10" s="46">
        <v>1330</v>
      </c>
      <c r="L10" s="46">
        <v>1359</v>
      </c>
      <c r="M10" s="46">
        <v>1315</v>
      </c>
      <c r="N10" s="46">
        <v>1216</v>
      </c>
      <c r="O10" s="46">
        <v>1197</v>
      </c>
      <c r="P10" s="46">
        <v>1172</v>
      </c>
      <c r="Q10" s="46">
        <v>1143</v>
      </c>
      <c r="R10" s="46">
        <v>1216</v>
      </c>
      <c r="S10" s="46">
        <v>1310</v>
      </c>
      <c r="T10" s="46">
        <v>1280</v>
      </c>
      <c r="U10" s="46">
        <v>1219</v>
      </c>
      <c r="V10" s="46">
        <v>1230</v>
      </c>
      <c r="W10" s="46">
        <v>1347</v>
      </c>
      <c r="X10" s="46">
        <v>1313</v>
      </c>
      <c r="Y10" s="46">
        <v>1339</v>
      </c>
      <c r="Z10" s="46">
        <v>1378</v>
      </c>
      <c r="AA10" s="46">
        <v>1445</v>
      </c>
      <c r="AB10" s="46">
        <v>1379</v>
      </c>
      <c r="AC10" s="46">
        <v>1420</v>
      </c>
      <c r="AD10" s="46">
        <v>1546</v>
      </c>
      <c r="AE10" s="46">
        <v>1594</v>
      </c>
      <c r="AF10" s="46">
        <v>1649</v>
      </c>
      <c r="AG10" s="46">
        <v>1552</v>
      </c>
      <c r="AH10" s="46">
        <v>1636</v>
      </c>
      <c r="AI10" s="46">
        <v>1625</v>
      </c>
      <c r="AJ10" s="46">
        <v>1700</v>
      </c>
      <c r="AK10" s="46">
        <v>1781</v>
      </c>
      <c r="AL10" s="46">
        <v>1894</v>
      </c>
      <c r="AM10" s="46">
        <v>2113</v>
      </c>
      <c r="AN10" s="46">
        <v>2359</v>
      </c>
      <c r="AO10" s="46">
        <v>2365</v>
      </c>
      <c r="AP10" s="46">
        <v>2669</v>
      </c>
      <c r="AQ10" s="46">
        <v>2820</v>
      </c>
      <c r="AR10" s="46">
        <v>2841</v>
      </c>
      <c r="AS10" s="46">
        <v>2773</v>
      </c>
      <c r="AT10" s="46">
        <v>2668</v>
      </c>
      <c r="AU10" s="46">
        <v>2643</v>
      </c>
      <c r="AV10" s="1">
        <v>2492</v>
      </c>
      <c r="AW10" s="1">
        <v>2457</v>
      </c>
      <c r="AX10" s="1">
        <v>2433</v>
      </c>
      <c r="AY10" s="1">
        <v>2314</v>
      </c>
      <c r="AZ10" s="1">
        <v>2310</v>
      </c>
      <c r="BA10" s="57">
        <v>32</v>
      </c>
      <c r="BB10" s="46">
        <v>28</v>
      </c>
      <c r="BC10" s="46">
        <v>51</v>
      </c>
      <c r="BD10" s="46">
        <v>67</v>
      </c>
      <c r="BE10" s="46">
        <v>103</v>
      </c>
      <c r="BF10" s="46">
        <v>133</v>
      </c>
      <c r="BG10" s="46">
        <v>206</v>
      </c>
      <c r="BH10" s="46">
        <v>281</v>
      </c>
      <c r="BI10" s="46">
        <v>368</v>
      </c>
      <c r="BJ10" s="46">
        <v>372</v>
      </c>
      <c r="BK10" s="46">
        <v>440</v>
      </c>
      <c r="BL10" s="46">
        <v>489</v>
      </c>
      <c r="BM10" s="46">
        <v>546</v>
      </c>
      <c r="BN10" s="46">
        <v>565</v>
      </c>
      <c r="BO10" s="46">
        <v>559</v>
      </c>
      <c r="BP10" s="46">
        <v>680</v>
      </c>
      <c r="BQ10" s="46">
        <v>662</v>
      </c>
      <c r="BR10" s="46">
        <v>795</v>
      </c>
      <c r="BS10" s="46">
        <v>766</v>
      </c>
      <c r="BT10" s="46">
        <v>832</v>
      </c>
      <c r="BU10" s="46">
        <v>908</v>
      </c>
      <c r="BV10" s="46">
        <v>956</v>
      </c>
      <c r="BW10" s="46">
        <v>999</v>
      </c>
      <c r="BX10" s="46">
        <v>983</v>
      </c>
      <c r="BY10" s="46">
        <v>1004</v>
      </c>
      <c r="BZ10" s="46">
        <v>1049</v>
      </c>
      <c r="CA10" s="46">
        <v>1107</v>
      </c>
      <c r="CB10" s="46">
        <v>1203</v>
      </c>
      <c r="CC10" s="46">
        <v>1216</v>
      </c>
      <c r="CD10" s="46">
        <v>1264</v>
      </c>
      <c r="CE10" s="46">
        <v>1495</v>
      </c>
      <c r="CF10" s="46">
        <v>1475</v>
      </c>
      <c r="CG10" s="46">
        <v>1581</v>
      </c>
      <c r="CH10" s="46">
        <v>1687</v>
      </c>
      <c r="CI10" s="46">
        <v>1769</v>
      </c>
      <c r="CJ10" s="46">
        <v>1935</v>
      </c>
      <c r="CK10" s="46">
        <v>2098</v>
      </c>
      <c r="CL10" s="46">
        <v>2418</v>
      </c>
      <c r="CM10" s="46">
        <v>2574</v>
      </c>
      <c r="CN10" s="46">
        <v>2523</v>
      </c>
      <c r="CO10" s="46">
        <v>3460</v>
      </c>
      <c r="CP10" s="1">
        <v>3477</v>
      </c>
      <c r="CQ10" s="1">
        <v>3532</v>
      </c>
      <c r="CR10" s="1">
        <v>3194</v>
      </c>
      <c r="CS10" s="1">
        <v>3192</v>
      </c>
      <c r="CT10" s="1">
        <v>3295</v>
      </c>
      <c r="CU10" s="1">
        <v>3346</v>
      </c>
      <c r="CV10" s="1">
        <v>3355</v>
      </c>
      <c r="CW10" s="1">
        <v>3312</v>
      </c>
      <c r="CX10" s="1">
        <v>3401</v>
      </c>
      <c r="CY10" s="1">
        <v>3396</v>
      </c>
    </row>
    <row r="11" spans="1:104">
      <c r="A11" s="42" t="s">
        <v>23</v>
      </c>
      <c r="B11" s="57">
        <v>721</v>
      </c>
      <c r="C11" s="46">
        <v>744</v>
      </c>
      <c r="D11" s="46">
        <v>757</v>
      </c>
      <c r="E11" s="46">
        <v>956</v>
      </c>
      <c r="F11" s="46">
        <v>969</v>
      </c>
      <c r="G11" s="46">
        <v>1017</v>
      </c>
      <c r="H11" s="46">
        <v>1073</v>
      </c>
      <c r="I11" s="46">
        <v>980</v>
      </c>
      <c r="J11" s="46">
        <v>1036</v>
      </c>
      <c r="K11" s="46">
        <v>1078</v>
      </c>
      <c r="L11" s="46">
        <v>1238</v>
      </c>
      <c r="M11" s="46">
        <v>1175</v>
      </c>
      <c r="N11" s="46">
        <v>1372</v>
      </c>
      <c r="O11" s="46">
        <v>1382</v>
      </c>
      <c r="P11" s="46">
        <v>1348</v>
      </c>
      <c r="Q11" s="46">
        <v>1350</v>
      </c>
      <c r="R11" s="46">
        <v>1476</v>
      </c>
      <c r="S11" s="46">
        <v>1347</v>
      </c>
      <c r="T11" s="46">
        <v>1238</v>
      </c>
      <c r="U11" s="46">
        <v>1207</v>
      </c>
      <c r="V11" s="46">
        <v>1131</v>
      </c>
      <c r="W11" s="46">
        <v>1224</v>
      </c>
      <c r="X11" s="46">
        <v>1133</v>
      </c>
      <c r="Y11" s="46">
        <v>1208</v>
      </c>
      <c r="Z11" s="46">
        <v>1241</v>
      </c>
      <c r="AA11" s="46">
        <v>1230</v>
      </c>
      <c r="AB11" s="46">
        <v>1439</v>
      </c>
      <c r="AC11" s="46">
        <v>1587</v>
      </c>
      <c r="AD11" s="46">
        <v>1514</v>
      </c>
      <c r="AE11" s="46">
        <v>1451</v>
      </c>
      <c r="AF11" s="46">
        <v>1435</v>
      </c>
      <c r="AG11" s="46">
        <v>1346</v>
      </c>
      <c r="AH11" s="46">
        <v>1256</v>
      </c>
      <c r="AI11" s="46">
        <v>1098</v>
      </c>
      <c r="AJ11" s="46">
        <v>1113</v>
      </c>
      <c r="AK11" s="46">
        <v>999</v>
      </c>
      <c r="AL11" s="46">
        <v>995</v>
      </c>
      <c r="AM11" s="46">
        <v>1046</v>
      </c>
      <c r="AN11" s="46">
        <v>1063</v>
      </c>
      <c r="AO11" s="46">
        <v>1169</v>
      </c>
      <c r="AP11" s="46">
        <v>1114</v>
      </c>
      <c r="AQ11" s="46">
        <v>1139</v>
      </c>
      <c r="AR11" s="46">
        <v>1236</v>
      </c>
      <c r="AS11" s="46">
        <v>1304</v>
      </c>
      <c r="AT11" s="46">
        <v>1330</v>
      </c>
      <c r="AU11" s="46">
        <v>1214</v>
      </c>
      <c r="AV11" s="1">
        <v>1339</v>
      </c>
      <c r="AW11" s="1">
        <v>1266</v>
      </c>
      <c r="AX11" s="1">
        <v>1261</v>
      </c>
      <c r="AY11" s="1">
        <v>1252</v>
      </c>
      <c r="AZ11" s="1">
        <v>1218</v>
      </c>
      <c r="BA11" s="57">
        <v>38</v>
      </c>
      <c r="BB11" s="46">
        <v>25</v>
      </c>
      <c r="BC11" s="46">
        <v>32</v>
      </c>
      <c r="BD11" s="46">
        <v>41</v>
      </c>
      <c r="BE11" s="46">
        <v>64</v>
      </c>
      <c r="BF11" s="46">
        <v>113</v>
      </c>
      <c r="BG11" s="46">
        <v>188</v>
      </c>
      <c r="BH11" s="46">
        <v>213</v>
      </c>
      <c r="BI11" s="46">
        <v>227</v>
      </c>
      <c r="BJ11" s="46">
        <v>277</v>
      </c>
      <c r="BK11" s="46">
        <v>365</v>
      </c>
      <c r="BL11" s="46">
        <v>365</v>
      </c>
      <c r="BM11" s="46">
        <v>403</v>
      </c>
      <c r="BN11" s="46">
        <v>430</v>
      </c>
      <c r="BO11" s="46">
        <v>483</v>
      </c>
      <c r="BP11" s="46">
        <v>596</v>
      </c>
      <c r="BQ11" s="46">
        <v>607</v>
      </c>
      <c r="BR11" s="46">
        <v>643</v>
      </c>
      <c r="BS11" s="46">
        <v>637</v>
      </c>
      <c r="BT11" s="46">
        <v>639</v>
      </c>
      <c r="BU11" s="46">
        <v>704</v>
      </c>
      <c r="BV11" s="46">
        <v>728</v>
      </c>
      <c r="BW11" s="46">
        <v>700</v>
      </c>
      <c r="BX11" s="46">
        <v>741</v>
      </c>
      <c r="BY11" s="46">
        <v>774</v>
      </c>
      <c r="BZ11" s="46">
        <v>831</v>
      </c>
      <c r="CA11" s="46">
        <v>940</v>
      </c>
      <c r="CB11" s="46">
        <v>927</v>
      </c>
      <c r="CC11" s="46">
        <v>975</v>
      </c>
      <c r="CD11" s="46">
        <v>985</v>
      </c>
      <c r="CE11" s="46">
        <v>1002</v>
      </c>
      <c r="CF11" s="46">
        <v>990</v>
      </c>
      <c r="CG11" s="46">
        <v>1070</v>
      </c>
      <c r="CH11" s="46">
        <v>1010</v>
      </c>
      <c r="CI11" s="46">
        <v>1005</v>
      </c>
      <c r="CJ11" s="46">
        <v>1030</v>
      </c>
      <c r="CK11" s="46">
        <v>1091</v>
      </c>
      <c r="CL11" s="46">
        <v>1132</v>
      </c>
      <c r="CM11" s="46">
        <v>1075</v>
      </c>
      <c r="CN11" s="46">
        <v>1140</v>
      </c>
      <c r="CO11" s="46">
        <v>1175</v>
      </c>
      <c r="CP11" s="1">
        <v>1161</v>
      </c>
      <c r="CQ11" s="1">
        <v>1306</v>
      </c>
      <c r="CR11" s="1">
        <v>1390</v>
      </c>
      <c r="CS11" s="1">
        <v>1408</v>
      </c>
      <c r="CT11" s="1">
        <v>1456</v>
      </c>
      <c r="CU11" s="1">
        <v>1477</v>
      </c>
      <c r="CV11" s="1">
        <v>1556</v>
      </c>
      <c r="CW11" s="1">
        <v>1584</v>
      </c>
      <c r="CX11" s="1">
        <v>1654</v>
      </c>
      <c r="CY11" s="1">
        <v>1606</v>
      </c>
    </row>
    <row r="12" spans="1:104">
      <c r="A12" s="42" t="s">
        <v>24</v>
      </c>
      <c r="B12" s="57">
        <v>704</v>
      </c>
      <c r="C12" s="46">
        <v>807</v>
      </c>
      <c r="D12" s="46">
        <v>892</v>
      </c>
      <c r="E12" s="46">
        <v>1009</v>
      </c>
      <c r="F12" s="46">
        <v>1107</v>
      </c>
      <c r="G12" s="46">
        <v>1049</v>
      </c>
      <c r="H12" s="46">
        <v>1041</v>
      </c>
      <c r="I12" s="46">
        <v>1018</v>
      </c>
      <c r="J12" s="46">
        <v>1103</v>
      </c>
      <c r="K12" s="46">
        <v>1128</v>
      </c>
      <c r="L12" s="46">
        <v>1110</v>
      </c>
      <c r="M12" s="46">
        <v>1054</v>
      </c>
      <c r="N12" s="46">
        <v>1056</v>
      </c>
      <c r="O12" s="46">
        <v>992</v>
      </c>
      <c r="P12" s="46">
        <v>901</v>
      </c>
      <c r="Q12" s="46">
        <v>927</v>
      </c>
      <c r="R12" s="46">
        <v>845</v>
      </c>
      <c r="S12" s="46">
        <v>794</v>
      </c>
      <c r="T12" s="46">
        <v>836</v>
      </c>
      <c r="U12" s="46">
        <v>825</v>
      </c>
      <c r="V12" s="46">
        <v>762</v>
      </c>
      <c r="W12" s="46">
        <v>768</v>
      </c>
      <c r="X12" s="46">
        <v>578</v>
      </c>
      <c r="Y12" s="46">
        <v>628</v>
      </c>
      <c r="Z12" s="46">
        <v>691</v>
      </c>
      <c r="AA12" s="46">
        <v>736</v>
      </c>
      <c r="AB12" s="46">
        <v>736</v>
      </c>
      <c r="AC12" s="46">
        <v>799</v>
      </c>
      <c r="AD12" s="46">
        <v>750</v>
      </c>
      <c r="AE12" s="46">
        <v>735</v>
      </c>
      <c r="AF12" s="46">
        <v>702</v>
      </c>
      <c r="AG12" s="46">
        <v>599</v>
      </c>
      <c r="AH12" s="46">
        <v>586</v>
      </c>
      <c r="AI12" s="46">
        <v>573</v>
      </c>
      <c r="AJ12" s="46">
        <v>583</v>
      </c>
      <c r="AK12" s="46">
        <v>589</v>
      </c>
      <c r="AL12" s="46">
        <v>582</v>
      </c>
      <c r="AM12" s="46">
        <v>592</v>
      </c>
      <c r="AN12" s="46">
        <v>631</v>
      </c>
      <c r="AO12" s="46">
        <v>639</v>
      </c>
      <c r="AP12" s="46">
        <v>545</v>
      </c>
      <c r="AQ12" s="46">
        <v>634</v>
      </c>
      <c r="AR12" s="46">
        <v>653</v>
      </c>
      <c r="AS12" s="46">
        <v>637</v>
      </c>
      <c r="AT12" s="46">
        <v>666</v>
      </c>
      <c r="AU12" s="46">
        <v>650</v>
      </c>
      <c r="AV12" s="1">
        <v>707</v>
      </c>
      <c r="AW12" s="1">
        <v>616</v>
      </c>
      <c r="AX12" s="1">
        <v>705</v>
      </c>
      <c r="AY12" s="1">
        <v>702</v>
      </c>
      <c r="AZ12" s="1">
        <v>711</v>
      </c>
      <c r="BA12" s="57">
        <v>27</v>
      </c>
      <c r="BB12" s="46">
        <v>37</v>
      </c>
      <c r="BC12" s="46">
        <v>38</v>
      </c>
      <c r="BD12" s="46">
        <v>41</v>
      </c>
      <c r="BE12" s="46">
        <v>59</v>
      </c>
      <c r="BF12" s="46">
        <v>86</v>
      </c>
      <c r="BG12" s="46">
        <v>130</v>
      </c>
      <c r="BH12" s="46">
        <v>178</v>
      </c>
      <c r="BI12" s="46">
        <v>200</v>
      </c>
      <c r="BJ12" s="46">
        <v>224</v>
      </c>
      <c r="BK12" s="46">
        <v>220</v>
      </c>
      <c r="BL12" s="46">
        <v>265</v>
      </c>
      <c r="BM12" s="46">
        <v>264</v>
      </c>
      <c r="BN12" s="46">
        <v>291</v>
      </c>
      <c r="BO12" s="46">
        <v>318</v>
      </c>
      <c r="BP12" s="46">
        <v>354</v>
      </c>
      <c r="BQ12" s="46">
        <v>323</v>
      </c>
      <c r="BR12" s="46">
        <v>319</v>
      </c>
      <c r="BS12" s="46">
        <v>325</v>
      </c>
      <c r="BT12" s="46">
        <v>342</v>
      </c>
      <c r="BU12" s="46">
        <v>365</v>
      </c>
      <c r="BV12" s="46">
        <v>362</v>
      </c>
      <c r="BW12" s="46">
        <v>318</v>
      </c>
      <c r="BX12" s="46">
        <v>357</v>
      </c>
      <c r="BY12" s="46">
        <v>427</v>
      </c>
      <c r="BZ12" s="46">
        <v>391</v>
      </c>
      <c r="CA12" s="46">
        <v>405</v>
      </c>
      <c r="CB12" s="46">
        <v>407</v>
      </c>
      <c r="CC12" s="46">
        <v>430</v>
      </c>
      <c r="CD12" s="46">
        <v>427</v>
      </c>
      <c r="CE12" s="46">
        <v>410</v>
      </c>
      <c r="CF12" s="46">
        <v>419</v>
      </c>
      <c r="CG12" s="46">
        <v>418</v>
      </c>
      <c r="CH12" s="46">
        <v>458</v>
      </c>
      <c r="CI12" s="46">
        <v>457</v>
      </c>
      <c r="CJ12" s="46">
        <v>522</v>
      </c>
      <c r="CK12" s="46">
        <v>507</v>
      </c>
      <c r="CL12" s="46">
        <v>501</v>
      </c>
      <c r="CM12" s="46">
        <v>469</v>
      </c>
      <c r="CN12" s="46">
        <v>466</v>
      </c>
      <c r="CO12" s="46">
        <v>551</v>
      </c>
      <c r="CP12" s="1">
        <v>636</v>
      </c>
      <c r="CQ12" s="1">
        <v>648</v>
      </c>
      <c r="CR12" s="1">
        <v>685</v>
      </c>
      <c r="CS12" s="1">
        <v>685</v>
      </c>
      <c r="CT12" s="1">
        <v>689</v>
      </c>
      <c r="CU12" s="1">
        <v>735</v>
      </c>
      <c r="CV12" s="1">
        <v>748</v>
      </c>
      <c r="CW12" s="1">
        <v>747</v>
      </c>
      <c r="CX12" s="1">
        <v>846</v>
      </c>
      <c r="CY12" s="1">
        <v>968</v>
      </c>
    </row>
    <row r="13" spans="1:104">
      <c r="A13" s="42" t="s">
        <v>25</v>
      </c>
      <c r="B13" s="57">
        <v>753</v>
      </c>
      <c r="C13" s="46">
        <v>791</v>
      </c>
      <c r="D13" s="46">
        <v>803</v>
      </c>
      <c r="E13" s="46">
        <v>903</v>
      </c>
      <c r="F13" s="46">
        <v>982</v>
      </c>
      <c r="G13" s="46">
        <v>1039</v>
      </c>
      <c r="H13" s="46">
        <v>1062</v>
      </c>
      <c r="I13" s="46">
        <v>1097</v>
      </c>
      <c r="J13" s="46">
        <v>1085</v>
      </c>
      <c r="K13" s="46">
        <v>1087</v>
      </c>
      <c r="L13" s="46">
        <v>1125</v>
      </c>
      <c r="M13" s="46">
        <v>1109</v>
      </c>
      <c r="N13" s="46">
        <v>1180</v>
      </c>
      <c r="O13" s="46">
        <v>1143</v>
      </c>
      <c r="P13" s="46">
        <v>1074</v>
      </c>
      <c r="Q13" s="46">
        <v>1052</v>
      </c>
      <c r="R13" s="46">
        <v>1050</v>
      </c>
      <c r="S13" s="46">
        <v>942</v>
      </c>
      <c r="T13" s="46">
        <v>963</v>
      </c>
      <c r="U13" s="46">
        <v>1033</v>
      </c>
      <c r="V13" s="46">
        <v>995</v>
      </c>
      <c r="W13" s="46">
        <v>1077</v>
      </c>
      <c r="X13" s="46">
        <v>1052</v>
      </c>
      <c r="Y13" s="46">
        <v>976</v>
      </c>
      <c r="Z13" s="46">
        <v>1012</v>
      </c>
      <c r="AA13" s="46">
        <v>1042</v>
      </c>
      <c r="AB13" s="46">
        <v>929</v>
      </c>
      <c r="AC13" s="46">
        <v>938</v>
      </c>
      <c r="AD13" s="46">
        <v>966</v>
      </c>
      <c r="AE13" s="46">
        <v>880</v>
      </c>
      <c r="AF13" s="46">
        <v>826</v>
      </c>
      <c r="AG13" s="46">
        <v>853</v>
      </c>
      <c r="AH13" s="46">
        <v>756</v>
      </c>
      <c r="AI13" s="46">
        <v>795</v>
      </c>
      <c r="AJ13" s="46">
        <v>853</v>
      </c>
      <c r="AK13" s="46">
        <v>776</v>
      </c>
      <c r="AL13" s="46">
        <v>797</v>
      </c>
      <c r="AM13" s="46">
        <v>734</v>
      </c>
      <c r="AN13" s="46">
        <v>765</v>
      </c>
      <c r="AO13" s="46">
        <v>818</v>
      </c>
      <c r="AP13" s="46">
        <v>890</v>
      </c>
      <c r="AQ13" s="46">
        <v>813</v>
      </c>
      <c r="AR13" s="46">
        <v>915</v>
      </c>
      <c r="AS13" s="46">
        <v>883</v>
      </c>
      <c r="AT13" s="46">
        <v>851</v>
      </c>
      <c r="AU13" s="46">
        <v>867</v>
      </c>
      <c r="AV13" s="1">
        <v>827</v>
      </c>
      <c r="AW13" s="1">
        <v>822</v>
      </c>
      <c r="AX13" s="1">
        <v>776</v>
      </c>
      <c r="AY13" s="1">
        <v>744</v>
      </c>
      <c r="AZ13" s="1">
        <v>756</v>
      </c>
      <c r="BA13" s="57">
        <v>31</v>
      </c>
      <c r="BB13" s="46">
        <v>29</v>
      </c>
      <c r="BC13" s="46">
        <v>41</v>
      </c>
      <c r="BD13" s="46">
        <v>49</v>
      </c>
      <c r="BE13" s="46">
        <v>74</v>
      </c>
      <c r="BF13" s="46">
        <v>95</v>
      </c>
      <c r="BG13" s="46">
        <v>151</v>
      </c>
      <c r="BH13" s="46">
        <v>180</v>
      </c>
      <c r="BI13" s="46">
        <v>223</v>
      </c>
      <c r="BJ13" s="46">
        <v>290</v>
      </c>
      <c r="BK13" s="46">
        <v>271</v>
      </c>
      <c r="BL13" s="46">
        <v>318</v>
      </c>
      <c r="BM13" s="46">
        <v>366</v>
      </c>
      <c r="BN13" s="46">
        <v>416</v>
      </c>
      <c r="BO13" s="46">
        <v>375</v>
      </c>
      <c r="BP13" s="46">
        <v>470</v>
      </c>
      <c r="BQ13" s="46">
        <v>471</v>
      </c>
      <c r="BR13" s="46">
        <v>450</v>
      </c>
      <c r="BS13" s="46">
        <v>437</v>
      </c>
      <c r="BT13" s="46">
        <v>472</v>
      </c>
      <c r="BU13" s="46">
        <v>464</v>
      </c>
      <c r="BV13" s="46">
        <v>563</v>
      </c>
      <c r="BW13" s="46">
        <v>510</v>
      </c>
      <c r="BX13" s="46">
        <v>526</v>
      </c>
      <c r="BY13" s="46">
        <v>570</v>
      </c>
      <c r="BZ13" s="46">
        <v>638</v>
      </c>
      <c r="CA13" s="46">
        <v>599</v>
      </c>
      <c r="CB13" s="46">
        <v>698</v>
      </c>
      <c r="CC13" s="46">
        <v>757</v>
      </c>
      <c r="CD13" s="46">
        <v>684</v>
      </c>
      <c r="CE13" s="46">
        <v>702</v>
      </c>
      <c r="CF13" s="46">
        <v>712</v>
      </c>
      <c r="CG13" s="46">
        <v>754</v>
      </c>
      <c r="CH13" s="46">
        <v>797</v>
      </c>
      <c r="CI13" s="46">
        <v>857</v>
      </c>
      <c r="CJ13" s="46">
        <v>875</v>
      </c>
      <c r="CK13" s="46">
        <v>849</v>
      </c>
      <c r="CL13" s="46">
        <v>888</v>
      </c>
      <c r="CM13" s="46">
        <v>865</v>
      </c>
      <c r="CN13" s="46">
        <v>799</v>
      </c>
      <c r="CO13" s="46">
        <v>880</v>
      </c>
      <c r="CP13" s="1">
        <v>877</v>
      </c>
      <c r="CQ13" s="1">
        <v>967</v>
      </c>
      <c r="CR13" s="1">
        <v>960</v>
      </c>
      <c r="CS13" s="1">
        <v>965</v>
      </c>
      <c r="CT13" s="1">
        <v>957</v>
      </c>
      <c r="CU13" s="1">
        <v>1011</v>
      </c>
      <c r="CV13" s="1">
        <v>930</v>
      </c>
      <c r="CW13" s="1">
        <v>956</v>
      </c>
      <c r="CX13" s="1">
        <v>972</v>
      </c>
      <c r="CY13" s="1">
        <v>1053</v>
      </c>
    </row>
    <row r="14" spans="1:104">
      <c r="A14" s="42" t="s">
        <v>26</v>
      </c>
      <c r="B14" s="57">
        <v>747</v>
      </c>
      <c r="C14" s="46">
        <v>554</v>
      </c>
      <c r="D14" s="46">
        <v>589</v>
      </c>
      <c r="E14" s="46">
        <v>836</v>
      </c>
      <c r="F14" s="46">
        <v>883</v>
      </c>
      <c r="G14" s="46">
        <v>823</v>
      </c>
      <c r="H14" s="46">
        <v>756</v>
      </c>
      <c r="I14" s="46">
        <v>747</v>
      </c>
      <c r="J14" s="46">
        <v>685</v>
      </c>
      <c r="K14" s="46">
        <v>700</v>
      </c>
      <c r="L14" s="46">
        <v>686</v>
      </c>
      <c r="M14" s="46">
        <v>635</v>
      </c>
      <c r="N14" s="46">
        <v>659</v>
      </c>
      <c r="O14" s="46">
        <v>609</v>
      </c>
      <c r="P14" s="46">
        <v>580</v>
      </c>
      <c r="Q14" s="46">
        <v>580</v>
      </c>
      <c r="R14" s="46">
        <v>761</v>
      </c>
      <c r="S14" s="46">
        <v>612</v>
      </c>
      <c r="T14" s="46">
        <v>581</v>
      </c>
      <c r="U14" s="46">
        <v>626</v>
      </c>
      <c r="V14" s="46">
        <v>598</v>
      </c>
      <c r="W14" s="46">
        <v>608</v>
      </c>
      <c r="X14" s="46">
        <v>530</v>
      </c>
      <c r="Y14" s="46">
        <v>584</v>
      </c>
      <c r="Z14" s="46">
        <v>575</v>
      </c>
      <c r="AA14" s="46">
        <v>571</v>
      </c>
      <c r="AB14" s="46">
        <v>507</v>
      </c>
      <c r="AC14" s="46">
        <v>578</v>
      </c>
      <c r="AD14" s="46">
        <v>584</v>
      </c>
      <c r="AE14" s="46">
        <v>621</v>
      </c>
      <c r="AF14" s="46">
        <v>526</v>
      </c>
      <c r="AG14" s="46">
        <v>530</v>
      </c>
      <c r="AH14" s="46">
        <v>595</v>
      </c>
      <c r="AI14" s="46">
        <v>535</v>
      </c>
      <c r="AJ14" s="46">
        <v>523</v>
      </c>
      <c r="AK14" s="46">
        <v>506</v>
      </c>
      <c r="AL14" s="46">
        <v>555</v>
      </c>
      <c r="AM14" s="46">
        <v>499</v>
      </c>
      <c r="AN14" s="46">
        <v>500</v>
      </c>
      <c r="AO14" s="46">
        <v>522</v>
      </c>
      <c r="AP14" s="46">
        <v>597</v>
      </c>
      <c r="AQ14" s="46">
        <v>579</v>
      </c>
      <c r="AR14" s="46">
        <v>651</v>
      </c>
      <c r="AS14" s="46">
        <v>711</v>
      </c>
      <c r="AT14" s="46">
        <v>665</v>
      </c>
      <c r="AU14" s="46">
        <v>626</v>
      </c>
      <c r="AV14" s="1">
        <v>584</v>
      </c>
      <c r="AW14" s="1">
        <v>594</v>
      </c>
      <c r="AX14" s="1">
        <v>574</v>
      </c>
      <c r="AY14" s="1">
        <v>550</v>
      </c>
      <c r="AZ14" s="1">
        <v>541</v>
      </c>
      <c r="BA14" s="57">
        <v>35</v>
      </c>
      <c r="BB14" s="46">
        <v>48</v>
      </c>
      <c r="BC14" s="46">
        <v>54</v>
      </c>
      <c r="BD14" s="46">
        <v>81</v>
      </c>
      <c r="BE14" s="46">
        <v>88</v>
      </c>
      <c r="BF14" s="46">
        <v>117</v>
      </c>
      <c r="BG14" s="46">
        <v>138</v>
      </c>
      <c r="BH14" s="46">
        <v>171</v>
      </c>
      <c r="BI14" s="46">
        <v>214</v>
      </c>
      <c r="BJ14" s="46">
        <v>221</v>
      </c>
      <c r="BK14" s="46">
        <v>221</v>
      </c>
      <c r="BL14" s="46">
        <v>259</v>
      </c>
      <c r="BM14" s="46">
        <v>259</v>
      </c>
      <c r="BN14" s="46">
        <v>296</v>
      </c>
      <c r="BO14" s="46">
        <v>311</v>
      </c>
      <c r="BP14" s="46">
        <v>319</v>
      </c>
      <c r="BQ14" s="46">
        <v>363</v>
      </c>
      <c r="BR14" s="46">
        <v>356</v>
      </c>
      <c r="BS14" s="46">
        <v>351</v>
      </c>
      <c r="BT14" s="46">
        <v>347</v>
      </c>
      <c r="BU14" s="46">
        <v>373</v>
      </c>
      <c r="BV14" s="46">
        <v>389</v>
      </c>
      <c r="BW14" s="46">
        <v>416</v>
      </c>
      <c r="BX14" s="46">
        <v>466</v>
      </c>
      <c r="BY14" s="46">
        <v>397</v>
      </c>
      <c r="BZ14" s="46">
        <v>430</v>
      </c>
      <c r="CA14" s="46">
        <v>406</v>
      </c>
      <c r="CB14" s="46">
        <v>509</v>
      </c>
      <c r="CC14" s="46">
        <v>531</v>
      </c>
      <c r="CD14" s="46">
        <v>523</v>
      </c>
      <c r="CE14" s="46">
        <v>523</v>
      </c>
      <c r="CF14" s="46">
        <v>498</v>
      </c>
      <c r="CG14" s="46">
        <v>534</v>
      </c>
      <c r="CH14" s="46">
        <v>511</v>
      </c>
      <c r="CI14" s="46">
        <v>617</v>
      </c>
      <c r="CJ14" s="46">
        <v>574</v>
      </c>
      <c r="CK14" s="46">
        <v>567</v>
      </c>
      <c r="CL14" s="46">
        <v>641</v>
      </c>
      <c r="CM14" s="46">
        <v>603</v>
      </c>
      <c r="CN14" s="46">
        <v>680</v>
      </c>
      <c r="CO14" s="46">
        <v>777</v>
      </c>
      <c r="CP14" s="1">
        <v>784</v>
      </c>
      <c r="CQ14" s="1">
        <v>796</v>
      </c>
      <c r="CR14" s="1">
        <v>826</v>
      </c>
      <c r="CS14" s="1">
        <v>861</v>
      </c>
      <c r="CT14" s="1">
        <v>850</v>
      </c>
      <c r="CU14" s="1">
        <v>822</v>
      </c>
      <c r="CV14" s="1">
        <v>797</v>
      </c>
      <c r="CW14" s="1">
        <v>907</v>
      </c>
      <c r="CX14" s="1">
        <v>914</v>
      </c>
      <c r="CY14" s="1">
        <v>886</v>
      </c>
    </row>
    <row r="15" spans="1:104">
      <c r="A15" s="42" t="s">
        <v>27</v>
      </c>
      <c r="B15" s="57">
        <v>172</v>
      </c>
      <c r="C15" s="46">
        <v>185</v>
      </c>
      <c r="D15" s="46">
        <v>205</v>
      </c>
      <c r="E15" s="46">
        <v>254</v>
      </c>
      <c r="F15" s="46">
        <v>375</v>
      </c>
      <c r="G15" s="46">
        <v>275</v>
      </c>
      <c r="H15" s="46">
        <v>370</v>
      </c>
      <c r="I15" s="46">
        <v>370</v>
      </c>
      <c r="J15" s="46">
        <v>406</v>
      </c>
      <c r="K15" s="46">
        <v>402</v>
      </c>
      <c r="L15" s="46">
        <v>305</v>
      </c>
      <c r="M15" s="46">
        <v>552</v>
      </c>
      <c r="N15" s="46">
        <v>369</v>
      </c>
      <c r="O15" s="46">
        <v>317</v>
      </c>
      <c r="P15" s="46">
        <v>327</v>
      </c>
      <c r="Q15" s="46">
        <v>387</v>
      </c>
      <c r="R15" s="46">
        <v>367</v>
      </c>
      <c r="S15" s="46">
        <v>338</v>
      </c>
      <c r="T15" s="46">
        <v>335</v>
      </c>
      <c r="U15" s="46">
        <v>318</v>
      </c>
      <c r="V15" s="46">
        <v>344</v>
      </c>
      <c r="W15" s="46">
        <v>302</v>
      </c>
      <c r="X15" s="46">
        <v>362</v>
      </c>
      <c r="Y15" s="46">
        <v>318</v>
      </c>
      <c r="Z15" s="46">
        <v>331</v>
      </c>
      <c r="AA15" s="46">
        <v>338</v>
      </c>
      <c r="AB15" s="46">
        <v>266</v>
      </c>
      <c r="AC15" s="46">
        <v>300</v>
      </c>
      <c r="AD15" s="46">
        <v>294</v>
      </c>
      <c r="AE15" s="46">
        <v>347</v>
      </c>
      <c r="AF15" s="46">
        <v>297</v>
      </c>
      <c r="AG15" s="46">
        <v>256</v>
      </c>
      <c r="AH15" s="46">
        <v>305</v>
      </c>
      <c r="AI15" s="46">
        <v>302</v>
      </c>
      <c r="AJ15" s="46">
        <v>283</v>
      </c>
      <c r="AK15" s="46">
        <v>345</v>
      </c>
      <c r="AL15" s="46">
        <v>331</v>
      </c>
      <c r="AM15" s="46">
        <v>311</v>
      </c>
      <c r="AN15" s="46">
        <v>308</v>
      </c>
      <c r="AO15" s="46">
        <v>341</v>
      </c>
      <c r="AP15" s="46">
        <v>333</v>
      </c>
      <c r="AQ15" s="46">
        <v>363</v>
      </c>
      <c r="AR15" s="46">
        <v>326</v>
      </c>
      <c r="AS15" s="46">
        <v>367</v>
      </c>
      <c r="AT15" s="46">
        <v>436</v>
      </c>
      <c r="AU15" s="46">
        <v>346</v>
      </c>
      <c r="AV15" s="1">
        <v>370</v>
      </c>
      <c r="AW15" s="1">
        <v>385</v>
      </c>
      <c r="AX15" s="1">
        <v>383</v>
      </c>
      <c r="AY15" s="1">
        <v>343</v>
      </c>
      <c r="AZ15" s="1">
        <v>349</v>
      </c>
      <c r="BA15" s="57">
        <v>16</v>
      </c>
      <c r="BB15" s="46">
        <v>10</v>
      </c>
      <c r="BC15" s="46">
        <v>13</v>
      </c>
      <c r="BD15" s="46">
        <v>12</v>
      </c>
      <c r="BE15" s="46">
        <v>16</v>
      </c>
      <c r="BF15" s="46">
        <v>19</v>
      </c>
      <c r="BG15" s="46">
        <v>21</v>
      </c>
      <c r="BH15" s="46">
        <v>51</v>
      </c>
      <c r="BI15" s="46">
        <v>54</v>
      </c>
      <c r="BJ15" s="46">
        <v>59</v>
      </c>
      <c r="BK15" s="46">
        <v>70</v>
      </c>
      <c r="BL15" s="46">
        <v>132</v>
      </c>
      <c r="BM15" s="46">
        <v>100</v>
      </c>
      <c r="BN15" s="46">
        <v>70</v>
      </c>
      <c r="BO15" s="46">
        <v>82</v>
      </c>
      <c r="BP15" s="46">
        <v>113</v>
      </c>
      <c r="BQ15" s="46">
        <v>124</v>
      </c>
      <c r="BR15" s="46">
        <v>123</v>
      </c>
      <c r="BS15" s="46">
        <v>138</v>
      </c>
      <c r="BT15" s="46">
        <v>96</v>
      </c>
      <c r="BU15" s="46">
        <v>133</v>
      </c>
      <c r="BV15" s="46">
        <v>150</v>
      </c>
      <c r="BW15" s="46">
        <v>151</v>
      </c>
      <c r="BX15" s="46">
        <v>148</v>
      </c>
      <c r="BY15" s="46">
        <v>147</v>
      </c>
      <c r="BZ15" s="46">
        <v>154</v>
      </c>
      <c r="CA15" s="46">
        <v>179</v>
      </c>
      <c r="CB15" s="46">
        <v>164</v>
      </c>
      <c r="CC15" s="46">
        <v>200</v>
      </c>
      <c r="CD15" s="46">
        <v>236</v>
      </c>
      <c r="CE15" s="46">
        <v>209</v>
      </c>
      <c r="CF15" s="46">
        <v>225</v>
      </c>
      <c r="CG15" s="46">
        <v>236</v>
      </c>
      <c r="CH15" s="46">
        <v>218</v>
      </c>
      <c r="CI15" s="46">
        <v>245</v>
      </c>
      <c r="CJ15" s="46">
        <v>262</v>
      </c>
      <c r="CK15" s="46">
        <v>266</v>
      </c>
      <c r="CL15" s="46">
        <v>279</v>
      </c>
      <c r="CM15" s="46">
        <v>305</v>
      </c>
      <c r="CN15" s="46">
        <v>328</v>
      </c>
      <c r="CO15" s="46">
        <v>347</v>
      </c>
      <c r="CP15" s="1">
        <v>347</v>
      </c>
      <c r="CQ15" s="1">
        <v>388</v>
      </c>
      <c r="CR15" s="1">
        <v>402</v>
      </c>
      <c r="CS15" s="1">
        <v>362</v>
      </c>
      <c r="CT15" s="1">
        <v>374</v>
      </c>
      <c r="CU15" s="1">
        <v>384</v>
      </c>
      <c r="CV15" s="1">
        <v>406</v>
      </c>
      <c r="CW15" s="1">
        <v>387</v>
      </c>
      <c r="CX15" s="1">
        <v>433</v>
      </c>
      <c r="CY15" s="1">
        <v>436</v>
      </c>
    </row>
    <row r="16" spans="1:104">
      <c r="A16" s="42" t="s">
        <v>28</v>
      </c>
      <c r="B16" s="57">
        <v>640</v>
      </c>
      <c r="C16" s="46">
        <v>695</v>
      </c>
      <c r="D16" s="46">
        <v>824</v>
      </c>
      <c r="E16" s="46">
        <v>951</v>
      </c>
      <c r="F16" s="46">
        <v>1002</v>
      </c>
      <c r="G16" s="46">
        <v>954</v>
      </c>
      <c r="H16" s="46">
        <v>1088</v>
      </c>
      <c r="I16" s="46">
        <v>1015</v>
      </c>
      <c r="J16" s="46">
        <v>1023</v>
      </c>
      <c r="K16" s="46">
        <v>1085</v>
      </c>
      <c r="L16" s="46">
        <v>1138</v>
      </c>
      <c r="M16" s="46">
        <v>1120</v>
      </c>
      <c r="N16" s="46">
        <v>1130</v>
      </c>
      <c r="O16" s="46">
        <v>1159</v>
      </c>
      <c r="P16" s="46">
        <v>1168</v>
      </c>
      <c r="Q16" s="46">
        <v>1143</v>
      </c>
      <c r="R16" s="46">
        <v>1050</v>
      </c>
      <c r="S16" s="46">
        <v>1042</v>
      </c>
      <c r="T16" s="46">
        <v>1043</v>
      </c>
      <c r="U16" s="46">
        <v>1044</v>
      </c>
      <c r="V16" s="46">
        <v>973</v>
      </c>
      <c r="W16" s="46">
        <v>978</v>
      </c>
      <c r="X16" s="46">
        <v>947</v>
      </c>
      <c r="Y16" s="46">
        <v>1004</v>
      </c>
      <c r="Z16" s="46">
        <v>1008</v>
      </c>
      <c r="AA16" s="46">
        <v>1018</v>
      </c>
      <c r="AB16" s="46">
        <v>1034</v>
      </c>
      <c r="AC16" s="46">
        <v>1064</v>
      </c>
      <c r="AD16" s="46">
        <v>1063</v>
      </c>
      <c r="AE16" s="46">
        <v>1082</v>
      </c>
      <c r="AF16" s="46">
        <v>1082</v>
      </c>
      <c r="AG16" s="46">
        <v>947</v>
      </c>
      <c r="AH16" s="46">
        <v>899</v>
      </c>
      <c r="AI16" s="46">
        <v>915</v>
      </c>
      <c r="AJ16" s="46">
        <v>951</v>
      </c>
      <c r="AK16" s="46">
        <v>927</v>
      </c>
      <c r="AL16" s="46">
        <v>920</v>
      </c>
      <c r="AM16" s="46">
        <v>1024</v>
      </c>
      <c r="AN16" s="46">
        <v>980</v>
      </c>
      <c r="AO16" s="46">
        <v>1093</v>
      </c>
      <c r="AP16" s="46">
        <v>1104</v>
      </c>
      <c r="AQ16" s="46">
        <v>1153</v>
      </c>
      <c r="AR16" s="46">
        <v>1203</v>
      </c>
      <c r="AS16" s="46">
        <v>1341</v>
      </c>
      <c r="AT16" s="46">
        <v>1338</v>
      </c>
      <c r="AU16" s="46">
        <v>1220</v>
      </c>
      <c r="AV16" s="1">
        <v>1036</v>
      </c>
      <c r="AW16" s="1">
        <v>1112</v>
      </c>
      <c r="AX16" s="1">
        <v>1136</v>
      </c>
      <c r="AY16" s="1">
        <v>1099</v>
      </c>
      <c r="AZ16" s="1">
        <v>1127</v>
      </c>
      <c r="BA16" s="57">
        <v>25</v>
      </c>
      <c r="BB16" s="46">
        <v>42</v>
      </c>
      <c r="BC16" s="46">
        <v>46</v>
      </c>
      <c r="BD16" s="46">
        <v>59</v>
      </c>
      <c r="BE16" s="46">
        <v>118</v>
      </c>
      <c r="BF16" s="46">
        <v>136</v>
      </c>
      <c r="BG16" s="46">
        <v>174</v>
      </c>
      <c r="BH16" s="46">
        <v>203</v>
      </c>
      <c r="BI16" s="46">
        <v>261</v>
      </c>
      <c r="BJ16" s="46">
        <v>299</v>
      </c>
      <c r="BK16" s="46">
        <v>330</v>
      </c>
      <c r="BL16" s="46">
        <v>388</v>
      </c>
      <c r="BM16" s="46">
        <v>389</v>
      </c>
      <c r="BN16" s="46">
        <v>423</v>
      </c>
      <c r="BO16" s="46">
        <v>462</v>
      </c>
      <c r="BP16" s="46">
        <v>519</v>
      </c>
      <c r="BQ16" s="46">
        <v>523</v>
      </c>
      <c r="BR16" s="46">
        <v>578</v>
      </c>
      <c r="BS16" s="46">
        <v>551</v>
      </c>
      <c r="BT16" s="46">
        <v>588</v>
      </c>
      <c r="BU16" s="46">
        <v>624</v>
      </c>
      <c r="BV16" s="46">
        <v>647</v>
      </c>
      <c r="BW16" s="46">
        <v>590</v>
      </c>
      <c r="BX16" s="46">
        <v>705</v>
      </c>
      <c r="BY16" s="46">
        <v>665</v>
      </c>
      <c r="BZ16" s="46">
        <v>678</v>
      </c>
      <c r="CA16" s="46">
        <v>707</v>
      </c>
      <c r="CB16" s="46">
        <v>700</v>
      </c>
      <c r="CC16" s="46">
        <v>839</v>
      </c>
      <c r="CD16" s="46">
        <v>849</v>
      </c>
      <c r="CE16" s="46">
        <v>869</v>
      </c>
      <c r="CF16" s="46">
        <v>953</v>
      </c>
      <c r="CG16" s="46">
        <v>932</v>
      </c>
      <c r="CH16" s="46">
        <v>946</v>
      </c>
      <c r="CI16" s="46">
        <v>937</v>
      </c>
      <c r="CJ16" s="46">
        <v>998</v>
      </c>
      <c r="CK16" s="46">
        <v>984</v>
      </c>
      <c r="CL16" s="46">
        <v>1059</v>
      </c>
      <c r="CM16" s="46">
        <v>1083</v>
      </c>
      <c r="CN16" s="46">
        <v>1172</v>
      </c>
      <c r="CO16" s="46">
        <v>1211</v>
      </c>
      <c r="CP16" s="1">
        <v>1262</v>
      </c>
      <c r="CQ16" s="1">
        <v>1332</v>
      </c>
      <c r="CR16" s="1">
        <v>1442</v>
      </c>
      <c r="CS16" s="1">
        <v>1500</v>
      </c>
      <c r="CT16" s="1">
        <v>1458</v>
      </c>
      <c r="CU16" s="1">
        <v>1259</v>
      </c>
      <c r="CV16" s="1">
        <v>1425</v>
      </c>
      <c r="CW16" s="1">
        <v>1437</v>
      </c>
      <c r="CX16" s="1">
        <v>1536</v>
      </c>
      <c r="CY16" s="1">
        <v>1618</v>
      </c>
    </row>
    <row r="17" spans="1:104">
      <c r="A17" s="42" t="s">
        <v>29</v>
      </c>
      <c r="B17" s="57">
        <v>389</v>
      </c>
      <c r="C17" s="46">
        <v>332</v>
      </c>
      <c r="D17" s="46">
        <v>400</v>
      </c>
      <c r="E17" s="46">
        <v>474</v>
      </c>
      <c r="F17" s="46">
        <v>528</v>
      </c>
      <c r="G17" s="46">
        <v>662</v>
      </c>
      <c r="H17" s="46">
        <v>606</v>
      </c>
      <c r="I17" s="46">
        <v>666</v>
      </c>
      <c r="J17" s="46">
        <v>698</v>
      </c>
      <c r="K17" s="46">
        <v>690</v>
      </c>
      <c r="L17" s="46">
        <v>755</v>
      </c>
      <c r="M17" s="46">
        <v>602</v>
      </c>
      <c r="N17" s="46">
        <v>738</v>
      </c>
      <c r="O17" s="46">
        <v>721</v>
      </c>
      <c r="P17" s="46">
        <v>729</v>
      </c>
      <c r="Q17" s="46">
        <v>711</v>
      </c>
      <c r="R17" s="46">
        <v>715</v>
      </c>
      <c r="S17" s="46">
        <v>691</v>
      </c>
      <c r="T17" s="46">
        <v>680</v>
      </c>
      <c r="U17" s="46">
        <v>633</v>
      </c>
      <c r="V17" s="46">
        <v>602</v>
      </c>
      <c r="W17" s="46">
        <v>597</v>
      </c>
      <c r="X17" s="46">
        <v>636</v>
      </c>
      <c r="Y17" s="46">
        <v>572</v>
      </c>
      <c r="Z17" s="46">
        <v>520</v>
      </c>
      <c r="AA17" s="46">
        <v>595</v>
      </c>
      <c r="AB17" s="46">
        <v>435</v>
      </c>
      <c r="AC17" s="46">
        <v>504</v>
      </c>
      <c r="AD17" s="46">
        <v>618</v>
      </c>
      <c r="AE17" s="46">
        <v>522</v>
      </c>
      <c r="AF17" s="46">
        <v>566</v>
      </c>
      <c r="AG17" s="46">
        <v>568</v>
      </c>
      <c r="AH17" s="46">
        <v>576</v>
      </c>
      <c r="AI17" s="46">
        <v>598</v>
      </c>
      <c r="AJ17" s="46">
        <v>593</v>
      </c>
      <c r="AK17" s="46">
        <v>554</v>
      </c>
      <c r="AL17" s="46">
        <v>644</v>
      </c>
      <c r="AM17" s="46">
        <v>605</v>
      </c>
      <c r="AN17" s="46">
        <v>608</v>
      </c>
      <c r="AO17" s="46">
        <v>606</v>
      </c>
      <c r="AP17" s="46">
        <v>583</v>
      </c>
      <c r="AQ17" s="46">
        <v>607</v>
      </c>
      <c r="AR17" s="46">
        <v>665</v>
      </c>
      <c r="AS17" s="46">
        <v>556</v>
      </c>
      <c r="AT17" s="46">
        <v>553</v>
      </c>
      <c r="AU17" s="46">
        <v>536</v>
      </c>
      <c r="AV17" s="1">
        <v>508</v>
      </c>
      <c r="AW17" s="1">
        <v>539</v>
      </c>
      <c r="AX17" s="1">
        <v>502</v>
      </c>
      <c r="AY17" s="1">
        <v>541</v>
      </c>
      <c r="AZ17" s="1">
        <v>483</v>
      </c>
      <c r="BA17" s="57">
        <v>15</v>
      </c>
      <c r="BB17" s="46">
        <v>20</v>
      </c>
      <c r="BC17" s="46">
        <v>20</v>
      </c>
      <c r="BD17" s="46">
        <v>21</v>
      </c>
      <c r="BE17" s="46">
        <v>43</v>
      </c>
      <c r="BF17" s="46">
        <v>74</v>
      </c>
      <c r="BG17" s="46">
        <v>99</v>
      </c>
      <c r="BH17" s="46">
        <v>123</v>
      </c>
      <c r="BI17" s="46">
        <v>161</v>
      </c>
      <c r="BJ17" s="46">
        <v>167</v>
      </c>
      <c r="BK17" s="46">
        <v>205</v>
      </c>
      <c r="BL17" s="46">
        <v>165</v>
      </c>
      <c r="BM17" s="46">
        <v>218</v>
      </c>
      <c r="BN17" s="46">
        <v>271</v>
      </c>
      <c r="BO17" s="46">
        <v>280</v>
      </c>
      <c r="BP17" s="46">
        <v>309</v>
      </c>
      <c r="BQ17" s="46">
        <v>307</v>
      </c>
      <c r="BR17" s="46">
        <v>308</v>
      </c>
      <c r="BS17" s="46">
        <v>351</v>
      </c>
      <c r="BT17" s="46">
        <v>317</v>
      </c>
      <c r="BU17" s="46">
        <v>321</v>
      </c>
      <c r="BV17" s="46">
        <v>312</v>
      </c>
      <c r="BW17" s="46">
        <v>353</v>
      </c>
      <c r="BX17" s="46">
        <v>356</v>
      </c>
      <c r="BY17" s="46">
        <v>326</v>
      </c>
      <c r="BZ17" s="46">
        <v>360</v>
      </c>
      <c r="CA17" s="46">
        <v>264</v>
      </c>
      <c r="CB17" s="46">
        <v>303</v>
      </c>
      <c r="CC17" s="46">
        <v>408</v>
      </c>
      <c r="CD17" s="46">
        <v>389</v>
      </c>
      <c r="CE17" s="46">
        <v>435</v>
      </c>
      <c r="CF17" s="46">
        <v>421</v>
      </c>
      <c r="CG17" s="46">
        <v>449</v>
      </c>
      <c r="CH17" s="46">
        <v>484</v>
      </c>
      <c r="CI17" s="46">
        <v>505</v>
      </c>
      <c r="CJ17" s="46">
        <v>540</v>
      </c>
      <c r="CK17" s="46">
        <v>556</v>
      </c>
      <c r="CL17" s="46">
        <v>544</v>
      </c>
      <c r="CM17" s="46">
        <v>520</v>
      </c>
      <c r="CN17" s="46">
        <v>533</v>
      </c>
      <c r="CO17" s="46">
        <v>521</v>
      </c>
      <c r="CP17" s="1">
        <v>572</v>
      </c>
      <c r="CQ17" s="1">
        <v>574</v>
      </c>
      <c r="CR17" s="1">
        <v>583</v>
      </c>
      <c r="CS17" s="1">
        <v>551</v>
      </c>
      <c r="CT17" s="1">
        <v>547</v>
      </c>
      <c r="CU17" s="1">
        <v>575</v>
      </c>
      <c r="CV17" s="1">
        <v>601</v>
      </c>
      <c r="CW17" s="1">
        <v>498</v>
      </c>
      <c r="CX17" s="1">
        <v>540</v>
      </c>
      <c r="CY17" s="1">
        <v>629</v>
      </c>
    </row>
    <row r="18" spans="1:104">
      <c r="A18" s="42" t="s">
        <v>30</v>
      </c>
      <c r="B18" s="57">
        <v>229</v>
      </c>
      <c r="C18" s="46">
        <v>274</v>
      </c>
      <c r="D18" s="46">
        <v>274</v>
      </c>
      <c r="E18" s="46">
        <v>420</v>
      </c>
      <c r="F18" s="46">
        <v>452</v>
      </c>
      <c r="G18" s="46">
        <v>496</v>
      </c>
      <c r="H18" s="46">
        <v>478</v>
      </c>
      <c r="I18" s="46">
        <v>495</v>
      </c>
      <c r="J18" s="46">
        <v>523</v>
      </c>
      <c r="K18" s="46">
        <v>489</v>
      </c>
      <c r="L18" s="46">
        <v>318</v>
      </c>
      <c r="M18" s="46">
        <v>551</v>
      </c>
      <c r="N18" s="46">
        <v>530</v>
      </c>
      <c r="O18" s="46">
        <v>510</v>
      </c>
      <c r="P18" s="46">
        <v>490</v>
      </c>
      <c r="Q18" s="46">
        <v>515</v>
      </c>
      <c r="R18" s="46">
        <v>468</v>
      </c>
      <c r="S18" s="46">
        <v>553</v>
      </c>
      <c r="T18" s="46">
        <v>477</v>
      </c>
      <c r="U18" s="46">
        <v>553</v>
      </c>
      <c r="V18" s="46">
        <v>382</v>
      </c>
      <c r="W18" s="46">
        <v>383</v>
      </c>
      <c r="X18" s="46">
        <v>413</v>
      </c>
      <c r="Y18" s="46">
        <v>399</v>
      </c>
      <c r="Z18" s="46">
        <v>395</v>
      </c>
      <c r="AA18" s="46">
        <v>396</v>
      </c>
      <c r="AB18" s="46">
        <v>458</v>
      </c>
      <c r="AC18" s="46">
        <v>469</v>
      </c>
      <c r="AD18" s="46">
        <v>431</v>
      </c>
      <c r="AE18" s="46">
        <v>475</v>
      </c>
      <c r="AF18" s="46">
        <v>504</v>
      </c>
      <c r="AG18" s="46">
        <v>431</v>
      </c>
      <c r="AH18" s="46">
        <v>433</v>
      </c>
      <c r="AI18" s="46">
        <v>422</v>
      </c>
      <c r="AJ18" s="46">
        <v>464</v>
      </c>
      <c r="AK18" s="46">
        <v>450</v>
      </c>
      <c r="AL18" s="46">
        <v>431</v>
      </c>
      <c r="AM18" s="46">
        <v>423</v>
      </c>
      <c r="AN18" s="46">
        <v>509</v>
      </c>
      <c r="AO18" s="46">
        <v>518</v>
      </c>
      <c r="AP18" s="46">
        <v>476</v>
      </c>
      <c r="AQ18" s="46">
        <v>529</v>
      </c>
      <c r="AR18" s="46">
        <v>490</v>
      </c>
      <c r="AS18" s="46">
        <v>521</v>
      </c>
      <c r="AT18" s="46">
        <v>520</v>
      </c>
      <c r="AU18" s="46">
        <v>504</v>
      </c>
      <c r="AV18" s="1">
        <v>517</v>
      </c>
      <c r="AW18" s="1">
        <v>520</v>
      </c>
      <c r="AX18" s="1">
        <v>525</v>
      </c>
      <c r="AY18" s="1">
        <v>541</v>
      </c>
      <c r="AZ18" s="1">
        <v>560</v>
      </c>
      <c r="BA18" s="57">
        <v>4</v>
      </c>
      <c r="BB18" s="46">
        <v>4</v>
      </c>
      <c r="BC18" s="46">
        <v>3</v>
      </c>
      <c r="BD18" s="46">
        <v>14</v>
      </c>
      <c r="BE18" s="46">
        <v>19</v>
      </c>
      <c r="BF18" s="46">
        <v>45</v>
      </c>
      <c r="BG18" s="46">
        <v>56</v>
      </c>
      <c r="BH18" s="46">
        <v>64</v>
      </c>
      <c r="BI18" s="46">
        <v>100</v>
      </c>
      <c r="BJ18" s="46">
        <v>92</v>
      </c>
      <c r="BK18" s="46">
        <v>87</v>
      </c>
      <c r="BL18" s="46">
        <v>145</v>
      </c>
      <c r="BM18" s="46">
        <v>160</v>
      </c>
      <c r="BN18" s="46">
        <v>148</v>
      </c>
      <c r="BO18" s="46">
        <v>157</v>
      </c>
      <c r="BP18" s="46">
        <v>146</v>
      </c>
      <c r="BQ18" s="46">
        <v>222</v>
      </c>
      <c r="BR18" s="46">
        <v>185</v>
      </c>
      <c r="BS18" s="46">
        <v>206</v>
      </c>
      <c r="BT18" s="46">
        <v>185</v>
      </c>
      <c r="BU18" s="46">
        <v>205</v>
      </c>
      <c r="BV18" s="46">
        <v>208</v>
      </c>
      <c r="BW18" s="46">
        <v>208</v>
      </c>
      <c r="BX18" s="46">
        <v>205</v>
      </c>
      <c r="BY18" s="46">
        <v>232</v>
      </c>
      <c r="BZ18" s="46">
        <v>218</v>
      </c>
      <c r="CA18" s="46">
        <v>247</v>
      </c>
      <c r="CB18" s="46">
        <v>255</v>
      </c>
      <c r="CC18" s="46">
        <v>306</v>
      </c>
      <c r="CD18" s="46">
        <v>319</v>
      </c>
      <c r="CE18" s="46">
        <v>349</v>
      </c>
      <c r="CF18" s="46">
        <v>324</v>
      </c>
      <c r="CG18" s="46">
        <v>344</v>
      </c>
      <c r="CH18" s="46">
        <v>316</v>
      </c>
      <c r="CI18" s="46">
        <v>356</v>
      </c>
      <c r="CJ18" s="46">
        <v>407</v>
      </c>
      <c r="CK18" s="46">
        <v>419</v>
      </c>
      <c r="CL18" s="46">
        <v>420</v>
      </c>
      <c r="CM18" s="46">
        <v>491</v>
      </c>
      <c r="CN18" s="46">
        <v>511</v>
      </c>
      <c r="CO18" s="46">
        <v>442</v>
      </c>
      <c r="CP18" s="1">
        <v>437</v>
      </c>
      <c r="CQ18" s="1">
        <v>449</v>
      </c>
      <c r="CR18" s="1">
        <v>504</v>
      </c>
      <c r="CS18" s="1">
        <v>575</v>
      </c>
      <c r="CT18" s="1">
        <v>519</v>
      </c>
      <c r="CU18" s="1">
        <v>575</v>
      </c>
      <c r="CV18" s="1">
        <v>552</v>
      </c>
      <c r="CW18" s="1">
        <v>540</v>
      </c>
      <c r="CX18" s="1">
        <v>676</v>
      </c>
      <c r="CY18" s="1">
        <v>661</v>
      </c>
    </row>
    <row r="19" spans="1:104">
      <c r="A19" s="42" t="s">
        <v>31</v>
      </c>
      <c r="B19" s="57">
        <v>783</v>
      </c>
      <c r="C19" s="46">
        <v>832</v>
      </c>
      <c r="D19" s="46">
        <v>972</v>
      </c>
      <c r="E19" s="46">
        <v>1096</v>
      </c>
      <c r="F19" s="46">
        <v>1305</v>
      </c>
      <c r="G19" s="46">
        <v>1107</v>
      </c>
      <c r="H19" s="46">
        <v>1190</v>
      </c>
      <c r="I19" s="46">
        <v>1145</v>
      </c>
      <c r="J19" s="46">
        <v>1091</v>
      </c>
      <c r="K19" s="46">
        <v>1151</v>
      </c>
      <c r="L19" s="46">
        <v>1081</v>
      </c>
      <c r="M19" s="46">
        <v>1202</v>
      </c>
      <c r="N19" s="46">
        <v>1214</v>
      </c>
      <c r="O19" s="46">
        <v>1182</v>
      </c>
      <c r="P19" s="46">
        <v>1170</v>
      </c>
      <c r="Q19" s="46">
        <v>1100</v>
      </c>
      <c r="R19" s="46">
        <v>995</v>
      </c>
      <c r="S19" s="46">
        <v>950</v>
      </c>
      <c r="T19" s="46">
        <v>915</v>
      </c>
      <c r="U19" s="46">
        <v>955</v>
      </c>
      <c r="V19" s="46">
        <v>864</v>
      </c>
      <c r="W19" s="46">
        <v>849</v>
      </c>
      <c r="X19" s="46">
        <v>923</v>
      </c>
      <c r="Y19" s="46">
        <v>856</v>
      </c>
      <c r="Z19" s="46">
        <v>800</v>
      </c>
      <c r="AA19" s="46">
        <v>873</v>
      </c>
      <c r="AB19" s="46">
        <v>794</v>
      </c>
      <c r="AC19" s="46">
        <v>801</v>
      </c>
      <c r="AD19" s="46">
        <v>851</v>
      </c>
      <c r="AE19" s="46">
        <v>850</v>
      </c>
      <c r="AF19" s="46">
        <v>883</v>
      </c>
      <c r="AG19" s="46">
        <v>815</v>
      </c>
      <c r="AH19" s="46">
        <v>801</v>
      </c>
      <c r="AI19" s="46">
        <v>741</v>
      </c>
      <c r="AJ19" s="46">
        <v>765</v>
      </c>
      <c r="AK19" s="46">
        <v>737</v>
      </c>
      <c r="AL19" s="46">
        <v>749</v>
      </c>
      <c r="AM19" s="46">
        <v>743</v>
      </c>
      <c r="AN19" s="46">
        <v>780</v>
      </c>
      <c r="AO19" s="46">
        <v>710</v>
      </c>
      <c r="AP19" s="46">
        <v>786</v>
      </c>
      <c r="AQ19" s="46">
        <v>793</v>
      </c>
      <c r="AR19" s="46">
        <v>895</v>
      </c>
      <c r="AS19" s="46">
        <v>996</v>
      </c>
      <c r="AT19" s="46">
        <v>994</v>
      </c>
      <c r="AU19" s="46">
        <v>1034</v>
      </c>
      <c r="AV19" s="1">
        <v>1035</v>
      </c>
      <c r="AW19" s="1">
        <v>1038</v>
      </c>
      <c r="AX19" s="1">
        <v>1077</v>
      </c>
      <c r="AY19" s="1">
        <v>1106</v>
      </c>
      <c r="AZ19" s="1">
        <v>1147</v>
      </c>
      <c r="BA19" s="57">
        <v>31</v>
      </c>
      <c r="BB19" s="46">
        <v>36</v>
      </c>
      <c r="BC19" s="46">
        <v>35</v>
      </c>
      <c r="BD19" s="46">
        <v>44</v>
      </c>
      <c r="BE19" s="46">
        <v>77</v>
      </c>
      <c r="BF19" s="46">
        <v>105</v>
      </c>
      <c r="BG19" s="46">
        <v>171</v>
      </c>
      <c r="BH19" s="46">
        <v>175</v>
      </c>
      <c r="BI19" s="46">
        <v>220</v>
      </c>
      <c r="BJ19" s="46">
        <v>258</v>
      </c>
      <c r="BK19" s="46">
        <v>268</v>
      </c>
      <c r="BL19" s="46">
        <v>321</v>
      </c>
      <c r="BM19" s="46">
        <v>313</v>
      </c>
      <c r="BN19" s="46">
        <v>384</v>
      </c>
      <c r="BO19" s="46">
        <v>370</v>
      </c>
      <c r="BP19" s="46">
        <v>382</v>
      </c>
      <c r="BQ19" s="46">
        <v>397</v>
      </c>
      <c r="BR19" s="46">
        <v>355</v>
      </c>
      <c r="BS19" s="46">
        <v>393</v>
      </c>
      <c r="BT19" s="46">
        <v>388</v>
      </c>
      <c r="BU19" s="46">
        <v>425</v>
      </c>
      <c r="BV19" s="46">
        <v>419</v>
      </c>
      <c r="BW19" s="46">
        <v>429</v>
      </c>
      <c r="BX19" s="46">
        <v>485</v>
      </c>
      <c r="BY19" s="46">
        <v>496</v>
      </c>
      <c r="BZ19" s="46">
        <v>563</v>
      </c>
      <c r="CA19" s="46">
        <v>544</v>
      </c>
      <c r="CB19" s="46">
        <v>584</v>
      </c>
      <c r="CC19" s="46">
        <v>602</v>
      </c>
      <c r="CD19" s="46">
        <v>566</v>
      </c>
      <c r="CE19" s="46">
        <v>635</v>
      </c>
      <c r="CF19" s="46">
        <v>631</v>
      </c>
      <c r="CG19" s="46">
        <v>634</v>
      </c>
      <c r="CH19" s="46">
        <v>670</v>
      </c>
      <c r="CI19" s="46">
        <v>666</v>
      </c>
      <c r="CJ19" s="46">
        <v>665</v>
      </c>
      <c r="CK19" s="46">
        <v>683</v>
      </c>
      <c r="CL19" s="46">
        <v>707</v>
      </c>
      <c r="CM19" s="46">
        <v>751</v>
      </c>
      <c r="CN19" s="46">
        <v>769</v>
      </c>
      <c r="CO19" s="46">
        <v>844</v>
      </c>
      <c r="CP19" s="1">
        <v>940</v>
      </c>
      <c r="CQ19" s="1">
        <v>1097</v>
      </c>
      <c r="CR19" s="1">
        <v>1063</v>
      </c>
      <c r="CS19" s="1">
        <v>1151</v>
      </c>
      <c r="CT19" s="1">
        <v>1223</v>
      </c>
      <c r="CU19" s="1">
        <v>1149</v>
      </c>
      <c r="CV19" s="1">
        <v>1261</v>
      </c>
      <c r="CW19" s="1">
        <v>1361</v>
      </c>
      <c r="CX19" s="1">
        <v>1408</v>
      </c>
      <c r="CY19" s="1">
        <v>1530</v>
      </c>
    </row>
    <row r="20" spans="1:104">
      <c r="A20" s="42" t="s">
        <v>32</v>
      </c>
      <c r="B20" s="57">
        <v>1964</v>
      </c>
      <c r="C20" s="46">
        <v>2006</v>
      </c>
      <c r="D20" s="46">
        <v>2268</v>
      </c>
      <c r="E20" s="46">
        <v>2659</v>
      </c>
      <c r="F20" s="46">
        <v>2942</v>
      </c>
      <c r="G20" s="46">
        <v>2853</v>
      </c>
      <c r="H20" s="46">
        <v>3096</v>
      </c>
      <c r="I20" s="46">
        <v>3103</v>
      </c>
      <c r="J20" s="46">
        <v>2863</v>
      </c>
      <c r="K20" s="46">
        <v>2806</v>
      </c>
      <c r="L20" s="46">
        <v>3060</v>
      </c>
      <c r="M20" s="46">
        <v>3199</v>
      </c>
      <c r="N20" s="46">
        <v>3145</v>
      </c>
      <c r="O20" s="46">
        <v>3149</v>
      </c>
      <c r="P20" s="46">
        <v>3187</v>
      </c>
      <c r="Q20" s="46">
        <v>3164</v>
      </c>
      <c r="R20" s="46">
        <v>3155</v>
      </c>
      <c r="S20" s="46">
        <v>2553</v>
      </c>
      <c r="T20" s="46">
        <v>2531</v>
      </c>
      <c r="U20" s="46">
        <v>2592</v>
      </c>
      <c r="V20" s="46">
        <v>2583</v>
      </c>
      <c r="W20" s="46">
        <v>2580</v>
      </c>
      <c r="X20" s="46">
        <v>3060</v>
      </c>
      <c r="Y20" s="46">
        <v>3092</v>
      </c>
      <c r="Z20" s="46">
        <v>2968</v>
      </c>
      <c r="AA20" s="46">
        <v>3002</v>
      </c>
      <c r="AB20" s="46">
        <v>3174</v>
      </c>
      <c r="AC20" s="46">
        <v>3172</v>
      </c>
      <c r="AD20" s="46">
        <v>2952</v>
      </c>
      <c r="AE20" s="46">
        <v>2933</v>
      </c>
      <c r="AF20" s="46">
        <v>3151</v>
      </c>
      <c r="AG20" s="46">
        <v>2835</v>
      </c>
      <c r="AH20" s="46">
        <v>2831</v>
      </c>
      <c r="AI20" s="46">
        <v>2611</v>
      </c>
      <c r="AJ20" s="46">
        <v>2685</v>
      </c>
      <c r="AK20" s="46">
        <v>2804</v>
      </c>
      <c r="AL20" s="46">
        <v>2753</v>
      </c>
      <c r="AM20" s="46">
        <v>2757</v>
      </c>
      <c r="AN20" s="46">
        <v>2806</v>
      </c>
      <c r="AO20" s="46">
        <v>2898</v>
      </c>
      <c r="AP20" s="46">
        <v>2750</v>
      </c>
      <c r="AQ20" s="46">
        <v>2882</v>
      </c>
      <c r="AR20" s="46">
        <v>2846</v>
      </c>
      <c r="AS20" s="46">
        <v>2891</v>
      </c>
      <c r="AT20" s="46">
        <v>2961</v>
      </c>
      <c r="AU20" s="46">
        <v>2850</v>
      </c>
      <c r="AV20" s="1">
        <v>2924</v>
      </c>
      <c r="AW20" s="1">
        <v>2873</v>
      </c>
      <c r="AX20" s="1">
        <v>2887</v>
      </c>
      <c r="AY20" s="1">
        <v>3012</v>
      </c>
      <c r="AZ20" s="1">
        <v>2866</v>
      </c>
      <c r="BA20" s="57">
        <v>109</v>
      </c>
      <c r="BB20" s="46">
        <v>106</v>
      </c>
      <c r="BC20" s="46">
        <v>113</v>
      </c>
      <c r="BD20" s="46">
        <v>153</v>
      </c>
      <c r="BE20" s="46">
        <v>224</v>
      </c>
      <c r="BF20" s="46">
        <v>348</v>
      </c>
      <c r="BG20" s="46">
        <v>402</v>
      </c>
      <c r="BH20" s="46">
        <v>588</v>
      </c>
      <c r="BI20" s="46">
        <v>726</v>
      </c>
      <c r="BJ20" s="46">
        <v>790</v>
      </c>
      <c r="BK20" s="46">
        <v>800</v>
      </c>
      <c r="BL20" s="46">
        <v>1008</v>
      </c>
      <c r="BM20" s="46">
        <v>1022</v>
      </c>
      <c r="BN20" s="46">
        <v>1182</v>
      </c>
      <c r="BO20" s="46">
        <v>1278</v>
      </c>
      <c r="BP20" s="46">
        <v>1460</v>
      </c>
      <c r="BQ20" s="46">
        <v>1402</v>
      </c>
      <c r="BR20" s="46">
        <v>1475</v>
      </c>
      <c r="BS20" s="46">
        <v>1468</v>
      </c>
      <c r="BT20" s="46">
        <v>1554</v>
      </c>
      <c r="BU20" s="46">
        <v>1526</v>
      </c>
      <c r="BV20" s="46">
        <v>1628</v>
      </c>
      <c r="BW20" s="46">
        <v>1757</v>
      </c>
      <c r="BX20" s="46">
        <v>1790</v>
      </c>
      <c r="BY20" s="46">
        <v>1800</v>
      </c>
      <c r="BZ20" s="46">
        <v>1773</v>
      </c>
      <c r="CA20" s="46">
        <v>1922</v>
      </c>
      <c r="CB20" s="46">
        <v>1890</v>
      </c>
      <c r="CC20" s="46">
        <v>1869</v>
      </c>
      <c r="CD20" s="46">
        <v>2030</v>
      </c>
      <c r="CE20" s="46">
        <v>2137</v>
      </c>
      <c r="CF20" s="46">
        <v>2209</v>
      </c>
      <c r="CG20" s="46">
        <v>2279</v>
      </c>
      <c r="CH20" s="46">
        <v>2288</v>
      </c>
      <c r="CI20" s="46">
        <v>2397</v>
      </c>
      <c r="CJ20" s="46">
        <v>2594</v>
      </c>
      <c r="CK20" s="46">
        <v>2609</v>
      </c>
      <c r="CL20" s="46">
        <v>2568</v>
      </c>
      <c r="CM20" s="46">
        <v>2556</v>
      </c>
      <c r="CN20" s="46">
        <v>2502</v>
      </c>
      <c r="CO20" s="46">
        <v>2909</v>
      </c>
      <c r="CP20" s="1">
        <v>2961</v>
      </c>
      <c r="CQ20" s="1">
        <v>3039</v>
      </c>
      <c r="CR20" s="1">
        <v>3068</v>
      </c>
      <c r="CS20" s="1">
        <v>3104</v>
      </c>
      <c r="CT20" s="1">
        <v>3241</v>
      </c>
      <c r="CU20" s="1">
        <v>3143</v>
      </c>
      <c r="CV20" s="1">
        <v>3190</v>
      </c>
      <c r="CW20" s="1">
        <v>3270</v>
      </c>
      <c r="CX20" s="1">
        <v>3336</v>
      </c>
      <c r="CY20" s="1">
        <v>3666</v>
      </c>
    </row>
    <row r="21" spans="1:104">
      <c r="A21" s="42" t="s">
        <v>33</v>
      </c>
      <c r="B21" s="57">
        <v>637</v>
      </c>
      <c r="C21" s="46">
        <v>766</v>
      </c>
      <c r="D21" s="46">
        <v>846</v>
      </c>
      <c r="E21" s="46">
        <v>971</v>
      </c>
      <c r="F21" s="46">
        <v>926</v>
      </c>
      <c r="G21" s="46">
        <v>928</v>
      </c>
      <c r="H21" s="46">
        <v>1002</v>
      </c>
      <c r="I21" s="46">
        <v>1002</v>
      </c>
      <c r="J21" s="46">
        <v>1005</v>
      </c>
      <c r="K21" s="46">
        <v>1043</v>
      </c>
      <c r="L21" s="46">
        <v>1038</v>
      </c>
      <c r="M21" s="46">
        <v>1270</v>
      </c>
      <c r="N21" s="46">
        <v>1100</v>
      </c>
      <c r="O21" s="46">
        <v>1073</v>
      </c>
      <c r="P21" s="46">
        <v>1127</v>
      </c>
      <c r="Q21" s="46">
        <v>1079</v>
      </c>
      <c r="R21" s="46">
        <v>1106</v>
      </c>
      <c r="S21" s="46">
        <v>1039</v>
      </c>
      <c r="T21" s="46">
        <v>1087</v>
      </c>
      <c r="U21" s="46">
        <v>1074</v>
      </c>
      <c r="V21" s="46">
        <v>1062</v>
      </c>
      <c r="W21" s="46">
        <v>1018</v>
      </c>
      <c r="X21" s="46">
        <v>958</v>
      </c>
      <c r="Y21" s="46">
        <v>1090</v>
      </c>
      <c r="Z21" s="46">
        <v>1122</v>
      </c>
      <c r="AA21" s="46">
        <v>1080</v>
      </c>
      <c r="AB21" s="46">
        <v>1104</v>
      </c>
      <c r="AC21" s="46">
        <v>1136</v>
      </c>
      <c r="AD21" s="46">
        <v>1130</v>
      </c>
      <c r="AE21" s="46">
        <v>1124</v>
      </c>
      <c r="AF21" s="46">
        <v>1224</v>
      </c>
      <c r="AG21" s="46">
        <v>1151</v>
      </c>
      <c r="AH21" s="46">
        <v>1161</v>
      </c>
      <c r="AI21" s="46">
        <v>1117</v>
      </c>
      <c r="AJ21" s="46">
        <v>1256</v>
      </c>
      <c r="AK21" s="46">
        <v>1262</v>
      </c>
      <c r="AL21" s="46">
        <v>1333</v>
      </c>
      <c r="AM21" s="46">
        <v>1406</v>
      </c>
      <c r="AN21" s="46">
        <v>1503</v>
      </c>
      <c r="AO21" s="46">
        <v>1589</v>
      </c>
      <c r="AP21" s="46">
        <v>1206</v>
      </c>
      <c r="AQ21" s="46">
        <v>1267</v>
      </c>
      <c r="AR21" s="46">
        <v>1767</v>
      </c>
      <c r="AS21" s="46">
        <v>1505</v>
      </c>
      <c r="AT21" s="46">
        <v>1450</v>
      </c>
      <c r="AU21" s="46">
        <v>1453</v>
      </c>
      <c r="AV21" s="1">
        <v>1355</v>
      </c>
      <c r="AW21" s="1">
        <v>1378</v>
      </c>
      <c r="AX21" s="1">
        <v>1402</v>
      </c>
      <c r="AY21" s="1">
        <v>1592</v>
      </c>
      <c r="AZ21" s="1">
        <v>1615</v>
      </c>
      <c r="BA21" s="57">
        <v>20</v>
      </c>
      <c r="BB21" s="46">
        <v>42</v>
      </c>
      <c r="BC21" s="46">
        <v>44</v>
      </c>
      <c r="BD21" s="46">
        <v>43</v>
      </c>
      <c r="BE21" s="46">
        <v>67</v>
      </c>
      <c r="BF21" s="46">
        <v>100</v>
      </c>
      <c r="BG21" s="46">
        <v>152</v>
      </c>
      <c r="BH21" s="46">
        <v>181</v>
      </c>
      <c r="BI21" s="46">
        <v>227</v>
      </c>
      <c r="BJ21" s="46">
        <v>303</v>
      </c>
      <c r="BK21" s="46">
        <v>314</v>
      </c>
      <c r="BL21" s="46">
        <v>445</v>
      </c>
      <c r="BM21" s="46">
        <v>420</v>
      </c>
      <c r="BN21" s="46">
        <v>444</v>
      </c>
      <c r="BO21" s="46">
        <v>542</v>
      </c>
      <c r="BP21" s="46">
        <v>572</v>
      </c>
      <c r="BQ21" s="46">
        <v>560</v>
      </c>
      <c r="BR21" s="46">
        <v>558</v>
      </c>
      <c r="BS21" s="46">
        <v>612</v>
      </c>
      <c r="BT21" s="46">
        <v>621</v>
      </c>
      <c r="BU21" s="46">
        <v>670</v>
      </c>
      <c r="BV21" s="46">
        <v>721</v>
      </c>
      <c r="BW21" s="46">
        <v>669</v>
      </c>
      <c r="BX21" s="46">
        <v>721</v>
      </c>
      <c r="BY21" s="46">
        <v>717</v>
      </c>
      <c r="BZ21" s="46">
        <v>737</v>
      </c>
      <c r="CA21" s="46">
        <v>773</v>
      </c>
      <c r="CB21" s="46">
        <v>800</v>
      </c>
      <c r="CC21" s="46">
        <v>823</v>
      </c>
      <c r="CD21" s="46">
        <v>821</v>
      </c>
      <c r="CE21" s="46">
        <v>957</v>
      </c>
      <c r="CF21" s="46">
        <v>983</v>
      </c>
      <c r="CG21" s="46">
        <v>1052</v>
      </c>
      <c r="CH21" s="46">
        <v>1016</v>
      </c>
      <c r="CI21" s="46">
        <v>1151</v>
      </c>
      <c r="CJ21" s="46">
        <v>1234</v>
      </c>
      <c r="CK21" s="46">
        <v>1157</v>
      </c>
      <c r="CL21" s="46">
        <v>1220</v>
      </c>
      <c r="CM21" s="46">
        <v>1342</v>
      </c>
      <c r="CN21" s="46">
        <v>1553</v>
      </c>
      <c r="CO21" s="46">
        <v>1327</v>
      </c>
      <c r="CP21" s="1">
        <v>1327</v>
      </c>
      <c r="CQ21" s="1">
        <v>1466</v>
      </c>
      <c r="CR21" s="1">
        <v>1458</v>
      </c>
      <c r="CS21" s="1">
        <v>1479</v>
      </c>
      <c r="CT21" s="1">
        <v>1587</v>
      </c>
      <c r="CU21" s="1">
        <v>1575</v>
      </c>
      <c r="CV21" s="1">
        <v>1594</v>
      </c>
      <c r="CW21" s="1">
        <v>1601</v>
      </c>
      <c r="CX21" s="1">
        <v>1812</v>
      </c>
      <c r="CY21" s="1">
        <v>1989</v>
      </c>
    </row>
    <row r="22" spans="1:104" s="24" customFormat="1">
      <c r="A22" s="47" t="s">
        <v>34</v>
      </c>
      <c r="B22" s="58">
        <v>151</v>
      </c>
      <c r="C22" s="48">
        <v>173</v>
      </c>
      <c r="D22" s="48">
        <v>190</v>
      </c>
      <c r="E22" s="48">
        <v>209</v>
      </c>
      <c r="F22" s="48">
        <v>214</v>
      </c>
      <c r="G22" s="48">
        <v>212</v>
      </c>
      <c r="H22" s="48">
        <v>214</v>
      </c>
      <c r="I22" s="48">
        <v>214</v>
      </c>
      <c r="J22" s="48">
        <v>249</v>
      </c>
      <c r="K22" s="48">
        <v>278</v>
      </c>
      <c r="L22" s="48">
        <v>286</v>
      </c>
      <c r="M22" s="48">
        <v>274</v>
      </c>
      <c r="N22" s="48">
        <v>278</v>
      </c>
      <c r="O22" s="48">
        <v>291</v>
      </c>
      <c r="P22" s="48">
        <v>251</v>
      </c>
      <c r="Q22" s="48">
        <v>256</v>
      </c>
      <c r="R22" s="48">
        <v>221</v>
      </c>
      <c r="S22" s="48">
        <v>234</v>
      </c>
      <c r="T22" s="48">
        <v>212</v>
      </c>
      <c r="U22" s="48">
        <v>222</v>
      </c>
      <c r="V22" s="48">
        <v>196</v>
      </c>
      <c r="W22" s="48">
        <v>223</v>
      </c>
      <c r="X22" s="48">
        <v>226</v>
      </c>
      <c r="Y22" s="48">
        <v>203</v>
      </c>
      <c r="Z22" s="48">
        <v>227</v>
      </c>
      <c r="AA22" s="48">
        <v>212</v>
      </c>
      <c r="AB22" s="48">
        <v>212</v>
      </c>
      <c r="AC22" s="48">
        <v>202</v>
      </c>
      <c r="AD22" s="48">
        <v>222</v>
      </c>
      <c r="AE22" s="48">
        <v>223</v>
      </c>
      <c r="AF22" s="48">
        <v>208</v>
      </c>
      <c r="AG22" s="48">
        <v>266</v>
      </c>
      <c r="AH22" s="48">
        <v>223</v>
      </c>
      <c r="AI22" s="48">
        <v>253</v>
      </c>
      <c r="AJ22" s="48">
        <v>260</v>
      </c>
      <c r="AK22" s="48">
        <v>221</v>
      </c>
      <c r="AL22" s="48">
        <v>239</v>
      </c>
      <c r="AM22" s="48">
        <v>277</v>
      </c>
      <c r="AN22" s="48">
        <v>267</v>
      </c>
      <c r="AO22" s="48">
        <v>302</v>
      </c>
      <c r="AP22" s="48">
        <v>373</v>
      </c>
      <c r="AQ22" s="48">
        <v>402</v>
      </c>
      <c r="AR22" s="48">
        <v>409</v>
      </c>
      <c r="AS22" s="48">
        <v>435</v>
      </c>
      <c r="AT22" s="48">
        <v>430</v>
      </c>
      <c r="AU22" s="48">
        <v>425</v>
      </c>
      <c r="AV22" s="3">
        <v>476</v>
      </c>
      <c r="AW22" s="3">
        <v>467</v>
      </c>
      <c r="AX22" s="3">
        <v>438</v>
      </c>
      <c r="AY22" s="3">
        <v>454</v>
      </c>
      <c r="AZ22" s="3">
        <v>446</v>
      </c>
      <c r="BA22" s="58">
        <v>7</v>
      </c>
      <c r="BB22" s="48">
        <v>11</v>
      </c>
      <c r="BC22" s="48">
        <v>9</v>
      </c>
      <c r="BD22" s="48">
        <v>12</v>
      </c>
      <c r="BE22" s="48">
        <v>11</v>
      </c>
      <c r="BF22" s="48">
        <v>14</v>
      </c>
      <c r="BG22" s="48">
        <v>23</v>
      </c>
      <c r="BH22" s="48">
        <v>38</v>
      </c>
      <c r="BI22" s="48">
        <v>44</v>
      </c>
      <c r="BJ22" s="48">
        <v>57</v>
      </c>
      <c r="BK22" s="48">
        <v>65</v>
      </c>
      <c r="BL22" s="48">
        <v>64</v>
      </c>
      <c r="BM22" s="48">
        <v>75</v>
      </c>
      <c r="BN22" s="48">
        <v>105</v>
      </c>
      <c r="BO22" s="48">
        <v>97</v>
      </c>
      <c r="BP22" s="48">
        <v>106</v>
      </c>
      <c r="BQ22" s="48">
        <v>98</v>
      </c>
      <c r="BR22" s="48">
        <v>95</v>
      </c>
      <c r="BS22" s="48">
        <v>96</v>
      </c>
      <c r="BT22" s="48">
        <v>93</v>
      </c>
      <c r="BU22" s="48">
        <v>106</v>
      </c>
      <c r="BV22" s="48">
        <v>130</v>
      </c>
      <c r="BW22" s="48">
        <v>103</v>
      </c>
      <c r="BX22" s="48">
        <v>117</v>
      </c>
      <c r="BY22" s="48">
        <v>140</v>
      </c>
      <c r="BZ22" s="48">
        <v>146</v>
      </c>
      <c r="CA22" s="48">
        <v>138</v>
      </c>
      <c r="CB22" s="48">
        <v>156</v>
      </c>
      <c r="CC22" s="48">
        <v>160</v>
      </c>
      <c r="CD22" s="48">
        <v>168</v>
      </c>
      <c r="CE22" s="48">
        <v>168</v>
      </c>
      <c r="CF22" s="48">
        <v>171</v>
      </c>
      <c r="CG22" s="48">
        <v>184</v>
      </c>
      <c r="CH22" s="48">
        <v>218</v>
      </c>
      <c r="CI22" s="48">
        <v>193</v>
      </c>
      <c r="CJ22" s="48">
        <v>228</v>
      </c>
      <c r="CK22" s="48">
        <v>240</v>
      </c>
      <c r="CL22" s="48">
        <v>265</v>
      </c>
      <c r="CM22" s="48">
        <v>255</v>
      </c>
      <c r="CN22" s="48">
        <v>256</v>
      </c>
      <c r="CO22" s="48">
        <v>412</v>
      </c>
      <c r="CP22" s="24">
        <v>427</v>
      </c>
      <c r="CQ22" s="24">
        <v>398</v>
      </c>
      <c r="CR22" s="24">
        <v>423</v>
      </c>
      <c r="CS22" s="24">
        <v>414</v>
      </c>
      <c r="CT22" s="24">
        <v>429</v>
      </c>
      <c r="CU22" s="3">
        <v>455</v>
      </c>
      <c r="CV22" s="3">
        <v>507</v>
      </c>
      <c r="CW22" s="3">
        <v>484</v>
      </c>
      <c r="CX22" s="3">
        <v>465</v>
      </c>
      <c r="CY22" s="24">
        <v>536</v>
      </c>
    </row>
    <row r="23" spans="1:104">
      <c r="A23" s="42" t="s">
        <v>35</v>
      </c>
      <c r="B23" s="55">
        <f t="shared" ref="B23:BW23" si="15">SUM(B25:B37)</f>
        <v>4454</v>
      </c>
      <c r="C23" s="43">
        <f t="shared" si="15"/>
        <v>5392</v>
      </c>
      <c r="D23" s="43">
        <f t="shared" si="15"/>
        <v>6350</v>
      </c>
      <c r="E23" s="43">
        <f t="shared" si="15"/>
        <v>7022</v>
      </c>
      <c r="F23" s="43">
        <f t="shared" si="15"/>
        <v>7439</v>
      </c>
      <c r="G23" s="43">
        <f t="shared" si="15"/>
        <v>7604</v>
      </c>
      <c r="H23" s="43">
        <f t="shared" si="15"/>
        <v>9188</v>
      </c>
      <c r="I23" s="43">
        <f t="shared" si="15"/>
        <v>9187</v>
      </c>
      <c r="J23" s="43">
        <f t="shared" si="15"/>
        <v>9298</v>
      </c>
      <c r="K23" s="43">
        <f t="shared" si="15"/>
        <v>9284</v>
      </c>
      <c r="L23" s="43">
        <f t="shared" si="15"/>
        <v>9121</v>
      </c>
      <c r="M23" s="43">
        <f t="shared" si="15"/>
        <v>9097</v>
      </c>
      <c r="N23" s="43">
        <f t="shared" si="15"/>
        <v>8603</v>
      </c>
      <c r="O23" s="43">
        <f t="shared" si="15"/>
        <v>8372</v>
      </c>
      <c r="P23" s="43">
        <f t="shared" si="15"/>
        <v>8637</v>
      </c>
      <c r="Q23" s="43">
        <f t="shared" si="15"/>
        <v>8303</v>
      </c>
      <c r="R23" s="43">
        <f t="shared" si="15"/>
        <v>7857</v>
      </c>
      <c r="S23" s="43">
        <f t="shared" si="15"/>
        <v>7192</v>
      </c>
      <c r="T23" s="43">
        <f t="shared" si="15"/>
        <v>7334</v>
      </c>
      <c r="U23" s="43">
        <f t="shared" si="15"/>
        <v>7049</v>
      </c>
      <c r="V23" s="43">
        <f t="shared" si="15"/>
        <v>6946</v>
      </c>
      <c r="W23" s="43">
        <f t="shared" si="15"/>
        <v>6791</v>
      </c>
      <c r="X23" s="43">
        <f t="shared" si="15"/>
        <v>7527</v>
      </c>
      <c r="Y23" s="43">
        <f t="shared" si="15"/>
        <v>7779</v>
      </c>
      <c r="Z23" s="43">
        <f t="shared" si="15"/>
        <v>7581</v>
      </c>
      <c r="AA23" s="43">
        <f t="shared" si="15"/>
        <v>7332</v>
      </c>
      <c r="AB23" s="43">
        <f t="shared" si="15"/>
        <v>7054</v>
      </c>
      <c r="AC23" s="43">
        <f t="shared" si="15"/>
        <v>7411</v>
      </c>
      <c r="AD23" s="43">
        <f t="shared" si="15"/>
        <v>7098</v>
      </c>
      <c r="AE23" s="43">
        <f t="shared" si="15"/>
        <v>6985</v>
      </c>
      <c r="AF23" s="43">
        <f t="shared" si="15"/>
        <v>7211</v>
      </c>
      <c r="AG23" s="43">
        <f t="shared" si="15"/>
        <v>7087</v>
      </c>
      <c r="AH23" s="43">
        <f t="shared" si="15"/>
        <v>6614</v>
      </c>
      <c r="AI23" s="43">
        <f t="shared" si="15"/>
        <v>7010</v>
      </c>
      <c r="AJ23" s="43">
        <f t="shared" si="15"/>
        <v>6884</v>
      </c>
      <c r="AK23" s="43">
        <f t="shared" si="15"/>
        <v>7338</v>
      </c>
      <c r="AL23" s="43">
        <f t="shared" si="15"/>
        <v>7190</v>
      </c>
      <c r="AM23" s="43">
        <f t="shared" si="15"/>
        <v>7501</v>
      </c>
      <c r="AN23" s="43">
        <f t="shared" si="15"/>
        <v>7284</v>
      </c>
      <c r="AO23" s="43">
        <f t="shared" si="15"/>
        <v>7576</v>
      </c>
      <c r="AP23" s="43">
        <f>SUM(AP25:AP37)</f>
        <v>7524</v>
      </c>
      <c r="AQ23" s="43">
        <f>SUM(AQ25:AQ37)</f>
        <v>8102</v>
      </c>
      <c r="AR23" s="43">
        <f t="shared" ref="AR23:AS23" si="16">SUM(AR25:AR37)</f>
        <v>8546</v>
      </c>
      <c r="AS23" s="43">
        <f t="shared" si="16"/>
        <v>9152</v>
      </c>
      <c r="AT23" s="43">
        <f t="shared" ref="AT23:AW23" si="17">SUM(AT25:AT37)</f>
        <v>8966</v>
      </c>
      <c r="AU23" s="43">
        <f t="shared" si="17"/>
        <v>8924</v>
      </c>
      <c r="AV23" s="43">
        <f t="shared" si="17"/>
        <v>8686</v>
      </c>
      <c r="AW23" s="43">
        <f t="shared" si="17"/>
        <v>8640</v>
      </c>
      <c r="AX23" s="43">
        <f>SUM(AX25:AX37)</f>
        <v>8790</v>
      </c>
      <c r="AY23" s="43">
        <f>SUM(AY25:AY37)</f>
        <v>8490</v>
      </c>
      <c r="AZ23" s="43">
        <f>SUM(AZ25:AZ37)</f>
        <v>8784</v>
      </c>
      <c r="BA23" s="55">
        <f t="shared" si="15"/>
        <v>303</v>
      </c>
      <c r="BB23" s="43">
        <f t="shared" si="15"/>
        <v>442</v>
      </c>
      <c r="BC23" s="43">
        <f t="shared" si="15"/>
        <v>488</v>
      </c>
      <c r="BD23" s="43">
        <f t="shared" si="15"/>
        <v>630</v>
      </c>
      <c r="BE23" s="43">
        <f t="shared" si="15"/>
        <v>1041</v>
      </c>
      <c r="BF23" s="43">
        <f t="shared" si="15"/>
        <v>1344</v>
      </c>
      <c r="BG23" s="43">
        <f t="shared" si="15"/>
        <v>2132</v>
      </c>
      <c r="BH23" s="43">
        <f t="shared" si="15"/>
        <v>2480</v>
      </c>
      <c r="BI23" s="43">
        <f t="shared" si="15"/>
        <v>2865</v>
      </c>
      <c r="BJ23" s="43">
        <f t="shared" si="15"/>
        <v>3247</v>
      </c>
      <c r="BK23" s="43">
        <f t="shared" si="15"/>
        <v>3436</v>
      </c>
      <c r="BL23" s="43">
        <f t="shared" si="15"/>
        <v>3759</v>
      </c>
      <c r="BM23" s="43">
        <f t="shared" si="15"/>
        <v>3765</v>
      </c>
      <c r="BN23" s="43">
        <f t="shared" si="15"/>
        <v>4244</v>
      </c>
      <c r="BO23" s="43">
        <f t="shared" si="15"/>
        <v>4565</v>
      </c>
      <c r="BP23" s="43">
        <f t="shared" si="15"/>
        <v>4549</v>
      </c>
      <c r="BQ23" s="43">
        <f t="shared" si="15"/>
        <v>4425</v>
      </c>
      <c r="BR23" s="43">
        <f t="shared" si="15"/>
        <v>4578</v>
      </c>
      <c r="BS23" s="43">
        <f t="shared" si="15"/>
        <v>4510</v>
      </c>
      <c r="BT23" s="43">
        <f t="shared" si="15"/>
        <v>4515</v>
      </c>
      <c r="BU23" s="43">
        <f t="shared" si="15"/>
        <v>4833</v>
      </c>
      <c r="BV23" s="43">
        <f t="shared" si="15"/>
        <v>4824</v>
      </c>
      <c r="BW23" s="43">
        <f t="shared" si="15"/>
        <v>5490</v>
      </c>
      <c r="BX23" s="43">
        <f t="shared" ref="BX23:CN23" si="18">SUM(BX25:BX37)</f>
        <v>5652</v>
      </c>
      <c r="BY23" s="43">
        <f t="shared" si="18"/>
        <v>5836</v>
      </c>
      <c r="BZ23" s="43">
        <f t="shared" si="18"/>
        <v>5616</v>
      </c>
      <c r="CA23" s="43">
        <f t="shared" si="18"/>
        <v>5792</v>
      </c>
      <c r="CB23" s="43">
        <f t="shared" si="18"/>
        <v>6176</v>
      </c>
      <c r="CC23" s="43">
        <f t="shared" si="18"/>
        <v>5845</v>
      </c>
      <c r="CD23" s="43">
        <f t="shared" si="18"/>
        <v>5932</v>
      </c>
      <c r="CE23" s="43">
        <f t="shared" si="18"/>
        <v>6258</v>
      </c>
      <c r="CF23" s="43">
        <f t="shared" si="18"/>
        <v>6388</v>
      </c>
      <c r="CG23" s="43">
        <f t="shared" si="18"/>
        <v>6553</v>
      </c>
      <c r="CH23" s="43">
        <f t="shared" si="18"/>
        <v>6976</v>
      </c>
      <c r="CI23" s="43">
        <f t="shared" si="18"/>
        <v>7175</v>
      </c>
      <c r="CJ23" s="43">
        <f t="shared" si="18"/>
        <v>7621</v>
      </c>
      <c r="CK23" s="43">
        <f t="shared" si="18"/>
        <v>7460</v>
      </c>
      <c r="CL23" s="43">
        <f t="shared" si="18"/>
        <v>7637</v>
      </c>
      <c r="CM23" s="43">
        <f t="shared" si="18"/>
        <v>7840</v>
      </c>
      <c r="CN23" s="43">
        <f t="shared" si="18"/>
        <v>7912</v>
      </c>
      <c r="CO23" s="43">
        <f>SUM(CO25:CO37)</f>
        <v>8621</v>
      </c>
      <c r="CP23" s="43">
        <f>SUM(CP25:CP37)</f>
        <v>9110</v>
      </c>
      <c r="CQ23" s="43">
        <f>SUM(CQ25:CQ37)</f>
        <v>9582</v>
      </c>
      <c r="CR23" s="43">
        <f>SUM(CR25:CR37)</f>
        <v>10259</v>
      </c>
      <c r="CS23" s="43">
        <f t="shared" ref="CS23:CV23" si="19">SUM(CS25:CS37)</f>
        <v>10242</v>
      </c>
      <c r="CT23" s="43">
        <f t="shared" si="19"/>
        <v>10365</v>
      </c>
      <c r="CU23" s="43">
        <f t="shared" si="19"/>
        <v>10237</v>
      </c>
      <c r="CV23" s="43">
        <f t="shared" si="19"/>
        <v>11000</v>
      </c>
      <c r="CW23" s="43">
        <f>SUM(CW25:CW37)</f>
        <v>10931</v>
      </c>
      <c r="CX23" s="43">
        <f>SUM(CX25:CX37)</f>
        <v>11389</v>
      </c>
      <c r="CY23" s="43">
        <f>SUM(CY25:CY37)</f>
        <v>12028</v>
      </c>
      <c r="CZ23" s="128"/>
    </row>
    <row r="24" spans="1:104">
      <c r="A24" s="44" t="s">
        <v>131</v>
      </c>
      <c r="B24" s="56">
        <f t="shared" ref="B24:BW24" si="20">(B23/B4)*100</f>
        <v>13.465550080116092</v>
      </c>
      <c r="C24" s="45">
        <f t="shared" si="20"/>
        <v>15.16993022732388</v>
      </c>
      <c r="D24" s="45">
        <f t="shared" si="20"/>
        <v>15.593153746040322</v>
      </c>
      <c r="E24" s="45">
        <f t="shared" si="20"/>
        <v>15.104648411452171</v>
      </c>
      <c r="F24" s="45">
        <f t="shared" si="20"/>
        <v>15.328662682876571</v>
      </c>
      <c r="G24" s="45">
        <f t="shared" si="20"/>
        <v>15.53231473159572</v>
      </c>
      <c r="H24" s="45">
        <f t="shared" si="20"/>
        <v>17.371247069500114</v>
      </c>
      <c r="I24" s="45">
        <f t="shared" si="20"/>
        <v>17.541146370336428</v>
      </c>
      <c r="J24" s="45">
        <f t="shared" si="20"/>
        <v>17.788406351635739</v>
      </c>
      <c r="K24" s="45">
        <f t="shared" si="20"/>
        <v>17.632758489705992</v>
      </c>
      <c r="L24" s="45">
        <f t="shared" si="20"/>
        <v>17.310028087755256</v>
      </c>
      <c r="M24" s="45">
        <f t="shared" si="20"/>
        <v>17.249094597925634</v>
      </c>
      <c r="N24" s="45">
        <f t="shared" si="20"/>
        <v>16.500124666756172</v>
      </c>
      <c r="O24" s="45">
        <f t="shared" si="20"/>
        <v>16.365306800633345</v>
      </c>
      <c r="P24" s="45">
        <f t="shared" si="20"/>
        <v>16.841181632056156</v>
      </c>
      <c r="Q24" s="45">
        <f t="shared" si="20"/>
        <v>16.4944971989352</v>
      </c>
      <c r="R24" s="45">
        <f t="shared" si="20"/>
        <v>15.988360262097595</v>
      </c>
      <c r="S24" s="45">
        <f t="shared" si="20"/>
        <v>15.503007048781015</v>
      </c>
      <c r="T24" s="45">
        <f t="shared" si="20"/>
        <v>16.238597112744664</v>
      </c>
      <c r="U24" s="45">
        <f t="shared" si="20"/>
        <v>15.682217624418785</v>
      </c>
      <c r="V24" s="45">
        <f t="shared" si="20"/>
        <v>15.842893962548182</v>
      </c>
      <c r="W24" s="45">
        <f t="shared" si="20"/>
        <v>15.533292161302867</v>
      </c>
      <c r="X24" s="45">
        <f t="shared" si="20"/>
        <v>16.751980770942758</v>
      </c>
      <c r="Y24" s="45">
        <f t="shared" si="20"/>
        <v>17.270930929597476</v>
      </c>
      <c r="Z24" s="45">
        <f t="shared" si="20"/>
        <v>17.003095141972814</v>
      </c>
      <c r="AA24" s="45">
        <f t="shared" si="20"/>
        <v>16.391316983747288</v>
      </c>
      <c r="AB24" s="45">
        <f t="shared" si="20"/>
        <v>15.806928696275712</v>
      </c>
      <c r="AC24" s="45">
        <f t="shared" si="20"/>
        <v>16.307983452160901</v>
      </c>
      <c r="AD24" s="45">
        <f t="shared" si="20"/>
        <v>15.804591302798867</v>
      </c>
      <c r="AE24" s="45">
        <f t="shared" si="20"/>
        <v>15.753625476442862</v>
      </c>
      <c r="AF24" s="45">
        <f t="shared" si="20"/>
        <v>16.300097199303782</v>
      </c>
      <c r="AG24" s="45">
        <f t="shared" si="20"/>
        <v>16.534459427931498</v>
      </c>
      <c r="AH24" s="45">
        <f t="shared" si="20"/>
        <v>15.559790152210223</v>
      </c>
      <c r="AI24" s="45">
        <f t="shared" si="20"/>
        <v>16.73550266192375</v>
      </c>
      <c r="AJ24" s="45">
        <f t="shared" si="20"/>
        <v>16.324788351632716</v>
      </c>
      <c r="AK24" s="45">
        <f t="shared" si="20"/>
        <v>16.734703185933544</v>
      </c>
      <c r="AL24" s="45">
        <f t="shared" si="20"/>
        <v>16.326808665243654</v>
      </c>
      <c r="AM24" s="45">
        <f t="shared" si="20"/>
        <v>16.647801673435868</v>
      </c>
      <c r="AN24" s="45">
        <f t="shared" si="20"/>
        <v>15.996486219391675</v>
      </c>
      <c r="AO24" s="45">
        <f t="shared" si="20"/>
        <v>16.195647526615076</v>
      </c>
      <c r="AP24" s="45">
        <f>(AP23/AP4)*100</f>
        <v>16.070742022299118</v>
      </c>
      <c r="AQ24" s="45">
        <f>(AQ23/AQ4)*100</f>
        <v>16.610287635565943</v>
      </c>
      <c r="AR24" s="45">
        <f t="shared" ref="AR24:AS24" si="21">(AR23/AR4)*100</f>
        <v>16.819854750142689</v>
      </c>
      <c r="AS24" s="45">
        <f t="shared" si="21"/>
        <v>17.670341551947175</v>
      </c>
      <c r="AT24" s="45">
        <f t="shared" ref="AT24:AW24" si="22">(AT23/AT4)*100</f>
        <v>17.529522170954877</v>
      </c>
      <c r="AU24" s="45">
        <f t="shared" si="22"/>
        <v>17.92651814949479</v>
      </c>
      <c r="AV24" s="45">
        <f t="shared" si="22"/>
        <v>17.876106194690266</v>
      </c>
      <c r="AW24" s="45">
        <f t="shared" si="22"/>
        <v>17.781436509569872</v>
      </c>
      <c r="AX24" s="45">
        <f>(AX23/AX4)*100</f>
        <v>18.02115794653108</v>
      </c>
      <c r="AY24" s="45">
        <f>(AY23/AY4)*100</f>
        <v>17.44365227753693</v>
      </c>
      <c r="AZ24" s="45">
        <f>(AZ23/AZ4)*100</f>
        <v>18.138641666838748</v>
      </c>
      <c r="BA24" s="56">
        <f t="shared" si="20"/>
        <v>16.45844649646931</v>
      </c>
      <c r="BB24" s="45">
        <f t="shared" si="20"/>
        <v>18.401332223147378</v>
      </c>
      <c r="BC24" s="45">
        <f t="shared" si="20"/>
        <v>18.154761904761905</v>
      </c>
      <c r="BD24" s="45">
        <f t="shared" si="20"/>
        <v>17.852082742986681</v>
      </c>
      <c r="BE24" s="45">
        <f t="shared" si="20"/>
        <v>19.693530079455165</v>
      </c>
      <c r="BF24" s="45">
        <f t="shared" si="20"/>
        <v>19.310344827586206</v>
      </c>
      <c r="BG24" s="45">
        <f t="shared" si="20"/>
        <v>21.850978784462438</v>
      </c>
      <c r="BH24" s="45">
        <f t="shared" si="20"/>
        <v>20.692532332081768</v>
      </c>
      <c r="BI24" s="45">
        <f t="shared" si="20"/>
        <v>20.019565369296348</v>
      </c>
      <c r="BJ24" s="45">
        <f t="shared" si="20"/>
        <v>20.048160039515931</v>
      </c>
      <c r="BK24" s="45">
        <f t="shared" si="20"/>
        <v>19.73465050829935</v>
      </c>
      <c r="BL24" s="45">
        <f t="shared" si="20"/>
        <v>19.629242819843341</v>
      </c>
      <c r="BM24" s="45">
        <f t="shared" si="20"/>
        <v>19.024759979787774</v>
      </c>
      <c r="BN24" s="45">
        <f t="shared" si="20"/>
        <v>19.489346069066862</v>
      </c>
      <c r="BO24" s="45">
        <f t="shared" si="20"/>
        <v>19.794467088717372</v>
      </c>
      <c r="BP24" s="45">
        <f t="shared" si="20"/>
        <v>18.512188174012127</v>
      </c>
      <c r="BQ24" s="45">
        <f t="shared" si="20"/>
        <v>17.97684338817794</v>
      </c>
      <c r="BR24" s="45">
        <f t="shared" si="20"/>
        <v>18.259412890874284</v>
      </c>
      <c r="BS24" s="45">
        <f t="shared" si="20"/>
        <v>17.966695880806309</v>
      </c>
      <c r="BT24" s="45">
        <f t="shared" si="20"/>
        <v>17.596850884714318</v>
      </c>
      <c r="BU24" s="45">
        <f t="shared" si="20"/>
        <v>17.903978661924871</v>
      </c>
      <c r="BV24" s="45">
        <f t="shared" si="20"/>
        <v>17.179487179487179</v>
      </c>
      <c r="BW24" s="45">
        <f t="shared" si="20"/>
        <v>18.908214224212159</v>
      </c>
      <c r="BX24" s="45">
        <f t="shared" ref="BX24:CN24" si="23">(BX23/BX4)*100</f>
        <v>18.720810837666853</v>
      </c>
      <c r="BY24" s="45">
        <f t="shared" si="23"/>
        <v>19.024024513479155</v>
      </c>
      <c r="BZ24" s="45">
        <f t="shared" si="23"/>
        <v>18.16770186335404</v>
      </c>
      <c r="CA24" s="45">
        <f t="shared" si="23"/>
        <v>18.12719078617927</v>
      </c>
      <c r="CB24" s="45">
        <f t="shared" si="23"/>
        <v>18.646217015880683</v>
      </c>
      <c r="CC24" s="45">
        <f t="shared" si="23"/>
        <v>17.350906878024162</v>
      </c>
      <c r="CD24" s="45">
        <f t="shared" si="23"/>
        <v>17.395894428152491</v>
      </c>
      <c r="CE24" s="45">
        <f t="shared" si="23"/>
        <v>17.471662292701993</v>
      </c>
      <c r="CF24" s="45">
        <f t="shared" si="23"/>
        <v>17.337494911114128</v>
      </c>
      <c r="CG24" s="45">
        <f t="shared" si="23"/>
        <v>17.158492838626902</v>
      </c>
      <c r="CH24" s="45">
        <f t="shared" si="23"/>
        <v>17.882594206613689</v>
      </c>
      <c r="CI24" s="45">
        <f t="shared" si="23"/>
        <v>17.554805245644943</v>
      </c>
      <c r="CJ24" s="45">
        <f t="shared" si="23"/>
        <v>17.543738489871085</v>
      </c>
      <c r="CK24" s="45">
        <f t="shared" si="23"/>
        <v>17.1034229772795</v>
      </c>
      <c r="CL24" s="45">
        <f t="shared" si="23"/>
        <v>16.968471571088941</v>
      </c>
      <c r="CM24" s="45">
        <f t="shared" si="23"/>
        <v>16.842105263157894</v>
      </c>
      <c r="CN24" s="45">
        <f t="shared" si="23"/>
        <v>16.43095964945071</v>
      </c>
      <c r="CO24" s="45">
        <f>(CO23/CO4)*100</f>
        <v>16.392538647297066</v>
      </c>
      <c r="CP24" s="45">
        <f>(CP23/CP4)*100</f>
        <v>16.85913094973721</v>
      </c>
      <c r="CQ24" s="45">
        <f>(CQ23/CQ4)*100</f>
        <v>17.136112452384786</v>
      </c>
      <c r="CR24" s="45">
        <f>(CR23/CR4)*100</f>
        <v>17.962006478158102</v>
      </c>
      <c r="CS24" s="45">
        <f t="shared" ref="CS24:CV24" si="24">(CS23/CS4)*100</f>
        <v>17.847869652348177</v>
      </c>
      <c r="CT24" s="45">
        <f t="shared" si="24"/>
        <v>17.826737526443424</v>
      </c>
      <c r="CU24" s="45">
        <f t="shared" si="24"/>
        <v>17.711685525450708</v>
      </c>
      <c r="CV24" s="45">
        <f t="shared" si="24"/>
        <v>18.412507113923205</v>
      </c>
      <c r="CW24" s="45">
        <f>(CW23/CW4)*100</f>
        <v>18.029325900146794</v>
      </c>
      <c r="CX24" s="45">
        <f>(CX23/CX4)*100</f>
        <v>18.088113842830825</v>
      </c>
      <c r="CY24" s="45">
        <f>(CY23/CY4)*100</f>
        <v>18.320285131142047</v>
      </c>
      <c r="CZ24" s="45"/>
    </row>
    <row r="25" spans="1:104">
      <c r="A25" s="42" t="s">
        <v>36</v>
      </c>
      <c r="B25" s="57">
        <v>0</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c r="AK25" s="46">
        <v>0</v>
      </c>
      <c r="AL25" s="46">
        <v>0</v>
      </c>
      <c r="AM25" s="46">
        <v>0</v>
      </c>
      <c r="AN25" s="46"/>
      <c r="AO25" s="46"/>
      <c r="AP25" s="46">
        <v>0</v>
      </c>
      <c r="AQ25" s="46">
        <v>0</v>
      </c>
      <c r="AR25" s="46">
        <v>0</v>
      </c>
      <c r="AS25" s="46">
        <v>0</v>
      </c>
      <c r="AT25" s="46">
        <v>1</v>
      </c>
      <c r="AU25" s="46">
        <v>3</v>
      </c>
      <c r="AV25" s="1">
        <v>2</v>
      </c>
      <c r="AW25" s="1">
        <v>2</v>
      </c>
      <c r="AX25" s="1">
        <v>0</v>
      </c>
      <c r="AY25" s="1">
        <v>3</v>
      </c>
      <c r="AZ25" s="1">
        <v>1</v>
      </c>
      <c r="BA25" s="57">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c r="CJ25" s="46">
        <v>0</v>
      </c>
      <c r="CK25" s="46">
        <v>0</v>
      </c>
      <c r="CL25" s="46">
        <v>0</v>
      </c>
      <c r="CM25" s="46">
        <v>0</v>
      </c>
      <c r="CN25" s="46"/>
      <c r="CO25" s="46">
        <v>0</v>
      </c>
      <c r="CP25" s="1">
        <v>0</v>
      </c>
      <c r="CQ25" s="1">
        <v>0</v>
      </c>
      <c r="CR25" s="1">
        <v>0</v>
      </c>
      <c r="CS25" s="1">
        <v>6</v>
      </c>
      <c r="CT25" s="1">
        <v>5</v>
      </c>
      <c r="CU25" s="1">
        <v>3</v>
      </c>
      <c r="CV25" s="1">
        <v>1</v>
      </c>
      <c r="CW25" s="1">
        <v>4</v>
      </c>
      <c r="CX25" s="1">
        <v>2</v>
      </c>
      <c r="CY25" s="1">
        <v>1</v>
      </c>
    </row>
    <row r="26" spans="1:104">
      <c r="A26" s="42" t="s">
        <v>38</v>
      </c>
      <c r="B26" s="57">
        <v>124</v>
      </c>
      <c r="C26" s="46">
        <v>194</v>
      </c>
      <c r="D26" s="46">
        <v>233</v>
      </c>
      <c r="E26" s="46">
        <v>358</v>
      </c>
      <c r="F26" s="46">
        <v>295</v>
      </c>
      <c r="G26" s="46">
        <v>239</v>
      </c>
      <c r="H26" s="46">
        <v>222</v>
      </c>
      <c r="I26" s="46">
        <v>226</v>
      </c>
      <c r="J26" s="46">
        <v>240</v>
      </c>
      <c r="K26" s="46">
        <v>230</v>
      </c>
      <c r="L26" s="46">
        <v>251</v>
      </c>
      <c r="M26" s="46">
        <v>280</v>
      </c>
      <c r="N26" s="46">
        <v>235</v>
      </c>
      <c r="O26" s="46">
        <v>223</v>
      </c>
      <c r="P26" s="46">
        <v>227</v>
      </c>
      <c r="Q26" s="46">
        <v>218</v>
      </c>
      <c r="R26" s="46">
        <v>188</v>
      </c>
      <c r="S26" s="46">
        <v>205</v>
      </c>
      <c r="T26" s="46">
        <v>238</v>
      </c>
      <c r="U26" s="46">
        <v>230</v>
      </c>
      <c r="V26" s="46">
        <v>218</v>
      </c>
      <c r="W26" s="46">
        <v>232</v>
      </c>
      <c r="X26" s="46">
        <v>212</v>
      </c>
      <c r="Y26" s="46">
        <v>220</v>
      </c>
      <c r="Z26" s="46">
        <v>264</v>
      </c>
      <c r="AA26" s="46">
        <v>237</v>
      </c>
      <c r="AB26" s="46">
        <v>221</v>
      </c>
      <c r="AC26" s="46">
        <v>231</v>
      </c>
      <c r="AD26" s="46">
        <v>219</v>
      </c>
      <c r="AE26" s="46">
        <v>225</v>
      </c>
      <c r="AF26" s="46">
        <v>328</v>
      </c>
      <c r="AG26" s="46">
        <v>366</v>
      </c>
      <c r="AH26" s="46">
        <v>352</v>
      </c>
      <c r="AI26" s="46">
        <v>368</v>
      </c>
      <c r="AJ26" s="46">
        <v>374</v>
      </c>
      <c r="AK26" s="46">
        <v>365</v>
      </c>
      <c r="AL26" s="46">
        <v>403</v>
      </c>
      <c r="AM26" s="46">
        <v>462</v>
      </c>
      <c r="AN26" s="46">
        <v>453</v>
      </c>
      <c r="AO26" s="46">
        <v>473</v>
      </c>
      <c r="AP26" s="46">
        <v>507</v>
      </c>
      <c r="AQ26" s="46">
        <v>539</v>
      </c>
      <c r="AR26" s="46">
        <v>735</v>
      </c>
      <c r="AS26" s="46">
        <v>889</v>
      </c>
      <c r="AT26" s="46">
        <v>916</v>
      </c>
      <c r="AU26" s="46">
        <v>937</v>
      </c>
      <c r="AV26" s="1">
        <v>867</v>
      </c>
      <c r="AW26" s="1">
        <v>781</v>
      </c>
      <c r="AX26" s="1">
        <v>850</v>
      </c>
      <c r="AY26" s="1">
        <v>830</v>
      </c>
      <c r="AZ26" s="1">
        <v>786</v>
      </c>
      <c r="BA26" s="57">
        <v>8</v>
      </c>
      <c r="BB26" s="46">
        <v>18</v>
      </c>
      <c r="BC26" s="46">
        <v>21</v>
      </c>
      <c r="BD26" s="46">
        <v>34</v>
      </c>
      <c r="BE26" s="46">
        <v>48</v>
      </c>
      <c r="BF26" s="46">
        <v>45</v>
      </c>
      <c r="BG26" s="46">
        <v>67</v>
      </c>
      <c r="BH26" s="46">
        <v>93</v>
      </c>
      <c r="BI26" s="46">
        <v>95</v>
      </c>
      <c r="BJ26" s="46">
        <v>119</v>
      </c>
      <c r="BK26" s="46">
        <v>97</v>
      </c>
      <c r="BL26" s="46">
        <v>121</v>
      </c>
      <c r="BM26" s="46">
        <v>126</v>
      </c>
      <c r="BN26" s="46">
        <v>124</v>
      </c>
      <c r="BO26" s="46">
        <v>145</v>
      </c>
      <c r="BP26" s="46">
        <v>156</v>
      </c>
      <c r="BQ26" s="46">
        <v>161</v>
      </c>
      <c r="BR26" s="46">
        <v>147</v>
      </c>
      <c r="BS26" s="46">
        <v>166</v>
      </c>
      <c r="BT26" s="46">
        <v>190</v>
      </c>
      <c r="BU26" s="46">
        <v>190</v>
      </c>
      <c r="BV26" s="46">
        <v>193</v>
      </c>
      <c r="BW26" s="46">
        <v>212</v>
      </c>
      <c r="BX26" s="46">
        <v>216</v>
      </c>
      <c r="BY26" s="46">
        <v>198</v>
      </c>
      <c r="BZ26" s="46">
        <v>208</v>
      </c>
      <c r="CA26" s="46">
        <v>233</v>
      </c>
      <c r="CB26" s="46">
        <v>231</v>
      </c>
      <c r="CC26" s="46">
        <v>219</v>
      </c>
      <c r="CD26" s="46">
        <v>236</v>
      </c>
      <c r="CE26" s="46">
        <v>288</v>
      </c>
      <c r="CF26" s="46">
        <v>343</v>
      </c>
      <c r="CG26" s="46">
        <v>361</v>
      </c>
      <c r="CH26" s="46">
        <v>386</v>
      </c>
      <c r="CI26" s="46">
        <v>396</v>
      </c>
      <c r="CJ26" s="46">
        <v>423</v>
      </c>
      <c r="CK26" s="46">
        <v>413</v>
      </c>
      <c r="CL26" s="46">
        <v>444</v>
      </c>
      <c r="CM26" s="46">
        <v>484</v>
      </c>
      <c r="CN26" s="46">
        <v>519</v>
      </c>
      <c r="CO26" s="46">
        <v>536</v>
      </c>
      <c r="CP26" s="1">
        <v>592</v>
      </c>
      <c r="CQ26" s="1">
        <v>732</v>
      </c>
      <c r="CR26" s="1">
        <v>778</v>
      </c>
      <c r="CS26" s="1">
        <v>818</v>
      </c>
      <c r="CT26" s="1">
        <v>944</v>
      </c>
      <c r="CU26" s="1">
        <v>786</v>
      </c>
      <c r="CV26" s="1">
        <v>916</v>
      </c>
      <c r="CW26" s="1">
        <v>896</v>
      </c>
      <c r="CX26" s="1">
        <v>962</v>
      </c>
      <c r="CY26" s="1">
        <v>990</v>
      </c>
    </row>
    <row r="27" spans="1:104">
      <c r="A27" s="42" t="s">
        <v>39</v>
      </c>
      <c r="B27" s="57">
        <v>2918</v>
      </c>
      <c r="C27" s="46">
        <v>3553</v>
      </c>
      <c r="D27" s="46">
        <v>4307</v>
      </c>
      <c r="E27" s="46">
        <v>4420</v>
      </c>
      <c r="F27" s="46">
        <v>4918</v>
      </c>
      <c r="G27" s="46">
        <v>4817</v>
      </c>
      <c r="H27" s="46">
        <v>6075</v>
      </c>
      <c r="I27" s="46">
        <v>6141</v>
      </c>
      <c r="J27" s="46">
        <v>6239</v>
      </c>
      <c r="K27" s="46">
        <v>6300</v>
      </c>
      <c r="L27" s="46">
        <v>6111</v>
      </c>
      <c r="M27" s="46">
        <v>6023</v>
      </c>
      <c r="N27" s="46">
        <v>5727</v>
      </c>
      <c r="O27" s="46">
        <v>5448</v>
      </c>
      <c r="P27" s="46">
        <v>5844</v>
      </c>
      <c r="Q27" s="46">
        <v>5529</v>
      </c>
      <c r="R27" s="46">
        <v>5275</v>
      </c>
      <c r="S27" s="46">
        <v>4720</v>
      </c>
      <c r="T27" s="46">
        <v>4940</v>
      </c>
      <c r="U27" s="46">
        <v>4658</v>
      </c>
      <c r="V27" s="46">
        <v>4556</v>
      </c>
      <c r="W27" s="46">
        <v>4402</v>
      </c>
      <c r="X27" s="46">
        <v>5120</v>
      </c>
      <c r="Y27" s="46">
        <v>5277</v>
      </c>
      <c r="Z27" s="46">
        <v>5132</v>
      </c>
      <c r="AA27" s="46">
        <v>4954</v>
      </c>
      <c r="AB27" s="46">
        <v>4727</v>
      </c>
      <c r="AC27" s="46">
        <v>5053</v>
      </c>
      <c r="AD27" s="46">
        <v>4716</v>
      </c>
      <c r="AE27" s="46">
        <v>4706</v>
      </c>
      <c r="AF27" s="46">
        <v>4743</v>
      </c>
      <c r="AG27" s="46">
        <v>4504</v>
      </c>
      <c r="AH27" s="46">
        <v>4079</v>
      </c>
      <c r="AI27" s="46">
        <v>4323</v>
      </c>
      <c r="AJ27" s="46">
        <v>4234</v>
      </c>
      <c r="AK27" s="46">
        <v>4565</v>
      </c>
      <c r="AL27" s="46">
        <v>4306</v>
      </c>
      <c r="AM27" s="46">
        <v>4411</v>
      </c>
      <c r="AN27" s="46">
        <v>4344</v>
      </c>
      <c r="AO27" s="46">
        <v>4383</v>
      </c>
      <c r="AP27" s="46">
        <v>4231</v>
      </c>
      <c r="AQ27" s="46">
        <v>4624</v>
      </c>
      <c r="AR27" s="46">
        <v>4692</v>
      </c>
      <c r="AS27" s="46">
        <v>5071</v>
      </c>
      <c r="AT27" s="46">
        <v>4805</v>
      </c>
      <c r="AU27" s="46">
        <v>4739</v>
      </c>
      <c r="AV27" s="1">
        <v>4591</v>
      </c>
      <c r="AW27" s="1">
        <v>4650</v>
      </c>
      <c r="AX27" s="1">
        <v>4723</v>
      </c>
      <c r="AY27" s="1">
        <v>4459</v>
      </c>
      <c r="AZ27" s="1">
        <v>4678</v>
      </c>
      <c r="BA27" s="57">
        <v>235</v>
      </c>
      <c r="BB27" s="46">
        <v>340</v>
      </c>
      <c r="BC27" s="46">
        <v>375</v>
      </c>
      <c r="BD27" s="46">
        <v>458</v>
      </c>
      <c r="BE27" s="46">
        <v>744</v>
      </c>
      <c r="BF27" s="46">
        <v>967</v>
      </c>
      <c r="BG27" s="46">
        <v>1525</v>
      </c>
      <c r="BH27" s="46">
        <v>1744</v>
      </c>
      <c r="BI27" s="46">
        <v>2041</v>
      </c>
      <c r="BJ27" s="46">
        <v>2328</v>
      </c>
      <c r="BK27" s="46">
        <v>2417</v>
      </c>
      <c r="BL27" s="46">
        <v>2593</v>
      </c>
      <c r="BM27" s="46">
        <v>2586</v>
      </c>
      <c r="BN27" s="46">
        <v>2936</v>
      </c>
      <c r="BO27" s="46">
        <v>3154</v>
      </c>
      <c r="BP27" s="46">
        <v>3017</v>
      </c>
      <c r="BQ27" s="46">
        <v>2934</v>
      </c>
      <c r="BR27" s="46">
        <v>3130</v>
      </c>
      <c r="BS27" s="46">
        <v>2953</v>
      </c>
      <c r="BT27" s="46">
        <v>2993</v>
      </c>
      <c r="BU27" s="46">
        <v>3258</v>
      </c>
      <c r="BV27" s="46">
        <v>3283</v>
      </c>
      <c r="BW27" s="46">
        <v>3798</v>
      </c>
      <c r="BX27" s="46">
        <v>3918</v>
      </c>
      <c r="BY27" s="46">
        <v>4096</v>
      </c>
      <c r="BZ27" s="46">
        <v>3829</v>
      </c>
      <c r="CA27" s="46">
        <v>3928</v>
      </c>
      <c r="CB27" s="46">
        <v>4182</v>
      </c>
      <c r="CC27" s="46">
        <v>3895</v>
      </c>
      <c r="CD27" s="46">
        <v>3848</v>
      </c>
      <c r="CE27" s="46">
        <v>3967</v>
      </c>
      <c r="CF27" s="46">
        <v>3839</v>
      </c>
      <c r="CG27" s="46">
        <v>3977</v>
      </c>
      <c r="CH27" s="46">
        <v>4302</v>
      </c>
      <c r="CI27" s="46">
        <v>4469</v>
      </c>
      <c r="CJ27" s="46">
        <v>4623</v>
      </c>
      <c r="CK27" s="46">
        <v>4415</v>
      </c>
      <c r="CL27" s="46">
        <v>4488</v>
      </c>
      <c r="CM27" s="46">
        <v>4602</v>
      </c>
      <c r="CN27" s="46">
        <v>4614</v>
      </c>
      <c r="CO27" s="46">
        <v>4897</v>
      </c>
      <c r="CP27" s="1">
        <v>5203</v>
      </c>
      <c r="CQ27" s="1">
        <v>5325</v>
      </c>
      <c r="CR27" s="1">
        <v>5789</v>
      </c>
      <c r="CS27" s="1">
        <v>5731</v>
      </c>
      <c r="CT27" s="1">
        <v>5664</v>
      </c>
      <c r="CU27" s="1">
        <v>5701</v>
      </c>
      <c r="CV27" s="1">
        <v>6074</v>
      </c>
      <c r="CW27" s="1">
        <v>6061</v>
      </c>
      <c r="CX27" s="1">
        <v>6180</v>
      </c>
      <c r="CY27" s="1">
        <v>6549</v>
      </c>
    </row>
    <row r="28" spans="1:104">
      <c r="A28" s="42" t="s">
        <v>40</v>
      </c>
      <c r="B28" s="57">
        <v>405</v>
      </c>
      <c r="C28" s="46">
        <v>469</v>
      </c>
      <c r="D28" s="46">
        <v>574</v>
      </c>
      <c r="E28" s="46">
        <v>615</v>
      </c>
      <c r="F28" s="46">
        <v>571</v>
      </c>
      <c r="G28" s="46">
        <v>574</v>
      </c>
      <c r="H28" s="46">
        <v>549</v>
      </c>
      <c r="I28" s="46">
        <v>563</v>
      </c>
      <c r="J28" s="46">
        <v>531</v>
      </c>
      <c r="K28" s="46">
        <v>521</v>
      </c>
      <c r="L28" s="46">
        <v>537</v>
      </c>
      <c r="M28" s="46">
        <v>604</v>
      </c>
      <c r="N28" s="46">
        <v>537</v>
      </c>
      <c r="O28" s="46">
        <v>532</v>
      </c>
      <c r="P28" s="46">
        <v>483</v>
      </c>
      <c r="Q28" s="46">
        <v>523</v>
      </c>
      <c r="R28" s="46">
        <v>522</v>
      </c>
      <c r="S28" s="46">
        <v>498</v>
      </c>
      <c r="T28" s="46">
        <v>488</v>
      </c>
      <c r="U28" s="46">
        <v>475</v>
      </c>
      <c r="V28" s="46">
        <v>429</v>
      </c>
      <c r="W28" s="46">
        <v>401</v>
      </c>
      <c r="X28" s="46">
        <v>403</v>
      </c>
      <c r="Y28" s="46">
        <v>448</v>
      </c>
      <c r="Z28" s="46">
        <v>448</v>
      </c>
      <c r="AA28" s="46">
        <v>462</v>
      </c>
      <c r="AB28" s="46">
        <v>405</v>
      </c>
      <c r="AC28" s="46">
        <v>428</v>
      </c>
      <c r="AD28" s="46">
        <v>435</v>
      </c>
      <c r="AE28" s="46">
        <v>461</v>
      </c>
      <c r="AF28" s="46">
        <v>389</v>
      </c>
      <c r="AG28" s="46">
        <v>364</v>
      </c>
      <c r="AH28" s="46">
        <v>365</v>
      </c>
      <c r="AI28" s="46">
        <v>432</v>
      </c>
      <c r="AJ28" s="46">
        <v>420</v>
      </c>
      <c r="AK28" s="46">
        <v>455</v>
      </c>
      <c r="AL28" s="46">
        <v>502</v>
      </c>
      <c r="AM28" s="46">
        <v>488</v>
      </c>
      <c r="AN28" s="46">
        <v>479</v>
      </c>
      <c r="AO28" s="46">
        <v>505</v>
      </c>
      <c r="AP28" s="46">
        <v>528</v>
      </c>
      <c r="AQ28" s="46">
        <v>500</v>
      </c>
      <c r="AR28" s="46">
        <v>541</v>
      </c>
      <c r="AS28" s="46">
        <v>635</v>
      </c>
      <c r="AT28" s="46">
        <v>624</v>
      </c>
      <c r="AU28" s="46">
        <v>618</v>
      </c>
      <c r="AV28" s="1">
        <v>683</v>
      </c>
      <c r="AW28" s="1">
        <v>598</v>
      </c>
      <c r="AX28" s="1">
        <v>627</v>
      </c>
      <c r="AY28" s="1">
        <v>659</v>
      </c>
      <c r="AZ28" s="1">
        <v>644</v>
      </c>
      <c r="BA28" s="57">
        <v>22</v>
      </c>
      <c r="BB28" s="46">
        <v>33</v>
      </c>
      <c r="BC28" s="46">
        <v>35</v>
      </c>
      <c r="BD28" s="46">
        <v>48</v>
      </c>
      <c r="BE28" s="46">
        <v>86</v>
      </c>
      <c r="BF28" s="46">
        <v>99</v>
      </c>
      <c r="BG28" s="46">
        <v>151</v>
      </c>
      <c r="BH28" s="46">
        <v>153</v>
      </c>
      <c r="BI28" s="46">
        <v>181</v>
      </c>
      <c r="BJ28" s="46">
        <v>201</v>
      </c>
      <c r="BK28" s="46">
        <v>263</v>
      </c>
      <c r="BL28" s="46">
        <v>235</v>
      </c>
      <c r="BM28" s="46">
        <v>294</v>
      </c>
      <c r="BN28" s="46">
        <v>304</v>
      </c>
      <c r="BO28" s="46">
        <v>354</v>
      </c>
      <c r="BP28" s="46">
        <v>359</v>
      </c>
      <c r="BQ28" s="46">
        <v>382</v>
      </c>
      <c r="BR28" s="46">
        <v>355</v>
      </c>
      <c r="BS28" s="46">
        <v>384</v>
      </c>
      <c r="BT28" s="46">
        <v>398</v>
      </c>
      <c r="BU28" s="46">
        <v>365</v>
      </c>
      <c r="BV28" s="46">
        <v>371</v>
      </c>
      <c r="BW28" s="46">
        <v>385</v>
      </c>
      <c r="BX28" s="46">
        <v>365</v>
      </c>
      <c r="BY28" s="46">
        <v>361</v>
      </c>
      <c r="BZ28" s="46">
        <v>371</v>
      </c>
      <c r="CA28" s="46">
        <v>385</v>
      </c>
      <c r="CB28" s="46">
        <v>404</v>
      </c>
      <c r="CC28" s="46">
        <v>399</v>
      </c>
      <c r="CD28" s="46">
        <v>462</v>
      </c>
      <c r="CE28" s="46">
        <v>477</v>
      </c>
      <c r="CF28" s="46">
        <v>475</v>
      </c>
      <c r="CG28" s="46">
        <v>480</v>
      </c>
      <c r="CH28" s="46">
        <v>547</v>
      </c>
      <c r="CI28" s="46">
        <v>527</v>
      </c>
      <c r="CJ28" s="46">
        <v>599</v>
      </c>
      <c r="CK28" s="46">
        <v>576</v>
      </c>
      <c r="CL28" s="46">
        <v>598</v>
      </c>
      <c r="CM28" s="46">
        <v>628</v>
      </c>
      <c r="CN28" s="46">
        <v>561</v>
      </c>
      <c r="CO28" s="46">
        <v>719</v>
      </c>
      <c r="CP28" s="1">
        <v>673</v>
      </c>
      <c r="CQ28" s="1">
        <v>758</v>
      </c>
      <c r="CR28" s="1">
        <v>850</v>
      </c>
      <c r="CS28" s="1">
        <v>843</v>
      </c>
      <c r="CT28" s="1">
        <v>816</v>
      </c>
      <c r="CU28" s="1">
        <v>838</v>
      </c>
      <c r="CV28" s="1">
        <v>854</v>
      </c>
      <c r="CW28" s="1">
        <v>882</v>
      </c>
      <c r="CX28" s="1">
        <v>902</v>
      </c>
      <c r="CY28" s="1">
        <v>931</v>
      </c>
    </row>
    <row r="29" spans="1:104">
      <c r="A29" s="42" t="s">
        <v>41</v>
      </c>
      <c r="B29" s="57">
        <v>0</v>
      </c>
      <c r="C29" s="46">
        <v>0</v>
      </c>
      <c r="D29" s="46">
        <v>0</v>
      </c>
      <c r="E29" s="46">
        <v>0</v>
      </c>
      <c r="F29" s="46">
        <v>0</v>
      </c>
      <c r="G29" s="46">
        <v>56</v>
      </c>
      <c r="H29" s="46">
        <v>80</v>
      </c>
      <c r="I29" s="46">
        <v>83</v>
      </c>
      <c r="J29" s="46">
        <v>88</v>
      </c>
      <c r="K29" s="46">
        <v>84</v>
      </c>
      <c r="L29" s="46">
        <v>83</v>
      </c>
      <c r="M29" s="46">
        <v>100</v>
      </c>
      <c r="N29" s="46">
        <v>98</v>
      </c>
      <c r="O29" s="46">
        <v>80</v>
      </c>
      <c r="P29" s="46">
        <v>83</v>
      </c>
      <c r="Q29" s="46">
        <v>81</v>
      </c>
      <c r="R29" s="46">
        <v>80</v>
      </c>
      <c r="S29" s="46">
        <v>69</v>
      </c>
      <c r="T29" s="46">
        <v>72</v>
      </c>
      <c r="U29" s="46">
        <v>66</v>
      </c>
      <c r="V29" s="46">
        <v>59</v>
      </c>
      <c r="W29" s="46">
        <v>69</v>
      </c>
      <c r="X29" s="46">
        <v>74</v>
      </c>
      <c r="Y29" s="46">
        <v>121</v>
      </c>
      <c r="Z29" s="46">
        <v>110</v>
      </c>
      <c r="AA29" s="46">
        <v>88</v>
      </c>
      <c r="AB29" s="46">
        <v>67</v>
      </c>
      <c r="AC29" s="46">
        <v>64</v>
      </c>
      <c r="AD29" s="46">
        <v>68</v>
      </c>
      <c r="AE29" s="46">
        <v>61</v>
      </c>
      <c r="AF29" s="46">
        <v>70</v>
      </c>
      <c r="AG29" s="46">
        <v>65</v>
      </c>
      <c r="AH29" s="46">
        <v>70</v>
      </c>
      <c r="AI29" s="46">
        <v>61</v>
      </c>
      <c r="AJ29" s="46">
        <v>70</v>
      </c>
      <c r="AK29" s="46">
        <v>70</v>
      </c>
      <c r="AL29" s="46">
        <v>68</v>
      </c>
      <c r="AM29" s="46">
        <v>78</v>
      </c>
      <c r="AN29" s="46">
        <v>81</v>
      </c>
      <c r="AO29" s="46">
        <v>83</v>
      </c>
      <c r="AP29" s="46">
        <v>92</v>
      </c>
      <c r="AQ29" s="46">
        <v>95</v>
      </c>
      <c r="AR29" s="46">
        <v>141</v>
      </c>
      <c r="AS29" s="46">
        <v>136</v>
      </c>
      <c r="AT29" s="46">
        <v>126</v>
      </c>
      <c r="AU29" s="46">
        <v>156</v>
      </c>
      <c r="AV29" s="1">
        <v>127</v>
      </c>
      <c r="AW29" s="1">
        <v>140</v>
      </c>
      <c r="AX29" s="1">
        <v>135</v>
      </c>
      <c r="AY29" s="1">
        <v>106</v>
      </c>
      <c r="AZ29" s="1">
        <v>150</v>
      </c>
      <c r="BA29" s="57">
        <v>0</v>
      </c>
      <c r="BB29" s="46">
        <v>0</v>
      </c>
      <c r="BC29" s="46">
        <v>0</v>
      </c>
      <c r="BD29" s="46">
        <v>0</v>
      </c>
      <c r="BE29" s="46">
        <v>0</v>
      </c>
      <c r="BF29" s="46">
        <v>6</v>
      </c>
      <c r="BG29" s="46">
        <v>25</v>
      </c>
      <c r="BH29" s="46">
        <v>27</v>
      </c>
      <c r="BI29" s="46">
        <v>37</v>
      </c>
      <c r="BJ29" s="46">
        <v>37</v>
      </c>
      <c r="BK29" s="46">
        <v>45</v>
      </c>
      <c r="BL29" s="46">
        <v>53</v>
      </c>
      <c r="BM29" s="46">
        <v>39</v>
      </c>
      <c r="BN29" s="46">
        <v>52</v>
      </c>
      <c r="BO29" s="46">
        <v>48</v>
      </c>
      <c r="BP29" s="46">
        <v>58</v>
      </c>
      <c r="BQ29" s="46">
        <v>51</v>
      </c>
      <c r="BR29" s="46">
        <v>68</v>
      </c>
      <c r="BS29" s="46">
        <v>54</v>
      </c>
      <c r="BT29" s="46">
        <v>53</v>
      </c>
      <c r="BU29" s="46">
        <v>54</v>
      </c>
      <c r="BV29" s="46">
        <v>49</v>
      </c>
      <c r="BW29" s="46">
        <v>42</v>
      </c>
      <c r="BX29" s="46">
        <v>55</v>
      </c>
      <c r="BY29" s="46">
        <v>62</v>
      </c>
      <c r="BZ29" s="46">
        <v>72</v>
      </c>
      <c r="CA29" s="46">
        <v>55</v>
      </c>
      <c r="CB29" s="46">
        <v>65</v>
      </c>
      <c r="CC29" s="46">
        <v>62</v>
      </c>
      <c r="CD29" s="46">
        <v>67</v>
      </c>
      <c r="CE29" s="46">
        <v>61</v>
      </c>
      <c r="CF29" s="46">
        <v>68</v>
      </c>
      <c r="CG29" s="46">
        <v>61</v>
      </c>
      <c r="CH29" s="46">
        <v>65</v>
      </c>
      <c r="CI29" s="46">
        <v>75</v>
      </c>
      <c r="CJ29" s="46">
        <v>85</v>
      </c>
      <c r="CK29" s="46">
        <v>97</v>
      </c>
      <c r="CL29" s="46">
        <v>93</v>
      </c>
      <c r="CM29" s="46">
        <v>73</v>
      </c>
      <c r="CN29" s="46">
        <v>91</v>
      </c>
      <c r="CO29" s="46">
        <v>102</v>
      </c>
      <c r="CP29" s="1">
        <v>173</v>
      </c>
      <c r="CQ29" s="1">
        <v>182</v>
      </c>
      <c r="CR29" s="1">
        <v>166</v>
      </c>
      <c r="CS29" s="1">
        <v>168</v>
      </c>
      <c r="CT29" s="1">
        <v>208</v>
      </c>
      <c r="CU29" s="1">
        <v>169</v>
      </c>
      <c r="CV29" s="1">
        <v>185</v>
      </c>
      <c r="CW29" s="1">
        <v>172</v>
      </c>
      <c r="CX29" s="1">
        <v>166</v>
      </c>
      <c r="CY29" s="1">
        <v>151</v>
      </c>
    </row>
    <row r="30" spans="1:104">
      <c r="A30" s="42" t="s">
        <v>42</v>
      </c>
      <c r="B30" s="57">
        <v>25</v>
      </c>
      <c r="C30" s="46">
        <v>34</v>
      </c>
      <c r="D30" s="46">
        <v>44</v>
      </c>
      <c r="E30" s="46">
        <v>61</v>
      </c>
      <c r="F30" s="46">
        <v>72</v>
      </c>
      <c r="G30" s="46">
        <v>70</v>
      </c>
      <c r="H30" s="46">
        <v>89</v>
      </c>
      <c r="I30" s="46">
        <v>52</v>
      </c>
      <c r="J30" s="46">
        <v>68</v>
      </c>
      <c r="K30" s="46">
        <v>62</v>
      </c>
      <c r="L30" s="46">
        <v>67</v>
      </c>
      <c r="M30" s="46">
        <v>73</v>
      </c>
      <c r="N30" s="46">
        <v>70</v>
      </c>
      <c r="O30" s="46">
        <v>67</v>
      </c>
      <c r="P30" s="46">
        <v>61</v>
      </c>
      <c r="Q30" s="46">
        <v>82</v>
      </c>
      <c r="R30" s="46">
        <v>62</v>
      </c>
      <c r="S30" s="46">
        <v>54</v>
      </c>
      <c r="T30" s="46">
        <v>51</v>
      </c>
      <c r="U30" s="46">
        <v>47</v>
      </c>
      <c r="V30" s="46">
        <v>85</v>
      </c>
      <c r="W30" s="46">
        <v>84</v>
      </c>
      <c r="X30" s="46">
        <v>86</v>
      </c>
      <c r="Y30" s="46">
        <v>94</v>
      </c>
      <c r="Z30" s="46">
        <v>94</v>
      </c>
      <c r="AA30" s="46">
        <v>100</v>
      </c>
      <c r="AB30" s="46">
        <v>98</v>
      </c>
      <c r="AC30" s="46">
        <v>92</v>
      </c>
      <c r="AD30" s="46">
        <v>76</v>
      </c>
      <c r="AE30" s="46">
        <v>95</v>
      </c>
      <c r="AF30" s="46">
        <v>111</v>
      </c>
      <c r="AG30" s="46">
        <v>103</v>
      </c>
      <c r="AH30" s="46">
        <v>82</v>
      </c>
      <c r="AI30" s="46">
        <v>92</v>
      </c>
      <c r="AJ30" s="46">
        <v>91</v>
      </c>
      <c r="AK30" s="46">
        <v>102</v>
      </c>
      <c r="AL30" s="46">
        <v>90</v>
      </c>
      <c r="AM30" s="46">
        <v>101</v>
      </c>
      <c r="AN30" s="46">
        <v>98</v>
      </c>
      <c r="AO30" s="46">
        <v>79</v>
      </c>
      <c r="AP30" s="46">
        <v>109</v>
      </c>
      <c r="AQ30" s="46">
        <v>122</v>
      </c>
      <c r="AR30" s="46">
        <v>145</v>
      </c>
      <c r="AS30" s="46">
        <v>128</v>
      </c>
      <c r="AT30" s="46">
        <v>132</v>
      </c>
      <c r="AU30" s="46">
        <v>116</v>
      </c>
      <c r="AV30" s="1">
        <v>160</v>
      </c>
      <c r="AW30" s="1">
        <v>120</v>
      </c>
      <c r="AX30" s="1">
        <v>127</v>
      </c>
      <c r="AY30" s="1">
        <v>131</v>
      </c>
      <c r="AZ30" s="1">
        <v>105</v>
      </c>
      <c r="BA30" s="57">
        <v>1</v>
      </c>
      <c r="BB30" s="46">
        <v>0</v>
      </c>
      <c r="BC30" s="46">
        <v>2</v>
      </c>
      <c r="BD30" s="46">
        <v>4</v>
      </c>
      <c r="BE30" s="46">
        <v>5</v>
      </c>
      <c r="BF30" s="46">
        <v>5</v>
      </c>
      <c r="BG30" s="46">
        <v>10</v>
      </c>
      <c r="BH30" s="46">
        <v>18</v>
      </c>
      <c r="BI30" s="46">
        <v>15</v>
      </c>
      <c r="BJ30" s="46">
        <v>11</v>
      </c>
      <c r="BK30" s="46">
        <v>13</v>
      </c>
      <c r="BL30" s="46">
        <v>18</v>
      </c>
      <c r="BM30" s="46">
        <v>19</v>
      </c>
      <c r="BN30" s="46">
        <v>26</v>
      </c>
      <c r="BO30" s="46">
        <v>19</v>
      </c>
      <c r="BP30" s="46">
        <v>23</v>
      </c>
      <c r="BQ30" s="46">
        <v>20</v>
      </c>
      <c r="BR30" s="46">
        <v>14</v>
      </c>
      <c r="BS30" s="46">
        <v>20</v>
      </c>
      <c r="BT30" s="46">
        <v>20</v>
      </c>
      <c r="BU30" s="46">
        <v>39</v>
      </c>
      <c r="BV30" s="46">
        <v>38</v>
      </c>
      <c r="BW30" s="46">
        <v>49</v>
      </c>
      <c r="BX30" s="46">
        <v>52</v>
      </c>
      <c r="BY30" s="46">
        <v>54</v>
      </c>
      <c r="BZ30" s="46">
        <v>67</v>
      </c>
      <c r="CA30" s="46">
        <v>59</v>
      </c>
      <c r="CB30" s="46">
        <v>76</v>
      </c>
      <c r="CC30" s="46">
        <v>80</v>
      </c>
      <c r="CD30" s="46">
        <v>59</v>
      </c>
      <c r="CE30" s="46">
        <v>63</v>
      </c>
      <c r="CF30" s="46">
        <v>56</v>
      </c>
      <c r="CG30" s="46">
        <v>50</v>
      </c>
      <c r="CH30" s="46">
        <v>62</v>
      </c>
      <c r="CI30" s="46">
        <v>70</v>
      </c>
      <c r="CJ30" s="46">
        <v>61</v>
      </c>
      <c r="CK30" s="46">
        <v>62</v>
      </c>
      <c r="CL30" s="46">
        <v>70</v>
      </c>
      <c r="CM30" s="46">
        <v>67</v>
      </c>
      <c r="CN30" s="46">
        <v>84</v>
      </c>
      <c r="CO30" s="46">
        <v>88</v>
      </c>
      <c r="CP30" s="1">
        <v>84</v>
      </c>
      <c r="CQ30" s="1">
        <v>75</v>
      </c>
      <c r="CR30" s="1">
        <v>108</v>
      </c>
      <c r="CS30" s="1">
        <v>117</v>
      </c>
      <c r="CT30" s="1">
        <v>121</v>
      </c>
      <c r="CU30" s="1">
        <v>108</v>
      </c>
      <c r="CV30" s="1">
        <v>115</v>
      </c>
      <c r="CW30" s="1">
        <v>121</v>
      </c>
      <c r="CX30" s="1">
        <v>106</v>
      </c>
      <c r="CY30" s="1">
        <v>141</v>
      </c>
    </row>
    <row r="31" spans="1:104" ht="13.5" customHeight="1">
      <c r="A31" s="42" t="s">
        <v>43</v>
      </c>
      <c r="B31" s="57">
        <v>34</v>
      </c>
      <c r="C31" s="46">
        <v>34</v>
      </c>
      <c r="D31" s="46">
        <v>39</v>
      </c>
      <c r="E31" s="46">
        <v>62</v>
      </c>
      <c r="F31" s="46">
        <v>49</v>
      </c>
      <c r="G31" s="46">
        <v>54</v>
      </c>
      <c r="H31" s="46">
        <v>58</v>
      </c>
      <c r="I31" s="46">
        <v>67</v>
      </c>
      <c r="J31" s="46">
        <v>53</v>
      </c>
      <c r="K31" s="46">
        <v>53</v>
      </c>
      <c r="L31" s="46">
        <v>58</v>
      </c>
      <c r="M31" s="46">
        <v>49</v>
      </c>
      <c r="N31" s="46">
        <v>54</v>
      </c>
      <c r="O31" s="46">
        <v>55</v>
      </c>
      <c r="P31" s="46">
        <v>43</v>
      </c>
      <c r="Q31" s="46">
        <v>40</v>
      </c>
      <c r="R31" s="46">
        <v>41</v>
      </c>
      <c r="S31" s="46">
        <v>50</v>
      </c>
      <c r="T31" s="46">
        <v>46</v>
      </c>
      <c r="U31" s="46">
        <v>40</v>
      </c>
      <c r="V31" s="46">
        <v>45</v>
      </c>
      <c r="W31" s="46">
        <v>42</v>
      </c>
      <c r="X31" s="46">
        <v>41</v>
      </c>
      <c r="Y31" s="46">
        <v>43</v>
      </c>
      <c r="Z31" s="46">
        <v>40</v>
      </c>
      <c r="AA31" s="46">
        <v>46</v>
      </c>
      <c r="AB31" s="46">
        <v>50</v>
      </c>
      <c r="AC31" s="46">
        <v>39</v>
      </c>
      <c r="AD31" s="46">
        <v>41</v>
      </c>
      <c r="AE31" s="46">
        <v>44</v>
      </c>
      <c r="AF31" s="46">
        <v>40</v>
      </c>
      <c r="AG31" s="46">
        <v>52</v>
      </c>
      <c r="AH31" s="46">
        <v>64</v>
      </c>
      <c r="AI31" s="46">
        <v>53</v>
      </c>
      <c r="AJ31" s="46">
        <v>69</v>
      </c>
      <c r="AK31" s="46">
        <v>68</v>
      </c>
      <c r="AL31" s="46">
        <v>72</v>
      </c>
      <c r="AM31" s="46">
        <v>59</v>
      </c>
      <c r="AN31" s="46">
        <v>64</v>
      </c>
      <c r="AO31" s="46">
        <v>73</v>
      </c>
      <c r="AP31" s="46">
        <v>96</v>
      </c>
      <c r="AQ31" s="46">
        <v>116</v>
      </c>
      <c r="AR31" s="46">
        <v>116</v>
      </c>
      <c r="AS31" s="46">
        <v>124</v>
      </c>
      <c r="AT31" s="46">
        <v>119</v>
      </c>
      <c r="AU31" s="46">
        <v>128</v>
      </c>
      <c r="AV31" s="1">
        <v>126</v>
      </c>
      <c r="AW31" s="1">
        <v>134</v>
      </c>
      <c r="AX31" s="1">
        <v>127</v>
      </c>
      <c r="AY31" s="1">
        <v>131</v>
      </c>
      <c r="AZ31" s="1">
        <v>179</v>
      </c>
      <c r="BA31" s="57">
        <v>0</v>
      </c>
      <c r="BB31" s="46">
        <v>1</v>
      </c>
      <c r="BC31" s="46">
        <v>0</v>
      </c>
      <c r="BD31" s="46">
        <v>2</v>
      </c>
      <c r="BE31" s="46">
        <v>2</v>
      </c>
      <c r="BF31" s="46">
        <v>7</v>
      </c>
      <c r="BG31" s="46">
        <v>7</v>
      </c>
      <c r="BH31" s="46">
        <v>8</v>
      </c>
      <c r="BI31" s="46">
        <v>12</v>
      </c>
      <c r="BJ31" s="46">
        <v>21</v>
      </c>
      <c r="BK31" s="46">
        <v>16</v>
      </c>
      <c r="BL31" s="46">
        <v>22</v>
      </c>
      <c r="BM31" s="46">
        <v>19</v>
      </c>
      <c r="BN31" s="46">
        <v>23</v>
      </c>
      <c r="BO31" s="46">
        <v>21</v>
      </c>
      <c r="BP31" s="46">
        <v>35</v>
      </c>
      <c r="BQ31" s="46">
        <v>25</v>
      </c>
      <c r="BR31" s="46">
        <v>24</v>
      </c>
      <c r="BS31" s="46">
        <v>32</v>
      </c>
      <c r="BT31" s="46">
        <v>19</v>
      </c>
      <c r="BU31" s="46">
        <v>26</v>
      </c>
      <c r="BV31" s="46">
        <v>19</v>
      </c>
      <c r="BW31" s="46">
        <v>29</v>
      </c>
      <c r="BX31" s="46">
        <v>25</v>
      </c>
      <c r="BY31" s="46">
        <v>30</v>
      </c>
      <c r="BZ31" s="46">
        <v>32</v>
      </c>
      <c r="CA31" s="46">
        <v>25</v>
      </c>
      <c r="CB31" s="46">
        <v>36</v>
      </c>
      <c r="CC31" s="46">
        <v>27</v>
      </c>
      <c r="CD31" s="46">
        <v>36</v>
      </c>
      <c r="CE31" s="46">
        <v>30</v>
      </c>
      <c r="CF31" s="46">
        <v>31</v>
      </c>
      <c r="CG31" s="46">
        <v>57</v>
      </c>
      <c r="CH31" s="46">
        <v>65</v>
      </c>
      <c r="CI31" s="46">
        <v>65</v>
      </c>
      <c r="CJ31" s="46">
        <v>61</v>
      </c>
      <c r="CK31" s="46">
        <v>64</v>
      </c>
      <c r="CL31" s="46">
        <v>77</v>
      </c>
      <c r="CM31" s="46">
        <v>77</v>
      </c>
      <c r="CN31" s="46">
        <v>67</v>
      </c>
      <c r="CO31" s="46">
        <v>120</v>
      </c>
      <c r="CP31" s="1">
        <v>140</v>
      </c>
      <c r="CQ31" s="1">
        <v>159</v>
      </c>
      <c r="CR31" s="1">
        <v>173</v>
      </c>
      <c r="CS31" s="1">
        <v>194</v>
      </c>
      <c r="CT31" s="1">
        <v>201</v>
      </c>
      <c r="CU31" s="1">
        <v>186</v>
      </c>
      <c r="CV31" s="1">
        <v>233</v>
      </c>
      <c r="CW31" s="1">
        <v>198</v>
      </c>
      <c r="CX31" s="1">
        <v>261</v>
      </c>
      <c r="CY31" s="1">
        <v>286</v>
      </c>
    </row>
    <row r="32" spans="1:104" ht="13.5" customHeight="1">
      <c r="A32" s="42" t="s">
        <v>44</v>
      </c>
      <c r="B32" s="57">
        <v>0</v>
      </c>
      <c r="C32" s="46">
        <v>0</v>
      </c>
      <c r="D32" s="46">
        <v>0</v>
      </c>
      <c r="E32" s="46">
        <v>0</v>
      </c>
      <c r="F32" s="46">
        <v>0</v>
      </c>
      <c r="G32" s="46">
        <v>0</v>
      </c>
      <c r="H32" s="46">
        <v>0</v>
      </c>
      <c r="I32" s="46">
        <v>0</v>
      </c>
      <c r="J32" s="46">
        <v>0</v>
      </c>
      <c r="K32" s="46">
        <v>0</v>
      </c>
      <c r="L32" s="46">
        <v>27</v>
      </c>
      <c r="M32" s="46">
        <v>34</v>
      </c>
      <c r="N32" s="46">
        <v>35</v>
      </c>
      <c r="O32" s="46">
        <v>35</v>
      </c>
      <c r="P32" s="46">
        <v>32</v>
      </c>
      <c r="Q32" s="46">
        <v>48</v>
      </c>
      <c r="R32" s="46">
        <v>51</v>
      </c>
      <c r="S32" s="46">
        <v>28</v>
      </c>
      <c r="T32" s="46">
        <v>32</v>
      </c>
      <c r="U32" s="46">
        <v>27</v>
      </c>
      <c r="V32" s="46">
        <v>36</v>
      </c>
      <c r="W32" s="46">
        <v>25</v>
      </c>
      <c r="X32" s="46">
        <v>24</v>
      </c>
      <c r="Y32" s="46">
        <v>34</v>
      </c>
      <c r="Z32" s="46">
        <v>28</v>
      </c>
      <c r="AA32" s="46">
        <v>30</v>
      </c>
      <c r="AB32" s="46">
        <v>31</v>
      </c>
      <c r="AC32" s="46">
        <v>30</v>
      </c>
      <c r="AD32" s="46">
        <v>31</v>
      </c>
      <c r="AE32" s="46">
        <v>31</v>
      </c>
      <c r="AF32" s="46">
        <v>31</v>
      </c>
      <c r="AG32" s="46">
        <v>71</v>
      </c>
      <c r="AH32" s="46">
        <v>85</v>
      </c>
      <c r="AI32" s="46">
        <v>90</v>
      </c>
      <c r="AJ32" s="46">
        <v>89</v>
      </c>
      <c r="AK32" s="46">
        <v>99</v>
      </c>
      <c r="AL32" s="46">
        <v>153</v>
      </c>
      <c r="AM32" s="46">
        <v>210</v>
      </c>
      <c r="AN32" s="46">
        <v>179</v>
      </c>
      <c r="AO32" s="46">
        <v>232</v>
      </c>
      <c r="AP32" s="46">
        <v>235</v>
      </c>
      <c r="AQ32" s="46">
        <v>319</v>
      </c>
      <c r="AR32" s="46">
        <v>373</v>
      </c>
      <c r="AS32" s="46">
        <v>342</v>
      </c>
      <c r="AT32" s="46">
        <v>397</v>
      </c>
      <c r="AU32" s="46">
        <v>440</v>
      </c>
      <c r="AV32" s="1">
        <v>391</v>
      </c>
      <c r="AW32" s="1">
        <v>442</v>
      </c>
      <c r="AX32" s="1">
        <v>398</v>
      </c>
      <c r="AY32" s="1">
        <v>397</v>
      </c>
      <c r="AZ32" s="1">
        <v>394</v>
      </c>
      <c r="BA32" s="57"/>
      <c r="BB32" s="46">
        <v>0</v>
      </c>
      <c r="BC32" s="46">
        <v>0</v>
      </c>
      <c r="BD32" s="46">
        <v>0</v>
      </c>
      <c r="BE32" s="46">
        <v>0</v>
      </c>
      <c r="BF32" s="46">
        <v>0</v>
      </c>
      <c r="BG32" s="46">
        <v>0</v>
      </c>
      <c r="BH32" s="46">
        <v>0</v>
      </c>
      <c r="BI32" s="46">
        <v>0</v>
      </c>
      <c r="BJ32" s="46">
        <v>0</v>
      </c>
      <c r="BK32" s="46">
        <v>9</v>
      </c>
      <c r="BL32" s="46">
        <v>14</v>
      </c>
      <c r="BM32" s="46">
        <v>10</v>
      </c>
      <c r="BN32" s="46">
        <v>7</v>
      </c>
      <c r="BO32" s="46">
        <v>16</v>
      </c>
      <c r="BP32" s="46">
        <v>22</v>
      </c>
      <c r="BQ32" s="46">
        <v>24</v>
      </c>
      <c r="BR32" s="46">
        <v>14</v>
      </c>
      <c r="BS32" s="46">
        <v>14</v>
      </c>
      <c r="BT32" s="46">
        <v>19</v>
      </c>
      <c r="BU32" s="46">
        <v>13</v>
      </c>
      <c r="BV32" s="46">
        <v>13</v>
      </c>
      <c r="BW32" s="46">
        <v>20</v>
      </c>
      <c r="BX32" s="46">
        <v>20</v>
      </c>
      <c r="BY32" s="46">
        <v>11</v>
      </c>
      <c r="BZ32" s="46">
        <v>24</v>
      </c>
      <c r="CA32" s="46">
        <v>24</v>
      </c>
      <c r="CB32" s="46">
        <v>17</v>
      </c>
      <c r="CC32" s="46">
        <v>17</v>
      </c>
      <c r="CD32" s="46">
        <v>21</v>
      </c>
      <c r="CE32" s="46">
        <v>22</v>
      </c>
      <c r="CF32" s="46">
        <v>68</v>
      </c>
      <c r="CG32" s="46">
        <v>67</v>
      </c>
      <c r="CH32" s="46">
        <v>88</v>
      </c>
      <c r="CI32" s="46">
        <v>80</v>
      </c>
      <c r="CJ32" s="46">
        <v>81</v>
      </c>
      <c r="CK32" s="46">
        <v>112</v>
      </c>
      <c r="CL32" s="46">
        <v>189</v>
      </c>
      <c r="CM32" s="46">
        <v>192</v>
      </c>
      <c r="CN32" s="46">
        <v>215</v>
      </c>
      <c r="CO32" s="46">
        <v>236</v>
      </c>
      <c r="CP32" s="1">
        <v>264</v>
      </c>
      <c r="CQ32" s="1">
        <v>313</v>
      </c>
      <c r="CR32" s="1">
        <v>322</v>
      </c>
      <c r="CS32" s="1">
        <v>283</v>
      </c>
      <c r="CT32" s="1">
        <v>354</v>
      </c>
      <c r="CU32" s="1">
        <v>329</v>
      </c>
      <c r="CV32" s="1">
        <v>377</v>
      </c>
      <c r="CW32" s="1">
        <v>346</v>
      </c>
      <c r="CX32" s="1">
        <v>393</v>
      </c>
      <c r="CY32" s="1">
        <v>376</v>
      </c>
    </row>
    <row r="33" spans="1:104" ht="13.5" customHeight="1">
      <c r="A33" s="42" t="s">
        <v>45</v>
      </c>
      <c r="B33" s="57">
        <v>55</v>
      </c>
      <c r="C33" s="46">
        <v>78</v>
      </c>
      <c r="D33" s="46">
        <v>92</v>
      </c>
      <c r="E33" s="46">
        <v>118</v>
      </c>
      <c r="F33" s="46">
        <v>126</v>
      </c>
      <c r="G33" s="46">
        <v>137</v>
      </c>
      <c r="H33" s="46">
        <v>124</v>
      </c>
      <c r="I33" s="46">
        <v>132</v>
      </c>
      <c r="J33" s="46">
        <v>105</v>
      </c>
      <c r="K33" s="46">
        <v>123</v>
      </c>
      <c r="L33" s="46">
        <v>100</v>
      </c>
      <c r="M33" s="46">
        <v>117</v>
      </c>
      <c r="N33" s="46">
        <v>117</v>
      </c>
      <c r="O33" s="46">
        <v>103</v>
      </c>
      <c r="P33" s="46">
        <v>103</v>
      </c>
      <c r="Q33" s="46">
        <v>93</v>
      </c>
      <c r="R33" s="46">
        <v>110</v>
      </c>
      <c r="S33" s="46">
        <v>90</v>
      </c>
      <c r="T33" s="46">
        <v>75</v>
      </c>
      <c r="U33" s="46">
        <v>94</v>
      </c>
      <c r="V33" s="46">
        <v>97</v>
      </c>
      <c r="W33" s="46">
        <v>92</v>
      </c>
      <c r="X33" s="46">
        <v>97</v>
      </c>
      <c r="Y33" s="46">
        <v>89</v>
      </c>
      <c r="Z33" s="46">
        <v>87</v>
      </c>
      <c r="AA33" s="46">
        <v>73</v>
      </c>
      <c r="AB33" s="46">
        <v>91</v>
      </c>
      <c r="AC33" s="46">
        <v>79</v>
      </c>
      <c r="AD33" s="46">
        <v>90</v>
      </c>
      <c r="AE33" s="46">
        <v>74</v>
      </c>
      <c r="AF33" s="46">
        <v>108</v>
      </c>
      <c r="AG33" s="46">
        <v>115</v>
      </c>
      <c r="AH33" s="46">
        <v>114</v>
      </c>
      <c r="AI33" s="46">
        <v>107</v>
      </c>
      <c r="AJ33" s="46">
        <v>103</v>
      </c>
      <c r="AK33" s="46">
        <v>95</v>
      </c>
      <c r="AL33" s="46">
        <v>110</v>
      </c>
      <c r="AM33" s="46">
        <v>128</v>
      </c>
      <c r="AN33" s="46">
        <v>115</v>
      </c>
      <c r="AO33" s="46">
        <v>125</v>
      </c>
      <c r="AP33" s="46">
        <v>114</v>
      </c>
      <c r="AQ33" s="46">
        <v>132</v>
      </c>
      <c r="AR33" s="46">
        <v>133</v>
      </c>
      <c r="AS33" s="46">
        <v>123</v>
      </c>
      <c r="AT33" s="46">
        <v>124</v>
      </c>
      <c r="AU33" s="46">
        <v>139</v>
      </c>
      <c r="AV33" s="1">
        <v>128</v>
      </c>
      <c r="AW33" s="1">
        <v>157</v>
      </c>
      <c r="AX33" s="1">
        <v>157</v>
      </c>
      <c r="AY33" s="1">
        <v>141</v>
      </c>
      <c r="AZ33" s="1">
        <v>213</v>
      </c>
      <c r="BA33" s="57">
        <v>3</v>
      </c>
      <c r="BB33" s="46">
        <v>4</v>
      </c>
      <c r="BC33" s="46">
        <v>13</v>
      </c>
      <c r="BD33" s="46">
        <v>12</v>
      </c>
      <c r="BE33" s="46">
        <v>26</v>
      </c>
      <c r="BF33" s="46">
        <v>25</v>
      </c>
      <c r="BG33" s="46">
        <v>41</v>
      </c>
      <c r="BH33" s="46">
        <v>58</v>
      </c>
      <c r="BI33" s="46">
        <v>61</v>
      </c>
      <c r="BJ33" s="46">
        <v>56</v>
      </c>
      <c r="BK33" s="46">
        <v>65</v>
      </c>
      <c r="BL33" s="46">
        <v>77</v>
      </c>
      <c r="BM33" s="46">
        <v>62</v>
      </c>
      <c r="BN33" s="46">
        <v>73</v>
      </c>
      <c r="BO33" s="46">
        <v>83</v>
      </c>
      <c r="BP33" s="46">
        <v>73</v>
      </c>
      <c r="BQ33" s="46">
        <v>81</v>
      </c>
      <c r="BR33" s="46">
        <v>80</v>
      </c>
      <c r="BS33" s="46">
        <v>89</v>
      </c>
      <c r="BT33" s="46">
        <v>87</v>
      </c>
      <c r="BU33" s="46">
        <v>82</v>
      </c>
      <c r="BV33" s="46">
        <v>75</v>
      </c>
      <c r="BW33" s="46">
        <v>79</v>
      </c>
      <c r="BX33" s="46">
        <v>89</v>
      </c>
      <c r="BY33" s="46">
        <v>105</v>
      </c>
      <c r="BZ33" s="46">
        <v>99</v>
      </c>
      <c r="CA33" s="46">
        <v>101</v>
      </c>
      <c r="CB33" s="46">
        <v>95</v>
      </c>
      <c r="CC33" s="46">
        <v>95</v>
      </c>
      <c r="CD33" s="46">
        <v>93</v>
      </c>
      <c r="CE33" s="46">
        <v>118</v>
      </c>
      <c r="CF33" s="46">
        <v>134</v>
      </c>
      <c r="CG33" s="46">
        <v>172</v>
      </c>
      <c r="CH33" s="46">
        <v>139</v>
      </c>
      <c r="CI33" s="46">
        <v>140</v>
      </c>
      <c r="CJ33" s="46">
        <v>155</v>
      </c>
      <c r="CK33" s="46">
        <v>140</v>
      </c>
      <c r="CL33" s="46">
        <v>165</v>
      </c>
      <c r="CM33" s="46">
        <v>154</v>
      </c>
      <c r="CN33" s="46">
        <v>147</v>
      </c>
      <c r="CO33" s="46">
        <v>167</v>
      </c>
      <c r="CP33" s="1">
        <v>171</v>
      </c>
      <c r="CQ33" s="1">
        <v>161</v>
      </c>
      <c r="CR33" s="1">
        <v>162</v>
      </c>
      <c r="CS33" s="1">
        <v>164</v>
      </c>
      <c r="CT33" s="1">
        <v>189</v>
      </c>
      <c r="CU33" s="1">
        <v>207</v>
      </c>
      <c r="CV33" s="1">
        <v>186</v>
      </c>
      <c r="CW33" s="1">
        <v>176</v>
      </c>
      <c r="CX33" s="1">
        <v>197</v>
      </c>
      <c r="CY33" s="1">
        <v>258</v>
      </c>
    </row>
    <row r="34" spans="1:104" ht="13.5" customHeight="1">
      <c r="A34" s="42" t="s">
        <v>46</v>
      </c>
      <c r="B34" s="57">
        <v>383</v>
      </c>
      <c r="C34" s="46">
        <v>474</v>
      </c>
      <c r="D34" s="46">
        <v>495</v>
      </c>
      <c r="E34" s="46">
        <v>633</v>
      </c>
      <c r="F34" s="46">
        <v>654</v>
      </c>
      <c r="G34" s="46">
        <v>680</v>
      </c>
      <c r="H34" s="46">
        <v>786</v>
      </c>
      <c r="I34" s="46">
        <v>743</v>
      </c>
      <c r="J34" s="46">
        <v>791</v>
      </c>
      <c r="K34" s="46">
        <v>797</v>
      </c>
      <c r="L34" s="46">
        <v>820</v>
      </c>
      <c r="M34" s="46">
        <v>747</v>
      </c>
      <c r="N34" s="46">
        <v>745</v>
      </c>
      <c r="O34" s="46">
        <v>771</v>
      </c>
      <c r="P34" s="46">
        <v>800</v>
      </c>
      <c r="Q34" s="46">
        <v>697</v>
      </c>
      <c r="R34" s="46">
        <v>663</v>
      </c>
      <c r="S34" s="46">
        <v>634</v>
      </c>
      <c r="T34" s="46">
        <v>563</v>
      </c>
      <c r="U34" s="46">
        <v>617</v>
      </c>
      <c r="V34" s="46">
        <v>611</v>
      </c>
      <c r="W34" s="46">
        <v>634</v>
      </c>
      <c r="X34" s="46">
        <v>682</v>
      </c>
      <c r="Y34" s="46">
        <v>638</v>
      </c>
      <c r="Z34" s="46">
        <v>598</v>
      </c>
      <c r="AA34" s="46">
        <v>579</v>
      </c>
      <c r="AB34" s="46">
        <v>573</v>
      </c>
      <c r="AC34" s="46">
        <v>617</v>
      </c>
      <c r="AD34" s="46">
        <v>628</v>
      </c>
      <c r="AE34" s="46">
        <v>530</v>
      </c>
      <c r="AF34" s="46">
        <v>597</v>
      </c>
      <c r="AG34" s="46">
        <v>630</v>
      </c>
      <c r="AH34" s="46">
        <v>559</v>
      </c>
      <c r="AI34" s="46">
        <v>610</v>
      </c>
      <c r="AJ34" s="46">
        <v>562</v>
      </c>
      <c r="AK34" s="46">
        <v>597</v>
      </c>
      <c r="AL34" s="46">
        <v>626</v>
      </c>
      <c r="AM34" s="46">
        <v>654</v>
      </c>
      <c r="AN34" s="46">
        <v>590</v>
      </c>
      <c r="AO34" s="46">
        <v>681</v>
      </c>
      <c r="AP34" s="46">
        <v>685</v>
      </c>
      <c r="AQ34" s="46">
        <v>680</v>
      </c>
      <c r="AR34" s="46">
        <v>642</v>
      </c>
      <c r="AS34" s="46">
        <v>666</v>
      </c>
      <c r="AT34" s="46">
        <v>688</v>
      </c>
      <c r="AU34" s="46">
        <v>662</v>
      </c>
      <c r="AV34" s="1">
        <v>618</v>
      </c>
      <c r="AW34" s="1">
        <v>622</v>
      </c>
      <c r="AX34" s="1">
        <v>587</v>
      </c>
      <c r="AY34" s="1">
        <v>615</v>
      </c>
      <c r="AZ34" s="1">
        <v>585</v>
      </c>
      <c r="BA34" s="57">
        <v>14</v>
      </c>
      <c r="BB34" s="46">
        <v>15</v>
      </c>
      <c r="BC34" s="46">
        <v>12</v>
      </c>
      <c r="BD34" s="46">
        <v>31</v>
      </c>
      <c r="BE34" s="46">
        <v>53</v>
      </c>
      <c r="BF34" s="46">
        <v>69</v>
      </c>
      <c r="BG34" s="46">
        <v>109</v>
      </c>
      <c r="BH34" s="46">
        <v>143</v>
      </c>
      <c r="BI34" s="46">
        <v>157</v>
      </c>
      <c r="BJ34" s="46">
        <v>175</v>
      </c>
      <c r="BK34" s="46">
        <v>213</v>
      </c>
      <c r="BL34" s="46">
        <v>267</v>
      </c>
      <c r="BM34" s="46">
        <v>235</v>
      </c>
      <c r="BN34" s="46">
        <v>291</v>
      </c>
      <c r="BO34" s="46">
        <v>275</v>
      </c>
      <c r="BP34" s="46">
        <v>297</v>
      </c>
      <c r="BQ34" s="46">
        <v>275</v>
      </c>
      <c r="BR34" s="46">
        <v>265</v>
      </c>
      <c r="BS34" s="46">
        <v>282</v>
      </c>
      <c r="BT34" s="46">
        <v>289</v>
      </c>
      <c r="BU34" s="46">
        <v>317</v>
      </c>
      <c r="BV34" s="46">
        <v>308</v>
      </c>
      <c r="BW34" s="46">
        <v>350</v>
      </c>
      <c r="BX34" s="46">
        <v>350</v>
      </c>
      <c r="BY34" s="46">
        <v>348</v>
      </c>
      <c r="BZ34" s="46">
        <v>325</v>
      </c>
      <c r="CA34" s="46">
        <v>384</v>
      </c>
      <c r="CB34" s="46">
        <v>447</v>
      </c>
      <c r="CC34" s="46">
        <v>439</v>
      </c>
      <c r="CD34" s="46">
        <v>402</v>
      </c>
      <c r="CE34" s="46">
        <v>450</v>
      </c>
      <c r="CF34" s="46">
        <v>503</v>
      </c>
      <c r="CG34" s="46">
        <v>461</v>
      </c>
      <c r="CH34" s="46">
        <v>464</v>
      </c>
      <c r="CI34" s="46">
        <v>508</v>
      </c>
      <c r="CJ34" s="46">
        <v>550</v>
      </c>
      <c r="CK34" s="46">
        <v>570</v>
      </c>
      <c r="CL34" s="46">
        <v>537</v>
      </c>
      <c r="CM34" s="46">
        <v>539</v>
      </c>
      <c r="CN34" s="46">
        <v>575</v>
      </c>
      <c r="CO34" s="46">
        <v>710</v>
      </c>
      <c r="CP34" s="1">
        <v>716</v>
      </c>
      <c r="CQ34" s="1">
        <v>748</v>
      </c>
      <c r="CR34" s="1">
        <v>761</v>
      </c>
      <c r="CS34" s="1">
        <v>794</v>
      </c>
      <c r="CT34" s="1">
        <v>754</v>
      </c>
      <c r="CU34" s="1">
        <v>784</v>
      </c>
      <c r="CV34" s="1">
        <v>795</v>
      </c>
      <c r="CW34" s="1">
        <v>855</v>
      </c>
      <c r="CX34" s="1">
        <v>837</v>
      </c>
      <c r="CY34" s="1">
        <v>888</v>
      </c>
    </row>
    <row r="35" spans="1:104" ht="13.5" customHeight="1">
      <c r="A35" s="42" t="s">
        <v>47</v>
      </c>
      <c r="B35" s="57">
        <v>149</v>
      </c>
      <c r="C35" s="46">
        <v>162</v>
      </c>
      <c r="D35" s="46">
        <v>174</v>
      </c>
      <c r="E35" s="46">
        <v>217</v>
      </c>
      <c r="F35" s="46">
        <v>188</v>
      </c>
      <c r="G35" s="46">
        <v>211</v>
      </c>
      <c r="H35" s="46">
        <v>328</v>
      </c>
      <c r="I35" s="46">
        <v>337</v>
      </c>
      <c r="J35" s="46">
        <v>312</v>
      </c>
      <c r="K35" s="46">
        <v>281</v>
      </c>
      <c r="L35" s="46">
        <v>306</v>
      </c>
      <c r="M35" s="46">
        <v>301</v>
      </c>
      <c r="N35" s="46">
        <v>315</v>
      </c>
      <c r="O35" s="46">
        <v>298</v>
      </c>
      <c r="P35" s="46">
        <v>305</v>
      </c>
      <c r="Q35" s="46">
        <v>292</v>
      </c>
      <c r="R35" s="46">
        <v>274</v>
      </c>
      <c r="S35" s="46">
        <v>271</v>
      </c>
      <c r="T35" s="46">
        <v>270</v>
      </c>
      <c r="U35" s="46">
        <v>288</v>
      </c>
      <c r="V35" s="46">
        <v>271</v>
      </c>
      <c r="W35" s="46">
        <v>292</v>
      </c>
      <c r="X35" s="46">
        <v>264</v>
      </c>
      <c r="Y35" s="46">
        <v>261</v>
      </c>
      <c r="Z35" s="46">
        <v>246</v>
      </c>
      <c r="AA35" s="46">
        <v>235</v>
      </c>
      <c r="AB35" s="46">
        <v>257</v>
      </c>
      <c r="AC35" s="46">
        <v>251</v>
      </c>
      <c r="AD35" s="46">
        <v>246</v>
      </c>
      <c r="AE35" s="46">
        <v>237</v>
      </c>
      <c r="AF35" s="46">
        <v>248</v>
      </c>
      <c r="AG35" s="46">
        <v>252</v>
      </c>
      <c r="AH35" s="46">
        <v>251</v>
      </c>
      <c r="AI35" s="46">
        <v>264</v>
      </c>
      <c r="AJ35" s="46">
        <v>255</v>
      </c>
      <c r="AK35" s="46">
        <v>273</v>
      </c>
      <c r="AL35" s="46">
        <v>252</v>
      </c>
      <c r="AM35" s="46">
        <v>267</v>
      </c>
      <c r="AN35" s="46">
        <v>264</v>
      </c>
      <c r="AO35" s="46">
        <v>298</v>
      </c>
      <c r="AP35" s="46">
        <v>306</v>
      </c>
      <c r="AQ35" s="46">
        <v>331</v>
      </c>
      <c r="AR35" s="46">
        <v>300</v>
      </c>
      <c r="AS35" s="46">
        <v>337</v>
      </c>
      <c r="AT35" s="46">
        <v>304</v>
      </c>
      <c r="AU35" s="46">
        <v>304</v>
      </c>
      <c r="AV35" s="1">
        <v>318</v>
      </c>
      <c r="AW35" s="1">
        <v>324</v>
      </c>
      <c r="AX35" s="1">
        <v>316</v>
      </c>
      <c r="AY35" s="1">
        <v>350</v>
      </c>
      <c r="AZ35" s="1">
        <v>377</v>
      </c>
      <c r="BA35" s="57">
        <v>4</v>
      </c>
      <c r="BB35" s="46">
        <v>4</v>
      </c>
      <c r="BC35" s="46">
        <v>5</v>
      </c>
      <c r="BD35" s="46">
        <v>10</v>
      </c>
      <c r="BE35" s="46">
        <v>10</v>
      </c>
      <c r="BF35" s="46">
        <v>22</v>
      </c>
      <c r="BG35" s="46">
        <v>50</v>
      </c>
      <c r="BH35" s="46">
        <v>49</v>
      </c>
      <c r="BI35" s="46">
        <v>47</v>
      </c>
      <c r="BJ35" s="46">
        <v>53</v>
      </c>
      <c r="BK35" s="46">
        <v>65</v>
      </c>
      <c r="BL35" s="46">
        <v>59</v>
      </c>
      <c r="BM35" s="46">
        <v>61</v>
      </c>
      <c r="BN35" s="46">
        <v>84</v>
      </c>
      <c r="BO35" s="46">
        <v>84</v>
      </c>
      <c r="BP35" s="46">
        <v>87</v>
      </c>
      <c r="BQ35" s="46">
        <v>87</v>
      </c>
      <c r="BR35" s="46">
        <v>94</v>
      </c>
      <c r="BS35" s="46">
        <v>108</v>
      </c>
      <c r="BT35" s="46">
        <v>88</v>
      </c>
      <c r="BU35" s="46">
        <v>109</v>
      </c>
      <c r="BV35" s="46">
        <v>91</v>
      </c>
      <c r="BW35" s="46">
        <v>100</v>
      </c>
      <c r="BX35" s="46">
        <v>127</v>
      </c>
      <c r="BY35" s="46">
        <v>121</v>
      </c>
      <c r="BZ35" s="46">
        <v>138</v>
      </c>
      <c r="CA35" s="46">
        <v>123</v>
      </c>
      <c r="CB35" s="46">
        <v>141</v>
      </c>
      <c r="CC35" s="46">
        <v>133</v>
      </c>
      <c r="CD35" s="46">
        <v>125</v>
      </c>
      <c r="CE35" s="46">
        <v>134</v>
      </c>
      <c r="CF35" s="46">
        <v>135</v>
      </c>
      <c r="CG35" s="46">
        <v>142</v>
      </c>
      <c r="CH35" s="46">
        <v>146</v>
      </c>
      <c r="CI35" s="46">
        <v>161</v>
      </c>
      <c r="CJ35" s="46">
        <v>150</v>
      </c>
      <c r="CK35" s="46">
        <v>181</v>
      </c>
      <c r="CL35" s="46">
        <v>159</v>
      </c>
      <c r="CM35" s="46">
        <v>160</v>
      </c>
      <c r="CN35" s="46">
        <v>223</v>
      </c>
      <c r="CO35" s="46">
        <v>193</v>
      </c>
      <c r="CP35" s="1">
        <v>245</v>
      </c>
      <c r="CQ35" s="1">
        <v>233</v>
      </c>
      <c r="CR35" s="1">
        <v>253</v>
      </c>
      <c r="CS35" s="1">
        <v>269</v>
      </c>
      <c r="CT35" s="1">
        <v>260</v>
      </c>
      <c r="CU35" s="1">
        <v>271</v>
      </c>
      <c r="CV35" s="1">
        <v>319</v>
      </c>
      <c r="CW35" s="1">
        <v>295</v>
      </c>
      <c r="CX35" s="1">
        <v>325</v>
      </c>
      <c r="CY35" s="1">
        <v>345</v>
      </c>
    </row>
    <row r="36" spans="1:104">
      <c r="A36" s="42" t="s">
        <v>48</v>
      </c>
      <c r="B36" s="57">
        <v>330</v>
      </c>
      <c r="C36" s="46">
        <v>361</v>
      </c>
      <c r="D36" s="46">
        <v>353</v>
      </c>
      <c r="E36" s="46">
        <v>488</v>
      </c>
      <c r="F36" s="46">
        <v>488</v>
      </c>
      <c r="G36" s="46">
        <v>709</v>
      </c>
      <c r="H36" s="46">
        <v>825</v>
      </c>
      <c r="I36" s="46">
        <v>789</v>
      </c>
      <c r="J36" s="46">
        <v>827</v>
      </c>
      <c r="K36" s="46">
        <v>783</v>
      </c>
      <c r="L36" s="46">
        <v>713</v>
      </c>
      <c r="M36" s="46">
        <v>721</v>
      </c>
      <c r="N36" s="46">
        <v>632</v>
      </c>
      <c r="O36" s="46">
        <v>711</v>
      </c>
      <c r="P36" s="46">
        <v>607</v>
      </c>
      <c r="Q36" s="46">
        <v>609</v>
      </c>
      <c r="R36" s="46">
        <v>548</v>
      </c>
      <c r="S36" s="46">
        <v>535</v>
      </c>
      <c r="T36" s="46">
        <v>513</v>
      </c>
      <c r="U36" s="46">
        <v>473</v>
      </c>
      <c r="V36" s="46">
        <v>488</v>
      </c>
      <c r="W36" s="46">
        <v>471</v>
      </c>
      <c r="X36" s="46">
        <v>488</v>
      </c>
      <c r="Y36" s="46">
        <v>514</v>
      </c>
      <c r="Z36" s="46">
        <v>494</v>
      </c>
      <c r="AA36" s="46">
        <v>493</v>
      </c>
      <c r="AB36" s="46">
        <v>485</v>
      </c>
      <c r="AC36" s="46">
        <v>488</v>
      </c>
      <c r="AD36" s="46">
        <v>517</v>
      </c>
      <c r="AE36" s="46">
        <v>483</v>
      </c>
      <c r="AF36" s="46">
        <v>482</v>
      </c>
      <c r="AG36" s="46">
        <v>500</v>
      </c>
      <c r="AH36" s="46">
        <v>535</v>
      </c>
      <c r="AI36" s="46">
        <v>553</v>
      </c>
      <c r="AJ36" s="46">
        <v>552</v>
      </c>
      <c r="AK36" s="46">
        <v>585</v>
      </c>
      <c r="AL36" s="46">
        <v>540</v>
      </c>
      <c r="AM36" s="46">
        <v>581</v>
      </c>
      <c r="AN36" s="46">
        <v>563</v>
      </c>
      <c r="AO36" s="46">
        <v>582</v>
      </c>
      <c r="AP36" s="46">
        <v>570</v>
      </c>
      <c r="AQ36" s="46">
        <v>580</v>
      </c>
      <c r="AR36" s="46">
        <v>668</v>
      </c>
      <c r="AS36" s="46">
        <v>643</v>
      </c>
      <c r="AT36" s="46">
        <v>669</v>
      </c>
      <c r="AU36" s="46">
        <v>616</v>
      </c>
      <c r="AV36" s="1">
        <v>614</v>
      </c>
      <c r="AW36" s="1">
        <v>617</v>
      </c>
      <c r="AX36" s="1">
        <v>678</v>
      </c>
      <c r="AY36" s="1">
        <v>615</v>
      </c>
      <c r="AZ36" s="1">
        <v>619</v>
      </c>
      <c r="BA36" s="57">
        <v>16</v>
      </c>
      <c r="BB36" s="46">
        <v>26</v>
      </c>
      <c r="BC36" s="46">
        <v>24</v>
      </c>
      <c r="BD36" s="46">
        <v>26</v>
      </c>
      <c r="BE36" s="46">
        <v>60</v>
      </c>
      <c r="BF36" s="46">
        <v>95</v>
      </c>
      <c r="BG36" s="46">
        <v>137</v>
      </c>
      <c r="BH36" s="46">
        <v>171</v>
      </c>
      <c r="BI36" s="46">
        <v>204</v>
      </c>
      <c r="BJ36" s="46">
        <v>228</v>
      </c>
      <c r="BK36" s="46">
        <v>221</v>
      </c>
      <c r="BL36" s="46">
        <v>285</v>
      </c>
      <c r="BM36" s="46">
        <v>292</v>
      </c>
      <c r="BN36" s="46">
        <v>305</v>
      </c>
      <c r="BO36" s="46">
        <v>356</v>
      </c>
      <c r="BP36" s="46">
        <v>391</v>
      </c>
      <c r="BQ36" s="46">
        <v>360</v>
      </c>
      <c r="BR36" s="46">
        <v>366</v>
      </c>
      <c r="BS36" s="46">
        <v>385</v>
      </c>
      <c r="BT36" s="46">
        <v>336</v>
      </c>
      <c r="BU36" s="46">
        <v>364</v>
      </c>
      <c r="BV36" s="46">
        <v>361</v>
      </c>
      <c r="BW36" s="46">
        <v>398</v>
      </c>
      <c r="BX36" s="46">
        <v>406</v>
      </c>
      <c r="BY36" s="46">
        <v>424</v>
      </c>
      <c r="BZ36" s="46">
        <v>416</v>
      </c>
      <c r="CA36" s="46">
        <v>446</v>
      </c>
      <c r="CB36" s="46">
        <v>453</v>
      </c>
      <c r="CC36" s="46">
        <v>450</v>
      </c>
      <c r="CD36" s="46">
        <v>555</v>
      </c>
      <c r="CE36" s="46">
        <v>593</v>
      </c>
      <c r="CF36" s="46">
        <v>683</v>
      </c>
      <c r="CG36" s="46">
        <v>661</v>
      </c>
      <c r="CH36" s="46">
        <v>665</v>
      </c>
      <c r="CI36" s="46">
        <v>618</v>
      </c>
      <c r="CJ36" s="46">
        <v>772</v>
      </c>
      <c r="CK36" s="46">
        <v>782</v>
      </c>
      <c r="CL36" s="46">
        <v>761</v>
      </c>
      <c r="CM36" s="46">
        <v>801</v>
      </c>
      <c r="CN36" s="46">
        <v>747</v>
      </c>
      <c r="CO36" s="46">
        <v>794</v>
      </c>
      <c r="CP36" s="1">
        <v>790</v>
      </c>
      <c r="CQ36" s="1">
        <v>831</v>
      </c>
      <c r="CR36" s="1">
        <v>837</v>
      </c>
      <c r="CS36" s="1">
        <v>801</v>
      </c>
      <c r="CT36" s="1">
        <v>786</v>
      </c>
      <c r="CU36" s="1">
        <v>799</v>
      </c>
      <c r="CV36" s="1">
        <v>872</v>
      </c>
      <c r="CW36" s="1">
        <v>841</v>
      </c>
      <c r="CX36" s="1">
        <v>979</v>
      </c>
      <c r="CY36" s="1">
        <v>1050</v>
      </c>
    </row>
    <row r="37" spans="1:104">
      <c r="A37" s="47" t="s">
        <v>49</v>
      </c>
      <c r="B37" s="58">
        <v>31</v>
      </c>
      <c r="C37" s="48">
        <v>33</v>
      </c>
      <c r="D37" s="48">
        <v>39</v>
      </c>
      <c r="E37" s="48">
        <v>50</v>
      </c>
      <c r="F37" s="48">
        <v>78</v>
      </c>
      <c r="G37" s="48">
        <v>57</v>
      </c>
      <c r="H37" s="48">
        <v>52</v>
      </c>
      <c r="I37" s="48">
        <v>54</v>
      </c>
      <c r="J37" s="48">
        <v>44</v>
      </c>
      <c r="K37" s="48">
        <v>50</v>
      </c>
      <c r="L37" s="48">
        <v>48</v>
      </c>
      <c r="M37" s="48">
        <v>48</v>
      </c>
      <c r="N37" s="48">
        <v>38</v>
      </c>
      <c r="O37" s="48">
        <v>49</v>
      </c>
      <c r="P37" s="48">
        <v>49</v>
      </c>
      <c r="Q37" s="48">
        <v>91</v>
      </c>
      <c r="R37" s="48">
        <v>43</v>
      </c>
      <c r="S37" s="48">
        <v>38</v>
      </c>
      <c r="T37" s="48">
        <v>46</v>
      </c>
      <c r="U37" s="48">
        <v>34</v>
      </c>
      <c r="V37" s="48">
        <v>51</v>
      </c>
      <c r="W37" s="48">
        <v>47</v>
      </c>
      <c r="X37" s="48">
        <v>36</v>
      </c>
      <c r="Y37" s="48">
        <v>40</v>
      </c>
      <c r="Z37" s="48">
        <v>40</v>
      </c>
      <c r="AA37" s="48">
        <v>35</v>
      </c>
      <c r="AB37" s="48">
        <v>49</v>
      </c>
      <c r="AC37" s="48">
        <v>39</v>
      </c>
      <c r="AD37" s="48">
        <v>31</v>
      </c>
      <c r="AE37" s="48">
        <v>38</v>
      </c>
      <c r="AF37" s="48">
        <v>64</v>
      </c>
      <c r="AG37" s="48">
        <v>65</v>
      </c>
      <c r="AH37" s="48">
        <v>58</v>
      </c>
      <c r="AI37" s="48">
        <v>57</v>
      </c>
      <c r="AJ37" s="48">
        <v>65</v>
      </c>
      <c r="AK37" s="48">
        <v>64</v>
      </c>
      <c r="AL37" s="48">
        <v>68</v>
      </c>
      <c r="AM37" s="48">
        <v>62</v>
      </c>
      <c r="AN37" s="48">
        <v>54</v>
      </c>
      <c r="AO37" s="48">
        <v>62</v>
      </c>
      <c r="AP37" s="48">
        <v>51</v>
      </c>
      <c r="AQ37" s="48">
        <v>64</v>
      </c>
      <c r="AR37" s="48">
        <v>60</v>
      </c>
      <c r="AS37" s="48">
        <v>58</v>
      </c>
      <c r="AT37" s="48">
        <v>61</v>
      </c>
      <c r="AU37" s="48">
        <v>66</v>
      </c>
      <c r="AV37" s="1">
        <v>61</v>
      </c>
      <c r="AW37" s="1">
        <v>53</v>
      </c>
      <c r="AX37" s="1">
        <v>65</v>
      </c>
      <c r="AY37" s="1">
        <v>53</v>
      </c>
      <c r="AZ37" s="1">
        <v>53</v>
      </c>
      <c r="BA37" s="58">
        <v>0</v>
      </c>
      <c r="BB37" s="48">
        <v>1</v>
      </c>
      <c r="BC37" s="48">
        <v>1</v>
      </c>
      <c r="BD37" s="48">
        <v>5</v>
      </c>
      <c r="BE37" s="48">
        <v>7</v>
      </c>
      <c r="BF37" s="48">
        <v>4</v>
      </c>
      <c r="BG37" s="48">
        <v>10</v>
      </c>
      <c r="BH37" s="48">
        <v>16</v>
      </c>
      <c r="BI37" s="48">
        <v>15</v>
      </c>
      <c r="BJ37" s="48">
        <v>18</v>
      </c>
      <c r="BK37" s="48">
        <v>12</v>
      </c>
      <c r="BL37" s="48">
        <v>15</v>
      </c>
      <c r="BM37" s="48">
        <v>22</v>
      </c>
      <c r="BN37" s="48">
        <v>19</v>
      </c>
      <c r="BO37" s="48">
        <v>10</v>
      </c>
      <c r="BP37" s="48">
        <v>31</v>
      </c>
      <c r="BQ37" s="48">
        <v>25</v>
      </c>
      <c r="BR37" s="48">
        <v>21</v>
      </c>
      <c r="BS37" s="48">
        <v>23</v>
      </c>
      <c r="BT37" s="48">
        <v>23</v>
      </c>
      <c r="BU37" s="48">
        <v>16</v>
      </c>
      <c r="BV37" s="48">
        <v>23</v>
      </c>
      <c r="BW37" s="48">
        <v>28</v>
      </c>
      <c r="BX37" s="48">
        <v>29</v>
      </c>
      <c r="BY37" s="48">
        <v>26</v>
      </c>
      <c r="BZ37" s="48">
        <v>35</v>
      </c>
      <c r="CA37" s="48">
        <v>29</v>
      </c>
      <c r="CB37" s="48">
        <v>29</v>
      </c>
      <c r="CC37" s="48">
        <v>29</v>
      </c>
      <c r="CD37" s="48">
        <v>28</v>
      </c>
      <c r="CE37" s="48">
        <v>55</v>
      </c>
      <c r="CF37" s="48">
        <v>53</v>
      </c>
      <c r="CG37" s="48">
        <v>64</v>
      </c>
      <c r="CH37" s="48">
        <v>47</v>
      </c>
      <c r="CI37" s="48">
        <v>66</v>
      </c>
      <c r="CJ37" s="48">
        <v>61</v>
      </c>
      <c r="CK37" s="48">
        <v>48</v>
      </c>
      <c r="CL37" s="48">
        <v>56</v>
      </c>
      <c r="CM37" s="48">
        <v>63</v>
      </c>
      <c r="CN37" s="48">
        <v>69</v>
      </c>
      <c r="CO37" s="48">
        <v>59</v>
      </c>
      <c r="CP37" s="1">
        <v>59</v>
      </c>
      <c r="CQ37" s="1">
        <v>65</v>
      </c>
      <c r="CR37" s="1">
        <v>60</v>
      </c>
      <c r="CS37" s="1">
        <v>54</v>
      </c>
      <c r="CT37" s="1">
        <v>63</v>
      </c>
      <c r="CU37" s="1">
        <v>56</v>
      </c>
      <c r="CV37" s="1">
        <v>73</v>
      </c>
      <c r="CW37" s="1">
        <v>84</v>
      </c>
      <c r="CX37" s="1">
        <v>79</v>
      </c>
      <c r="CY37" s="1">
        <v>62</v>
      </c>
    </row>
    <row r="38" spans="1:104">
      <c r="A38" s="42" t="s">
        <v>50</v>
      </c>
      <c r="B38" s="55">
        <f t="shared" ref="B38:BW38" si="25">SUM(B40:B51)</f>
        <v>9966</v>
      </c>
      <c r="C38" s="43">
        <f t="shared" si="25"/>
        <v>10220</v>
      </c>
      <c r="D38" s="43">
        <f t="shared" si="25"/>
        <v>11489</v>
      </c>
      <c r="E38" s="43">
        <f t="shared" si="25"/>
        <v>13579</v>
      </c>
      <c r="F38" s="43">
        <f t="shared" si="25"/>
        <v>14217</v>
      </c>
      <c r="G38" s="43">
        <f t="shared" si="25"/>
        <v>14625</v>
      </c>
      <c r="H38" s="43">
        <f t="shared" si="25"/>
        <v>16152</v>
      </c>
      <c r="I38" s="43">
        <f t="shared" si="25"/>
        <v>15651</v>
      </c>
      <c r="J38" s="43">
        <f t="shared" si="25"/>
        <v>16101</v>
      </c>
      <c r="K38" s="43">
        <f t="shared" si="25"/>
        <v>16043</v>
      </c>
      <c r="L38" s="43">
        <f t="shared" si="25"/>
        <v>15807</v>
      </c>
      <c r="M38" s="43">
        <f t="shared" si="25"/>
        <v>15420</v>
      </c>
      <c r="N38" s="43">
        <f t="shared" si="25"/>
        <v>15125</v>
      </c>
      <c r="O38" s="43">
        <f t="shared" si="25"/>
        <v>15067</v>
      </c>
      <c r="P38" s="43">
        <f t="shared" si="25"/>
        <v>14898</v>
      </c>
      <c r="Q38" s="43">
        <f t="shared" si="25"/>
        <v>14667</v>
      </c>
      <c r="R38" s="43">
        <f t="shared" si="25"/>
        <v>14274</v>
      </c>
      <c r="S38" s="43">
        <f t="shared" si="25"/>
        <v>13315</v>
      </c>
      <c r="T38" s="43">
        <f t="shared" si="25"/>
        <v>12902</v>
      </c>
      <c r="U38" s="43">
        <f t="shared" si="25"/>
        <v>12781</v>
      </c>
      <c r="V38" s="43">
        <f t="shared" si="25"/>
        <v>12368</v>
      </c>
      <c r="W38" s="43">
        <f t="shared" si="25"/>
        <v>12259</v>
      </c>
      <c r="X38" s="43">
        <f t="shared" si="25"/>
        <v>12433</v>
      </c>
      <c r="Y38" s="43">
        <f t="shared" si="25"/>
        <v>12361</v>
      </c>
      <c r="Z38" s="43">
        <f t="shared" si="25"/>
        <v>11937</v>
      </c>
      <c r="AA38" s="43">
        <f t="shared" si="25"/>
        <v>11672</v>
      </c>
      <c r="AB38" s="43">
        <f t="shared" si="25"/>
        <v>12027</v>
      </c>
      <c r="AC38" s="43">
        <f t="shared" si="25"/>
        <v>11915</v>
      </c>
      <c r="AD38" s="43">
        <f t="shared" si="25"/>
        <v>11810</v>
      </c>
      <c r="AE38" s="43">
        <f t="shared" si="25"/>
        <v>11674</v>
      </c>
      <c r="AF38" s="43">
        <f t="shared" si="25"/>
        <v>11408</v>
      </c>
      <c r="AG38" s="43">
        <f t="shared" si="25"/>
        <v>11151</v>
      </c>
      <c r="AH38" s="43">
        <f t="shared" si="25"/>
        <v>11049</v>
      </c>
      <c r="AI38" s="43">
        <f t="shared" si="25"/>
        <v>10967</v>
      </c>
      <c r="AJ38" s="43">
        <f t="shared" si="25"/>
        <v>10966</v>
      </c>
      <c r="AK38" s="43">
        <f t="shared" si="25"/>
        <v>11496</v>
      </c>
      <c r="AL38" s="43">
        <f t="shared" si="25"/>
        <v>11638</v>
      </c>
      <c r="AM38" s="43">
        <f t="shared" si="25"/>
        <v>12095</v>
      </c>
      <c r="AN38" s="43">
        <f t="shared" si="25"/>
        <v>12025</v>
      </c>
      <c r="AO38" s="43">
        <f t="shared" si="25"/>
        <v>12056</v>
      </c>
      <c r="AP38" s="43">
        <f>SUM(AP40:AP51)</f>
        <v>11989</v>
      </c>
      <c r="AQ38" s="43">
        <f>SUM(AQ40:AQ51)</f>
        <v>12778</v>
      </c>
      <c r="AR38" s="43">
        <f t="shared" ref="AR38:AS38" si="26">SUM(AR40:AR51)</f>
        <v>12745</v>
      </c>
      <c r="AS38" s="43">
        <f t="shared" si="26"/>
        <v>12905</v>
      </c>
      <c r="AT38" s="43">
        <f t="shared" ref="AT38:AW38" si="27">SUM(AT40:AT51)</f>
        <v>12649</v>
      </c>
      <c r="AU38" s="43">
        <f t="shared" si="27"/>
        <v>12392</v>
      </c>
      <c r="AV38" s="43">
        <f t="shared" si="27"/>
        <v>11893</v>
      </c>
      <c r="AW38" s="43">
        <f t="shared" si="27"/>
        <v>11929</v>
      </c>
      <c r="AX38" s="43">
        <f>SUM(AX40:AX51)</f>
        <v>11915</v>
      </c>
      <c r="AY38" s="43">
        <f>SUM(AY40:AY51)</f>
        <v>12189</v>
      </c>
      <c r="AZ38" s="43">
        <f>SUM(AZ40:AZ51)</f>
        <v>11724</v>
      </c>
      <c r="BA38" s="55">
        <f t="shared" si="25"/>
        <v>466</v>
      </c>
      <c r="BB38" s="43">
        <f t="shared" si="25"/>
        <v>554</v>
      </c>
      <c r="BC38" s="43">
        <f t="shared" si="25"/>
        <v>589</v>
      </c>
      <c r="BD38" s="43">
        <f t="shared" si="25"/>
        <v>832</v>
      </c>
      <c r="BE38" s="43">
        <f t="shared" si="25"/>
        <v>1213</v>
      </c>
      <c r="BF38" s="43">
        <f t="shared" si="25"/>
        <v>1699</v>
      </c>
      <c r="BG38" s="43">
        <f t="shared" si="25"/>
        <v>2405</v>
      </c>
      <c r="BH38" s="43">
        <f t="shared" si="25"/>
        <v>3025</v>
      </c>
      <c r="BI38" s="43">
        <f t="shared" si="25"/>
        <v>3683</v>
      </c>
      <c r="BJ38" s="43">
        <f t="shared" si="25"/>
        <v>4181</v>
      </c>
      <c r="BK38" s="43">
        <f t="shared" si="25"/>
        <v>4568</v>
      </c>
      <c r="BL38" s="43">
        <f t="shared" si="25"/>
        <v>4792</v>
      </c>
      <c r="BM38" s="43">
        <f t="shared" si="25"/>
        <v>5176</v>
      </c>
      <c r="BN38" s="43">
        <f t="shared" si="25"/>
        <v>5489</v>
      </c>
      <c r="BO38" s="43">
        <f t="shared" si="25"/>
        <v>5754</v>
      </c>
      <c r="BP38" s="43">
        <f t="shared" si="25"/>
        <v>6281</v>
      </c>
      <c r="BQ38" s="43">
        <f t="shared" si="25"/>
        <v>6333</v>
      </c>
      <c r="BR38" s="43">
        <f t="shared" si="25"/>
        <v>6098</v>
      </c>
      <c r="BS38" s="43">
        <f t="shared" si="25"/>
        <v>6320</v>
      </c>
      <c r="BT38" s="43">
        <f t="shared" si="25"/>
        <v>6356</v>
      </c>
      <c r="BU38" s="43">
        <f t="shared" si="25"/>
        <v>6631</v>
      </c>
      <c r="BV38" s="43">
        <f t="shared" si="25"/>
        <v>7010</v>
      </c>
      <c r="BW38" s="43">
        <f t="shared" si="25"/>
        <v>7227</v>
      </c>
      <c r="BX38" s="43">
        <f t="shared" ref="BX38:CN38" si="28">SUM(BX40:BX51)</f>
        <v>7560</v>
      </c>
      <c r="BY38" s="43">
        <f t="shared" si="28"/>
        <v>7745</v>
      </c>
      <c r="BZ38" s="43">
        <f t="shared" si="28"/>
        <v>7824</v>
      </c>
      <c r="CA38" s="43">
        <f t="shared" si="28"/>
        <v>8152</v>
      </c>
      <c r="CB38" s="43">
        <f t="shared" si="28"/>
        <v>8103</v>
      </c>
      <c r="CC38" s="43">
        <f t="shared" si="28"/>
        <v>8356</v>
      </c>
      <c r="CD38" s="43">
        <f t="shared" si="28"/>
        <v>8474</v>
      </c>
      <c r="CE38" s="43">
        <f t="shared" si="28"/>
        <v>8644</v>
      </c>
      <c r="CF38" s="43">
        <f t="shared" si="28"/>
        <v>9072</v>
      </c>
      <c r="CG38" s="43">
        <f t="shared" si="28"/>
        <v>9210</v>
      </c>
      <c r="CH38" s="43">
        <f t="shared" si="28"/>
        <v>9214</v>
      </c>
      <c r="CI38" s="43">
        <f t="shared" si="28"/>
        <v>9765</v>
      </c>
      <c r="CJ38" s="43">
        <f t="shared" si="28"/>
        <v>10394</v>
      </c>
      <c r="CK38" s="43">
        <f t="shared" si="28"/>
        <v>10880</v>
      </c>
      <c r="CL38" s="43">
        <f t="shared" si="28"/>
        <v>11189</v>
      </c>
      <c r="CM38" s="43">
        <f t="shared" si="28"/>
        <v>11868</v>
      </c>
      <c r="CN38" s="43">
        <f t="shared" si="28"/>
        <v>12435</v>
      </c>
      <c r="CO38" s="43">
        <f>SUM(CO40:CO51)</f>
        <v>13279</v>
      </c>
      <c r="CP38" s="43">
        <f>SUM(CP40:CP51)</f>
        <v>13651</v>
      </c>
      <c r="CQ38" s="43">
        <f>SUM(CQ40:CQ51)</f>
        <v>13721</v>
      </c>
      <c r="CR38" s="43">
        <f>SUM(CR40:CR51)</f>
        <v>13944</v>
      </c>
      <c r="CS38" s="43">
        <f t="shared" ref="CS38:CV38" si="29">SUM(CS40:CS51)</f>
        <v>13955</v>
      </c>
      <c r="CT38" s="43">
        <f t="shared" si="29"/>
        <v>14210</v>
      </c>
      <c r="CU38" s="43">
        <f t="shared" si="29"/>
        <v>14192</v>
      </c>
      <c r="CV38" s="43">
        <f t="shared" si="29"/>
        <v>14576</v>
      </c>
      <c r="CW38" s="43">
        <f>SUM(CW40:CW51)</f>
        <v>14951</v>
      </c>
      <c r="CX38" s="43">
        <f>SUM(CX40:CX51)</f>
        <v>15385</v>
      </c>
      <c r="CY38" s="43">
        <f>SUM(CY40:CY51)</f>
        <v>15863</v>
      </c>
      <c r="CZ38" s="128"/>
    </row>
    <row r="39" spans="1:104">
      <c r="A39" s="44" t="s">
        <v>131</v>
      </c>
      <c r="B39" s="56">
        <f t="shared" ref="B39:BW39" si="30">(B38/B4)*100</f>
        <v>30.129697372796809</v>
      </c>
      <c r="C39" s="45">
        <f t="shared" si="30"/>
        <v>28.753094755795633</v>
      </c>
      <c r="D39" s="45">
        <f t="shared" si="30"/>
        <v>28.212558013898782</v>
      </c>
      <c r="E39" s="45">
        <f t="shared" si="30"/>
        <v>29.209060207791087</v>
      </c>
      <c r="F39" s="45">
        <f t="shared" si="30"/>
        <v>29.295281269317947</v>
      </c>
      <c r="G39" s="45">
        <f t="shared" si="30"/>
        <v>29.873764196421277</v>
      </c>
      <c r="H39" s="45">
        <f t="shared" si="30"/>
        <v>30.537699463056793</v>
      </c>
      <c r="I39" s="45">
        <f t="shared" si="30"/>
        <v>29.883148126933211</v>
      </c>
      <c r="J39" s="45">
        <f t="shared" si="30"/>
        <v>30.80352018366176</v>
      </c>
      <c r="K39" s="45">
        <f t="shared" si="30"/>
        <v>30.469877687457263</v>
      </c>
      <c r="L39" s="45">
        <f t="shared" si="30"/>
        <v>29.998861307219311</v>
      </c>
      <c r="M39" s="45">
        <f t="shared" si="30"/>
        <v>29.23832457953317</v>
      </c>
      <c r="N39" s="45">
        <f t="shared" si="30"/>
        <v>29.008995185945263</v>
      </c>
      <c r="O39" s="45">
        <f t="shared" si="30"/>
        <v>29.452469847723673</v>
      </c>
      <c r="P39" s="45">
        <f t="shared" si="30"/>
        <v>29.049429657794679</v>
      </c>
      <c r="Q39" s="45">
        <f t="shared" si="30"/>
        <v>29.137033652509036</v>
      </c>
      <c r="R39" s="45">
        <f t="shared" si="30"/>
        <v>29.046436856456797</v>
      </c>
      <c r="S39" s="45">
        <f t="shared" si="30"/>
        <v>28.701687827380312</v>
      </c>
      <c r="T39" s="45">
        <f t="shared" si="30"/>
        <v>28.567000265698343</v>
      </c>
      <c r="U39" s="45">
        <f t="shared" si="30"/>
        <v>28.434447929876082</v>
      </c>
      <c r="V39" s="45">
        <f t="shared" si="30"/>
        <v>28.209748420500425</v>
      </c>
      <c r="W39" s="45">
        <f t="shared" si="30"/>
        <v>28.040440083258993</v>
      </c>
      <c r="X39" s="45">
        <f t="shared" si="30"/>
        <v>27.670702394729812</v>
      </c>
      <c r="Y39" s="45">
        <f t="shared" si="30"/>
        <v>27.443884460824581</v>
      </c>
      <c r="Z39" s="45">
        <f t="shared" si="30"/>
        <v>26.772978064863413</v>
      </c>
      <c r="AA39" s="45">
        <f t="shared" si="30"/>
        <v>26.093760479309651</v>
      </c>
      <c r="AB39" s="45">
        <f t="shared" si="30"/>
        <v>26.950656567920046</v>
      </c>
      <c r="AC39" s="45">
        <f t="shared" si="30"/>
        <v>26.21908282721591</v>
      </c>
      <c r="AD39" s="45">
        <f t="shared" si="30"/>
        <v>26.296452984792147</v>
      </c>
      <c r="AE39" s="45">
        <f t="shared" si="30"/>
        <v>26.328965470578947</v>
      </c>
      <c r="AF39" s="45">
        <f t="shared" si="30"/>
        <v>25.78720133818576</v>
      </c>
      <c r="AG39" s="45">
        <f t="shared" si="30"/>
        <v>26.016051514161731</v>
      </c>
      <c r="AH39" s="45">
        <f t="shared" si="30"/>
        <v>25.993365798574352</v>
      </c>
      <c r="AI39" s="45">
        <f t="shared" si="30"/>
        <v>26.182347745123785</v>
      </c>
      <c r="AJ39" s="45">
        <f t="shared" si="30"/>
        <v>26.004885105172043</v>
      </c>
      <c r="AK39" s="45">
        <f t="shared" si="30"/>
        <v>26.217245547218866</v>
      </c>
      <c r="AL39" s="45">
        <f t="shared" si="30"/>
        <v>26.427176529361006</v>
      </c>
      <c r="AM39" s="45">
        <f t="shared" si="30"/>
        <v>26.843775661939322</v>
      </c>
      <c r="AN39" s="45">
        <f t="shared" si="30"/>
        <v>26.408257384429561</v>
      </c>
      <c r="AO39" s="45">
        <f t="shared" si="30"/>
        <v>25.772799179101284</v>
      </c>
      <c r="AP39" s="45">
        <f>(AP38/AP4)*100</f>
        <v>25.607672262804904</v>
      </c>
      <c r="AQ39" s="45">
        <f>(AQ38/AQ4)*100</f>
        <v>26.196773069274453</v>
      </c>
      <c r="AR39" s="45">
        <f t="shared" ref="AR39:AS39" si="31">(AR38/AR4)*100</f>
        <v>25.084138636855673</v>
      </c>
      <c r="AS39" s="45">
        <f t="shared" si="31"/>
        <v>24.91649450697971</v>
      </c>
      <c r="AT39" s="45">
        <f t="shared" ref="AT39:AW39" si="32">(AT38/AT4)*100</f>
        <v>24.730194729021662</v>
      </c>
      <c r="AU39" s="45">
        <f t="shared" si="32"/>
        <v>24.893031477873084</v>
      </c>
      <c r="AV39" s="45">
        <f t="shared" si="32"/>
        <v>24.476229676888249</v>
      </c>
      <c r="AW39" s="45">
        <f t="shared" si="32"/>
        <v>24.550318995678122</v>
      </c>
      <c r="AX39" s="45">
        <f>(AX38/AX4)*100</f>
        <v>24.427997375758569</v>
      </c>
      <c r="AY39" s="45">
        <f>(AY38/AY4)*100</f>
        <v>25.043660495983232</v>
      </c>
      <c r="AZ39" s="45">
        <f>(AZ38/AZ4)*100</f>
        <v>24.209635120903627</v>
      </c>
      <c r="BA39" s="56">
        <f t="shared" si="30"/>
        <v>25.312330255296033</v>
      </c>
      <c r="BB39" s="45">
        <f t="shared" si="30"/>
        <v>23.064113238967526</v>
      </c>
      <c r="BC39" s="45">
        <f t="shared" si="30"/>
        <v>21.91220238095238</v>
      </c>
      <c r="BD39" s="45">
        <f t="shared" si="30"/>
        <v>23.576083876452252</v>
      </c>
      <c r="BE39" s="45">
        <f t="shared" si="30"/>
        <v>22.947408248202798</v>
      </c>
      <c r="BF39" s="45">
        <f t="shared" si="30"/>
        <v>24.410919540229887</v>
      </c>
      <c r="BG39" s="45">
        <f t="shared" si="30"/>
        <v>24.648969970277747</v>
      </c>
      <c r="BH39" s="45">
        <f t="shared" si="30"/>
        <v>25.239883187317481</v>
      </c>
      <c r="BI39" s="45">
        <f t="shared" si="30"/>
        <v>25.73544825658584</v>
      </c>
      <c r="BJ39" s="45">
        <f t="shared" si="30"/>
        <v>25.815016053346508</v>
      </c>
      <c r="BK39" s="45">
        <f t="shared" si="30"/>
        <v>26.236287404514385</v>
      </c>
      <c r="BL39" s="45">
        <f t="shared" si="30"/>
        <v>25.02349869451697</v>
      </c>
      <c r="BM39" s="45">
        <f t="shared" si="30"/>
        <v>26.154623547246086</v>
      </c>
      <c r="BN39" s="45">
        <f t="shared" si="30"/>
        <v>25.20664952240999</v>
      </c>
      <c r="BO39" s="45">
        <f t="shared" si="30"/>
        <v>24.950134420258433</v>
      </c>
      <c r="BP39" s="45">
        <f t="shared" si="30"/>
        <v>25.560574614414193</v>
      </c>
      <c r="BQ39" s="45">
        <f t="shared" si="30"/>
        <v>25.728214503351616</v>
      </c>
      <c r="BR39" s="45">
        <f t="shared" si="30"/>
        <v>24.321952776005105</v>
      </c>
      <c r="BS39" s="45">
        <f t="shared" si="30"/>
        <v>25.177276711019044</v>
      </c>
      <c r="BT39" s="45">
        <f t="shared" si="30"/>
        <v>24.772000935380778</v>
      </c>
      <c r="BU39" s="45">
        <f t="shared" si="30"/>
        <v>24.564718085500481</v>
      </c>
      <c r="BV39" s="45">
        <f t="shared" si="30"/>
        <v>24.964387464387464</v>
      </c>
      <c r="BW39" s="45">
        <f t="shared" si="30"/>
        <v>24.89064921646289</v>
      </c>
      <c r="BX39" s="45">
        <f t="shared" ref="BX39:CN39" si="33">(BX38/BX4)*100</f>
        <v>25.040575005796427</v>
      </c>
      <c r="BY39" s="45">
        <f t="shared" si="33"/>
        <v>25.24692766567787</v>
      </c>
      <c r="BZ39" s="45">
        <f t="shared" si="33"/>
        <v>25.310559006211182</v>
      </c>
      <c r="CA39" s="45">
        <f t="shared" si="33"/>
        <v>25.513269904857289</v>
      </c>
      <c r="CB39" s="45">
        <f t="shared" si="33"/>
        <v>24.464102409274801</v>
      </c>
      <c r="CC39" s="45">
        <f t="shared" si="33"/>
        <v>24.804820850773297</v>
      </c>
      <c r="CD39" s="45">
        <f t="shared" si="33"/>
        <v>24.850439882697948</v>
      </c>
      <c r="CE39" s="45">
        <f t="shared" si="33"/>
        <v>24.133117426992015</v>
      </c>
      <c r="CF39" s="45">
        <f t="shared" si="33"/>
        <v>24.622065409146423</v>
      </c>
      <c r="CG39" s="45">
        <f t="shared" si="33"/>
        <v>24.115629336754733</v>
      </c>
      <c r="CH39" s="45">
        <f t="shared" si="33"/>
        <v>23.61958472186619</v>
      </c>
      <c r="CI39" s="45">
        <f t="shared" si="33"/>
        <v>23.891661773341163</v>
      </c>
      <c r="CJ39" s="45">
        <f t="shared" si="33"/>
        <v>23.927255985267035</v>
      </c>
      <c r="CK39" s="45">
        <f t="shared" si="33"/>
        <v>24.944402411903617</v>
      </c>
      <c r="CL39" s="45">
        <f t="shared" si="33"/>
        <v>24.860577243539893</v>
      </c>
      <c r="CM39" s="45">
        <f t="shared" si="33"/>
        <v>25.49516648764769</v>
      </c>
      <c r="CN39" s="45">
        <f t="shared" si="33"/>
        <v>25.823936203351817</v>
      </c>
      <c r="CO39" s="45">
        <f>(CO38/CO4)*100</f>
        <v>25.249567416478101</v>
      </c>
      <c r="CP39" s="45">
        <f>(CP38/CP4)*100</f>
        <v>25.262787771115551</v>
      </c>
      <c r="CQ39" s="45">
        <f>(CQ38/CQ4)*100</f>
        <v>24.538154765098273</v>
      </c>
      <c r="CR39" s="45">
        <f>(CR38/CR4)*100</f>
        <v>24.413901777116344</v>
      </c>
      <c r="CS39" s="45">
        <f t="shared" ref="CS39:CV39" si="34">(CS38/CS4)*100</f>
        <v>24.318201620632571</v>
      </c>
      <c r="CT39" s="45">
        <f t="shared" si="34"/>
        <v>24.439743391293877</v>
      </c>
      <c r="CU39" s="45">
        <f t="shared" si="34"/>
        <v>24.554482854077996</v>
      </c>
      <c r="CV39" s="45">
        <f t="shared" si="34"/>
        <v>24.398245790231329</v>
      </c>
      <c r="CW39" s="45">
        <f>(CW38/CW4)*100</f>
        <v>24.65981625954576</v>
      </c>
      <c r="CX39" s="45">
        <f>(CX38/CX4)*100</f>
        <v>24.434597547805094</v>
      </c>
      <c r="CY39" s="45">
        <f>(CY38/CY4)*100</f>
        <v>24.161513388369329</v>
      </c>
      <c r="CZ39" s="45"/>
    </row>
    <row r="40" spans="1:104">
      <c r="A40" s="42" t="s">
        <v>51</v>
      </c>
      <c r="B40" s="57">
        <v>2138</v>
      </c>
      <c r="C40" s="46">
        <v>2305</v>
      </c>
      <c r="D40" s="46">
        <v>2694</v>
      </c>
      <c r="E40" s="46">
        <v>2901</v>
      </c>
      <c r="F40" s="46">
        <v>3146</v>
      </c>
      <c r="G40" s="46">
        <v>3263</v>
      </c>
      <c r="H40" s="46">
        <v>3677</v>
      </c>
      <c r="I40" s="46">
        <v>3439</v>
      </c>
      <c r="J40" s="46">
        <v>3782</v>
      </c>
      <c r="K40" s="46">
        <v>3635</v>
      </c>
      <c r="L40" s="46">
        <v>3459</v>
      </c>
      <c r="M40" s="46">
        <v>3356</v>
      </c>
      <c r="N40" s="46">
        <v>3405</v>
      </c>
      <c r="O40" s="46">
        <v>3282</v>
      </c>
      <c r="P40" s="46">
        <v>3245</v>
      </c>
      <c r="Q40" s="46">
        <v>3209</v>
      </c>
      <c r="R40" s="46">
        <v>3153</v>
      </c>
      <c r="S40" s="46">
        <v>3029</v>
      </c>
      <c r="T40" s="46">
        <v>2901</v>
      </c>
      <c r="U40" s="46">
        <v>2907</v>
      </c>
      <c r="V40" s="46">
        <v>2784</v>
      </c>
      <c r="W40" s="46">
        <v>2767</v>
      </c>
      <c r="X40" s="46">
        <v>2720</v>
      </c>
      <c r="Y40" s="46">
        <v>2721</v>
      </c>
      <c r="Z40" s="46">
        <v>2521</v>
      </c>
      <c r="AA40" s="46">
        <v>2595</v>
      </c>
      <c r="AB40" s="46">
        <v>2674</v>
      </c>
      <c r="AC40" s="46">
        <v>2572</v>
      </c>
      <c r="AD40" s="46">
        <v>2605</v>
      </c>
      <c r="AE40" s="46">
        <v>2621</v>
      </c>
      <c r="AF40" s="46">
        <v>2508</v>
      </c>
      <c r="AG40" s="46">
        <v>2432</v>
      </c>
      <c r="AH40" s="46">
        <v>2399</v>
      </c>
      <c r="AI40" s="46">
        <v>2366</v>
      </c>
      <c r="AJ40" s="46">
        <v>2234</v>
      </c>
      <c r="AK40" s="46">
        <v>2332</v>
      </c>
      <c r="AL40" s="46">
        <v>2371</v>
      </c>
      <c r="AM40" s="46">
        <v>2487</v>
      </c>
      <c r="AN40" s="46">
        <v>2502</v>
      </c>
      <c r="AO40" s="46">
        <v>2406</v>
      </c>
      <c r="AP40" s="46">
        <v>2280</v>
      </c>
      <c r="AQ40" s="46">
        <v>2370</v>
      </c>
      <c r="AR40" s="46">
        <v>2482</v>
      </c>
      <c r="AS40" s="46">
        <v>2600</v>
      </c>
      <c r="AT40" s="46">
        <v>2443</v>
      </c>
      <c r="AU40" s="46">
        <v>2516</v>
      </c>
      <c r="AV40" s="1">
        <v>2475</v>
      </c>
      <c r="AW40" s="1">
        <v>2408</v>
      </c>
      <c r="AX40" s="1">
        <v>2374</v>
      </c>
      <c r="AY40" s="1">
        <v>2338</v>
      </c>
      <c r="AZ40" s="1">
        <v>2213</v>
      </c>
      <c r="BA40" s="57">
        <v>116</v>
      </c>
      <c r="BB40" s="46">
        <v>156</v>
      </c>
      <c r="BC40" s="46">
        <v>138</v>
      </c>
      <c r="BD40" s="46">
        <v>215</v>
      </c>
      <c r="BE40" s="46">
        <v>312</v>
      </c>
      <c r="BF40" s="46">
        <v>368</v>
      </c>
      <c r="BG40" s="46">
        <v>585</v>
      </c>
      <c r="BH40" s="46">
        <v>664</v>
      </c>
      <c r="BI40" s="46">
        <v>861</v>
      </c>
      <c r="BJ40" s="46">
        <v>1035</v>
      </c>
      <c r="BK40" s="46">
        <v>1073</v>
      </c>
      <c r="BL40" s="46">
        <v>1115</v>
      </c>
      <c r="BM40" s="46">
        <v>1148</v>
      </c>
      <c r="BN40" s="46">
        <v>1186</v>
      </c>
      <c r="BO40" s="46">
        <v>1334</v>
      </c>
      <c r="BP40" s="46">
        <v>1470</v>
      </c>
      <c r="BQ40" s="46">
        <v>1399</v>
      </c>
      <c r="BR40" s="46">
        <v>1400</v>
      </c>
      <c r="BS40" s="46">
        <v>1452</v>
      </c>
      <c r="BT40" s="46">
        <v>1497</v>
      </c>
      <c r="BU40" s="46">
        <v>1628</v>
      </c>
      <c r="BV40" s="46">
        <v>1709</v>
      </c>
      <c r="BW40" s="46">
        <v>1644</v>
      </c>
      <c r="BX40" s="46">
        <v>1689</v>
      </c>
      <c r="BY40" s="46">
        <v>1800</v>
      </c>
      <c r="BZ40" s="46">
        <v>1765</v>
      </c>
      <c r="CA40" s="46">
        <v>1961</v>
      </c>
      <c r="CB40" s="46">
        <v>1859</v>
      </c>
      <c r="CC40" s="46">
        <v>1903</v>
      </c>
      <c r="CD40" s="46">
        <v>1905</v>
      </c>
      <c r="CE40" s="46">
        <v>1962</v>
      </c>
      <c r="CF40" s="46">
        <v>2059</v>
      </c>
      <c r="CG40" s="46">
        <v>2102</v>
      </c>
      <c r="CH40" s="46">
        <v>1993</v>
      </c>
      <c r="CI40" s="46">
        <v>2188</v>
      </c>
      <c r="CJ40" s="46">
        <v>2241</v>
      </c>
      <c r="CK40" s="46">
        <v>2277</v>
      </c>
      <c r="CL40" s="46">
        <v>2366</v>
      </c>
      <c r="CM40" s="46">
        <v>2456</v>
      </c>
      <c r="CN40" s="46">
        <v>2600</v>
      </c>
      <c r="CO40" s="46">
        <v>2704</v>
      </c>
      <c r="CP40" s="1">
        <v>2655</v>
      </c>
      <c r="CQ40" s="1">
        <v>2725</v>
      </c>
      <c r="CR40" s="1">
        <v>2834</v>
      </c>
      <c r="CS40" s="1">
        <v>2911</v>
      </c>
      <c r="CT40" s="1">
        <v>3047</v>
      </c>
      <c r="CU40" s="1">
        <v>3219</v>
      </c>
      <c r="CV40" s="1">
        <v>3254</v>
      </c>
      <c r="CW40" s="1">
        <v>3214</v>
      </c>
      <c r="CX40" s="1">
        <v>3328</v>
      </c>
      <c r="CY40" s="1">
        <v>3573</v>
      </c>
    </row>
    <row r="41" spans="1:104">
      <c r="A41" s="42" t="s">
        <v>52</v>
      </c>
      <c r="B41" s="57">
        <v>855</v>
      </c>
      <c r="C41" s="46">
        <v>827</v>
      </c>
      <c r="D41" s="46">
        <v>542</v>
      </c>
      <c r="E41" s="46">
        <v>1242</v>
      </c>
      <c r="F41" s="46">
        <v>1298</v>
      </c>
      <c r="G41" s="46">
        <v>1065</v>
      </c>
      <c r="H41" s="46">
        <v>1124</v>
      </c>
      <c r="I41" s="46">
        <v>1234</v>
      </c>
      <c r="J41" s="46">
        <v>1230</v>
      </c>
      <c r="K41" s="46">
        <v>1136</v>
      </c>
      <c r="L41" s="46">
        <v>1155</v>
      </c>
      <c r="M41" s="46">
        <v>1198</v>
      </c>
      <c r="N41" s="46">
        <v>1176</v>
      </c>
      <c r="O41" s="46">
        <v>1143</v>
      </c>
      <c r="P41" s="46">
        <v>1194</v>
      </c>
      <c r="Q41" s="46">
        <v>1088</v>
      </c>
      <c r="R41" s="46">
        <v>1030</v>
      </c>
      <c r="S41" s="46">
        <v>1048</v>
      </c>
      <c r="T41" s="46">
        <v>966</v>
      </c>
      <c r="U41" s="46">
        <v>992</v>
      </c>
      <c r="V41" s="46">
        <v>928</v>
      </c>
      <c r="W41" s="46">
        <v>913</v>
      </c>
      <c r="X41" s="46">
        <v>952</v>
      </c>
      <c r="Y41" s="46">
        <v>932</v>
      </c>
      <c r="Z41" s="46">
        <v>870</v>
      </c>
      <c r="AA41" s="46">
        <v>874</v>
      </c>
      <c r="AB41" s="46">
        <v>904</v>
      </c>
      <c r="AC41" s="46">
        <v>845</v>
      </c>
      <c r="AD41" s="46">
        <v>844</v>
      </c>
      <c r="AE41" s="46">
        <v>818</v>
      </c>
      <c r="AF41" s="46">
        <v>867</v>
      </c>
      <c r="AG41" s="46">
        <v>874</v>
      </c>
      <c r="AH41" s="46">
        <v>881</v>
      </c>
      <c r="AI41" s="46">
        <v>910</v>
      </c>
      <c r="AJ41" s="46">
        <v>830</v>
      </c>
      <c r="AK41" s="46">
        <v>892</v>
      </c>
      <c r="AL41" s="46">
        <v>850</v>
      </c>
      <c r="AM41" s="46">
        <v>937</v>
      </c>
      <c r="AN41" s="46">
        <v>951</v>
      </c>
      <c r="AO41" s="46">
        <v>900</v>
      </c>
      <c r="AP41" s="46">
        <v>872</v>
      </c>
      <c r="AQ41" s="46">
        <v>910</v>
      </c>
      <c r="AR41" s="46">
        <v>921</v>
      </c>
      <c r="AS41" s="46">
        <v>897</v>
      </c>
      <c r="AT41" s="46">
        <v>869</v>
      </c>
      <c r="AU41" s="46">
        <v>857</v>
      </c>
      <c r="AV41" s="1">
        <v>826</v>
      </c>
      <c r="AW41" s="1">
        <v>964</v>
      </c>
      <c r="AX41" s="1">
        <v>946</v>
      </c>
      <c r="AY41" s="1">
        <v>917</v>
      </c>
      <c r="AZ41" s="1">
        <v>917</v>
      </c>
      <c r="BA41" s="57">
        <v>51</v>
      </c>
      <c r="BB41" s="46">
        <v>39</v>
      </c>
      <c r="BC41" s="46">
        <v>31</v>
      </c>
      <c r="BD41" s="46">
        <v>87</v>
      </c>
      <c r="BE41" s="46">
        <v>95</v>
      </c>
      <c r="BF41" s="46">
        <v>141</v>
      </c>
      <c r="BG41" s="46">
        <v>183</v>
      </c>
      <c r="BH41" s="46">
        <v>252</v>
      </c>
      <c r="BI41" s="46">
        <v>271</v>
      </c>
      <c r="BJ41" s="46">
        <v>290</v>
      </c>
      <c r="BK41" s="46">
        <v>358</v>
      </c>
      <c r="BL41" s="46">
        <v>324</v>
      </c>
      <c r="BM41" s="46">
        <v>361</v>
      </c>
      <c r="BN41" s="46">
        <v>412</v>
      </c>
      <c r="BO41" s="46">
        <v>425</v>
      </c>
      <c r="BP41" s="46">
        <v>457</v>
      </c>
      <c r="BQ41" s="46">
        <v>446</v>
      </c>
      <c r="BR41" s="46">
        <v>470</v>
      </c>
      <c r="BS41" s="46">
        <v>456</v>
      </c>
      <c r="BT41" s="46">
        <v>450</v>
      </c>
      <c r="BU41" s="46">
        <v>492</v>
      </c>
      <c r="BV41" s="46">
        <v>471</v>
      </c>
      <c r="BW41" s="46">
        <v>560</v>
      </c>
      <c r="BX41" s="46">
        <v>564</v>
      </c>
      <c r="BY41" s="46">
        <v>584</v>
      </c>
      <c r="BZ41" s="46">
        <v>611</v>
      </c>
      <c r="CA41" s="46">
        <v>600</v>
      </c>
      <c r="CB41" s="46">
        <v>600</v>
      </c>
      <c r="CC41" s="46">
        <v>655</v>
      </c>
      <c r="CD41" s="46">
        <v>653</v>
      </c>
      <c r="CE41" s="46">
        <v>671</v>
      </c>
      <c r="CF41" s="46">
        <v>722</v>
      </c>
      <c r="CG41" s="46">
        <v>730</v>
      </c>
      <c r="CH41" s="46">
        <v>737</v>
      </c>
      <c r="CI41" s="46">
        <v>834</v>
      </c>
      <c r="CJ41" s="46">
        <v>872</v>
      </c>
      <c r="CK41" s="46">
        <v>835</v>
      </c>
      <c r="CL41" s="46">
        <v>870</v>
      </c>
      <c r="CM41" s="46">
        <v>943</v>
      </c>
      <c r="CN41" s="46">
        <v>972</v>
      </c>
      <c r="CO41" s="46">
        <v>944</v>
      </c>
      <c r="CP41" s="1">
        <v>1005</v>
      </c>
      <c r="CQ41" s="1">
        <v>979</v>
      </c>
      <c r="CR41" s="1">
        <v>943</v>
      </c>
      <c r="CS41" s="1">
        <v>1004</v>
      </c>
      <c r="CT41" s="1">
        <v>1034</v>
      </c>
      <c r="CU41" s="1">
        <v>1094</v>
      </c>
      <c r="CV41" s="1">
        <v>1183</v>
      </c>
      <c r="CW41" s="1">
        <v>1249</v>
      </c>
      <c r="CX41" s="1">
        <v>1384</v>
      </c>
      <c r="CY41" s="1">
        <v>1304</v>
      </c>
    </row>
    <row r="42" spans="1:104">
      <c r="A42" s="42" t="s">
        <v>53</v>
      </c>
      <c r="B42" s="57">
        <v>512</v>
      </c>
      <c r="C42" s="46">
        <v>578</v>
      </c>
      <c r="D42" s="46">
        <v>672</v>
      </c>
      <c r="E42" s="46">
        <v>679</v>
      </c>
      <c r="F42" s="46">
        <v>817</v>
      </c>
      <c r="G42" s="46">
        <v>1246</v>
      </c>
      <c r="H42" s="46">
        <v>1382</v>
      </c>
      <c r="I42" s="46">
        <v>1399</v>
      </c>
      <c r="J42" s="46">
        <v>1375</v>
      </c>
      <c r="K42" s="46">
        <v>1222</v>
      </c>
      <c r="L42" s="46">
        <v>1395</v>
      </c>
      <c r="M42" s="46">
        <v>1289</v>
      </c>
      <c r="N42" s="46">
        <v>1059</v>
      </c>
      <c r="O42" s="46">
        <v>1204</v>
      </c>
      <c r="P42" s="46">
        <v>1204</v>
      </c>
      <c r="Q42" s="46">
        <v>1220</v>
      </c>
      <c r="R42" s="46">
        <v>1204</v>
      </c>
      <c r="S42" s="46">
        <v>966</v>
      </c>
      <c r="T42" s="46">
        <v>1081</v>
      </c>
      <c r="U42" s="46">
        <v>1047</v>
      </c>
      <c r="V42" s="46">
        <v>1029</v>
      </c>
      <c r="W42" s="46">
        <v>1044</v>
      </c>
      <c r="X42" s="46">
        <v>989</v>
      </c>
      <c r="Y42" s="46">
        <v>996</v>
      </c>
      <c r="Z42" s="46">
        <v>959</v>
      </c>
      <c r="AA42" s="46">
        <v>969</v>
      </c>
      <c r="AB42" s="46">
        <v>1041</v>
      </c>
      <c r="AC42" s="46">
        <v>1094</v>
      </c>
      <c r="AD42" s="46">
        <v>977</v>
      </c>
      <c r="AE42" s="46">
        <v>926</v>
      </c>
      <c r="AF42" s="46">
        <v>937</v>
      </c>
      <c r="AG42" s="46">
        <v>914</v>
      </c>
      <c r="AH42" s="46">
        <v>908</v>
      </c>
      <c r="AI42" s="46">
        <v>864</v>
      </c>
      <c r="AJ42" s="46">
        <v>883</v>
      </c>
      <c r="AK42" s="46">
        <v>899</v>
      </c>
      <c r="AL42" s="46">
        <v>921</v>
      </c>
      <c r="AM42" s="46">
        <v>921</v>
      </c>
      <c r="AN42" s="46">
        <v>910</v>
      </c>
      <c r="AO42" s="46">
        <v>1057</v>
      </c>
      <c r="AP42" s="46">
        <v>1048</v>
      </c>
      <c r="AQ42" s="46">
        <v>1229</v>
      </c>
      <c r="AR42" s="46">
        <v>1079</v>
      </c>
      <c r="AS42" s="46">
        <v>1087</v>
      </c>
      <c r="AT42" s="46">
        <v>1043</v>
      </c>
      <c r="AU42" s="46">
        <v>1052</v>
      </c>
      <c r="AV42" s="1">
        <v>961</v>
      </c>
      <c r="AW42" s="1">
        <v>1000</v>
      </c>
      <c r="AX42" s="1">
        <v>997</v>
      </c>
      <c r="AY42" s="1">
        <v>976</v>
      </c>
      <c r="AZ42" s="1">
        <v>915</v>
      </c>
      <c r="BA42" s="57">
        <v>14</v>
      </c>
      <c r="BB42" s="46">
        <v>20</v>
      </c>
      <c r="BC42" s="46">
        <v>29</v>
      </c>
      <c r="BD42" s="46">
        <v>54</v>
      </c>
      <c r="BE42" s="46">
        <v>59</v>
      </c>
      <c r="BF42" s="46">
        <v>101</v>
      </c>
      <c r="BG42" s="46">
        <v>168</v>
      </c>
      <c r="BH42" s="46">
        <v>184</v>
      </c>
      <c r="BI42" s="46">
        <v>217</v>
      </c>
      <c r="BJ42" s="46">
        <v>206</v>
      </c>
      <c r="BK42" s="46">
        <v>280</v>
      </c>
      <c r="BL42" s="46">
        <v>298</v>
      </c>
      <c r="BM42" s="46">
        <v>304</v>
      </c>
      <c r="BN42" s="46">
        <v>340</v>
      </c>
      <c r="BO42" s="46">
        <v>380</v>
      </c>
      <c r="BP42" s="46">
        <v>430</v>
      </c>
      <c r="BQ42" s="46">
        <v>457</v>
      </c>
      <c r="BR42" s="46">
        <v>349</v>
      </c>
      <c r="BS42" s="46">
        <v>437</v>
      </c>
      <c r="BT42" s="46">
        <v>442</v>
      </c>
      <c r="BU42" s="46">
        <v>398</v>
      </c>
      <c r="BV42" s="46">
        <v>418</v>
      </c>
      <c r="BW42" s="46">
        <v>504</v>
      </c>
      <c r="BX42" s="46">
        <v>538</v>
      </c>
      <c r="BY42" s="46">
        <v>483</v>
      </c>
      <c r="BZ42" s="46">
        <v>566</v>
      </c>
      <c r="CA42" s="46">
        <v>557</v>
      </c>
      <c r="CB42" s="46">
        <v>598</v>
      </c>
      <c r="CC42" s="46">
        <v>589</v>
      </c>
      <c r="CD42" s="46">
        <v>622</v>
      </c>
      <c r="CE42" s="46">
        <v>632</v>
      </c>
      <c r="CF42" s="46">
        <v>708</v>
      </c>
      <c r="CG42" s="46">
        <v>672</v>
      </c>
      <c r="CH42" s="46">
        <v>715</v>
      </c>
      <c r="CI42" s="46">
        <v>643</v>
      </c>
      <c r="CJ42" s="46">
        <v>784</v>
      </c>
      <c r="CK42" s="46">
        <v>811</v>
      </c>
      <c r="CL42" s="46">
        <v>859</v>
      </c>
      <c r="CM42" s="46">
        <v>868</v>
      </c>
      <c r="CN42" s="46">
        <v>907</v>
      </c>
      <c r="CO42" s="46">
        <v>965</v>
      </c>
      <c r="CP42" s="1">
        <v>1064</v>
      </c>
      <c r="CQ42" s="1">
        <v>1029</v>
      </c>
      <c r="CR42" s="1">
        <v>1007</v>
      </c>
      <c r="CS42" s="1">
        <v>1024</v>
      </c>
      <c r="CT42" s="1">
        <v>985</v>
      </c>
      <c r="CU42" s="1">
        <v>936</v>
      </c>
      <c r="CV42" s="1">
        <v>1003</v>
      </c>
      <c r="CW42" s="1">
        <v>1037</v>
      </c>
      <c r="CX42" s="1">
        <v>993</v>
      </c>
      <c r="CY42" s="1">
        <v>1006</v>
      </c>
    </row>
    <row r="43" spans="1:104">
      <c r="A43" s="42" t="s">
        <v>54</v>
      </c>
      <c r="B43" s="57">
        <v>367</v>
      </c>
      <c r="C43" s="46">
        <v>364</v>
      </c>
      <c r="D43" s="46">
        <v>435</v>
      </c>
      <c r="E43" s="46">
        <v>481</v>
      </c>
      <c r="F43" s="46">
        <v>547</v>
      </c>
      <c r="G43" s="46">
        <v>489</v>
      </c>
      <c r="H43" s="46">
        <v>585</v>
      </c>
      <c r="I43" s="46">
        <v>509</v>
      </c>
      <c r="J43" s="46">
        <v>532</v>
      </c>
      <c r="K43" s="46">
        <v>580</v>
      </c>
      <c r="L43" s="46">
        <v>499</v>
      </c>
      <c r="M43" s="46">
        <v>422</v>
      </c>
      <c r="N43" s="46">
        <v>518</v>
      </c>
      <c r="O43" s="46">
        <v>501</v>
      </c>
      <c r="P43" s="46">
        <v>487</v>
      </c>
      <c r="Q43" s="46">
        <v>479</v>
      </c>
      <c r="R43" s="46">
        <v>438</v>
      </c>
      <c r="S43" s="46">
        <v>426</v>
      </c>
      <c r="T43" s="46">
        <v>405</v>
      </c>
      <c r="U43" s="46">
        <v>402</v>
      </c>
      <c r="V43" s="46">
        <v>368</v>
      </c>
      <c r="W43" s="46">
        <v>387</v>
      </c>
      <c r="X43" s="46">
        <v>374</v>
      </c>
      <c r="Y43" s="46">
        <v>355</v>
      </c>
      <c r="Z43" s="46">
        <v>373</v>
      </c>
      <c r="AA43" s="46">
        <v>359</v>
      </c>
      <c r="AB43" s="46">
        <v>355</v>
      </c>
      <c r="AC43" s="46">
        <v>333</v>
      </c>
      <c r="AD43" s="46">
        <v>343</v>
      </c>
      <c r="AE43" s="46">
        <v>368</v>
      </c>
      <c r="AF43" s="46">
        <v>381</v>
      </c>
      <c r="AG43" s="46">
        <v>334</v>
      </c>
      <c r="AH43" s="46">
        <v>381</v>
      </c>
      <c r="AI43" s="46">
        <v>342</v>
      </c>
      <c r="AJ43" s="46">
        <v>368</v>
      </c>
      <c r="AK43" s="46">
        <v>383</v>
      </c>
      <c r="AL43" s="46">
        <v>366</v>
      </c>
      <c r="AM43" s="46">
        <v>447</v>
      </c>
      <c r="AN43" s="46">
        <v>434</v>
      </c>
      <c r="AO43" s="46">
        <v>420</v>
      </c>
      <c r="AP43" s="46">
        <v>450</v>
      </c>
      <c r="AQ43" s="46">
        <v>430</v>
      </c>
      <c r="AR43" s="46">
        <v>444</v>
      </c>
      <c r="AS43" s="46">
        <v>432</v>
      </c>
      <c r="AT43" s="46">
        <v>448</v>
      </c>
      <c r="AU43" s="46">
        <v>500</v>
      </c>
      <c r="AV43" s="1">
        <v>437</v>
      </c>
      <c r="AW43" s="1">
        <v>450</v>
      </c>
      <c r="AX43" s="1">
        <v>454</v>
      </c>
      <c r="AY43" s="1">
        <v>449</v>
      </c>
      <c r="AZ43" s="1">
        <v>433</v>
      </c>
      <c r="BA43" s="57">
        <v>12</v>
      </c>
      <c r="BB43" s="46">
        <v>23</v>
      </c>
      <c r="BC43" s="46">
        <v>17</v>
      </c>
      <c r="BD43" s="46">
        <v>28</v>
      </c>
      <c r="BE43" s="46">
        <v>45</v>
      </c>
      <c r="BF43" s="46">
        <v>74</v>
      </c>
      <c r="BG43" s="46">
        <v>90</v>
      </c>
      <c r="BH43" s="46">
        <v>107</v>
      </c>
      <c r="BI43" s="46">
        <v>128</v>
      </c>
      <c r="BJ43" s="46">
        <v>145</v>
      </c>
      <c r="BK43" s="46">
        <v>144</v>
      </c>
      <c r="BL43" s="46">
        <v>149</v>
      </c>
      <c r="BM43" s="46">
        <v>169</v>
      </c>
      <c r="BN43" s="46">
        <v>173</v>
      </c>
      <c r="BO43" s="46">
        <v>230</v>
      </c>
      <c r="BP43" s="46">
        <v>233</v>
      </c>
      <c r="BQ43" s="46">
        <v>227</v>
      </c>
      <c r="BR43" s="46">
        <v>229</v>
      </c>
      <c r="BS43" s="46">
        <v>223</v>
      </c>
      <c r="BT43" s="46">
        <v>188</v>
      </c>
      <c r="BU43" s="46">
        <v>198</v>
      </c>
      <c r="BV43" s="46">
        <v>242</v>
      </c>
      <c r="BW43" s="46">
        <v>240</v>
      </c>
      <c r="BX43" s="46">
        <v>246</v>
      </c>
      <c r="BY43" s="46">
        <v>246</v>
      </c>
      <c r="BZ43" s="46">
        <v>232</v>
      </c>
      <c r="CA43" s="46">
        <v>257</v>
      </c>
      <c r="CB43" s="46">
        <v>248</v>
      </c>
      <c r="CC43" s="46">
        <v>241</v>
      </c>
      <c r="CD43" s="46">
        <v>308</v>
      </c>
      <c r="CE43" s="46">
        <v>304</v>
      </c>
      <c r="CF43" s="46">
        <v>338</v>
      </c>
      <c r="CG43" s="46">
        <v>320</v>
      </c>
      <c r="CH43" s="46">
        <v>324</v>
      </c>
      <c r="CI43" s="46">
        <v>373</v>
      </c>
      <c r="CJ43" s="46">
        <v>384</v>
      </c>
      <c r="CK43" s="46">
        <v>396</v>
      </c>
      <c r="CL43" s="46">
        <v>390</v>
      </c>
      <c r="CM43" s="46">
        <v>400</v>
      </c>
      <c r="CN43" s="46">
        <v>447</v>
      </c>
      <c r="CO43" s="46">
        <v>453</v>
      </c>
      <c r="CP43" s="1">
        <v>502</v>
      </c>
      <c r="CQ43" s="1">
        <v>494</v>
      </c>
      <c r="CR43" s="1">
        <v>456</v>
      </c>
      <c r="CS43" s="1">
        <v>458</v>
      </c>
      <c r="CT43" s="1">
        <v>537</v>
      </c>
      <c r="CU43" s="1">
        <v>526</v>
      </c>
      <c r="CV43" s="1">
        <v>529</v>
      </c>
      <c r="CW43" s="1">
        <v>575</v>
      </c>
      <c r="CX43" s="1">
        <v>575</v>
      </c>
      <c r="CY43" s="1">
        <v>652</v>
      </c>
    </row>
    <row r="44" spans="1:104">
      <c r="A44" s="42" t="s">
        <v>55</v>
      </c>
      <c r="B44" s="57">
        <v>1329</v>
      </c>
      <c r="C44" s="46">
        <v>1388</v>
      </c>
      <c r="D44" s="46">
        <v>1565</v>
      </c>
      <c r="E44" s="46">
        <v>1760</v>
      </c>
      <c r="F44" s="46">
        <v>1824</v>
      </c>
      <c r="G44" s="46">
        <v>1802</v>
      </c>
      <c r="H44" s="46">
        <v>1976</v>
      </c>
      <c r="I44" s="46">
        <v>1943</v>
      </c>
      <c r="J44" s="46">
        <v>2042</v>
      </c>
      <c r="K44" s="46">
        <v>2089</v>
      </c>
      <c r="L44" s="46">
        <v>2040</v>
      </c>
      <c r="M44" s="46">
        <v>1975</v>
      </c>
      <c r="N44" s="46">
        <v>1935</v>
      </c>
      <c r="O44" s="46">
        <v>1931</v>
      </c>
      <c r="P44" s="46">
        <v>1823</v>
      </c>
      <c r="Q44" s="46">
        <v>1871</v>
      </c>
      <c r="R44" s="46">
        <v>1810</v>
      </c>
      <c r="S44" s="46">
        <v>1699</v>
      </c>
      <c r="T44" s="46">
        <v>1542</v>
      </c>
      <c r="U44" s="46">
        <v>1389</v>
      </c>
      <c r="V44" s="46">
        <v>1544</v>
      </c>
      <c r="W44" s="46">
        <v>1577</v>
      </c>
      <c r="X44" s="46">
        <v>1622</v>
      </c>
      <c r="Y44" s="46">
        <v>1620</v>
      </c>
      <c r="Z44" s="46">
        <v>1659</v>
      </c>
      <c r="AA44" s="46">
        <v>1469</v>
      </c>
      <c r="AB44" s="46">
        <v>1577</v>
      </c>
      <c r="AC44" s="46">
        <v>1552</v>
      </c>
      <c r="AD44" s="46">
        <v>1470</v>
      </c>
      <c r="AE44" s="46">
        <v>1431</v>
      </c>
      <c r="AF44" s="46">
        <v>1304</v>
      </c>
      <c r="AG44" s="46">
        <v>1324</v>
      </c>
      <c r="AH44" s="46">
        <v>1330</v>
      </c>
      <c r="AI44" s="46">
        <v>1350</v>
      </c>
      <c r="AJ44" s="46">
        <v>1418</v>
      </c>
      <c r="AK44" s="46">
        <v>1605</v>
      </c>
      <c r="AL44" s="46">
        <v>1719</v>
      </c>
      <c r="AM44" s="46">
        <v>1731</v>
      </c>
      <c r="AN44" s="46">
        <v>1831</v>
      </c>
      <c r="AO44" s="46">
        <v>1829</v>
      </c>
      <c r="AP44" s="46">
        <v>1801</v>
      </c>
      <c r="AQ44" s="46">
        <v>1898</v>
      </c>
      <c r="AR44" s="46">
        <v>1921</v>
      </c>
      <c r="AS44" s="46">
        <v>1929</v>
      </c>
      <c r="AT44" s="46">
        <v>1881</v>
      </c>
      <c r="AU44" s="46">
        <v>1786</v>
      </c>
      <c r="AV44" s="1">
        <v>1599</v>
      </c>
      <c r="AW44" s="1">
        <v>1630</v>
      </c>
      <c r="AX44" s="1">
        <v>1635</v>
      </c>
      <c r="AY44" s="1">
        <v>1661</v>
      </c>
      <c r="AZ44" s="1">
        <v>1656</v>
      </c>
      <c r="BA44" s="57">
        <v>79</v>
      </c>
      <c r="BB44" s="46">
        <v>93</v>
      </c>
      <c r="BC44" s="46">
        <v>118</v>
      </c>
      <c r="BD44" s="46">
        <v>126</v>
      </c>
      <c r="BE44" s="46">
        <v>168</v>
      </c>
      <c r="BF44" s="46">
        <v>270</v>
      </c>
      <c r="BG44" s="46">
        <v>378</v>
      </c>
      <c r="BH44" s="46">
        <v>430</v>
      </c>
      <c r="BI44" s="46">
        <v>559</v>
      </c>
      <c r="BJ44" s="46">
        <v>613</v>
      </c>
      <c r="BK44" s="46">
        <v>665</v>
      </c>
      <c r="BL44" s="46">
        <v>663</v>
      </c>
      <c r="BM44" s="46">
        <v>696</v>
      </c>
      <c r="BN44" s="46">
        <v>745</v>
      </c>
      <c r="BO44" s="46">
        <v>734</v>
      </c>
      <c r="BP44" s="46">
        <v>851</v>
      </c>
      <c r="BQ44" s="46">
        <v>887</v>
      </c>
      <c r="BR44" s="46">
        <v>805</v>
      </c>
      <c r="BS44" s="46">
        <v>799</v>
      </c>
      <c r="BT44" s="46">
        <v>823</v>
      </c>
      <c r="BU44" s="46">
        <v>874</v>
      </c>
      <c r="BV44" s="46">
        <v>959</v>
      </c>
      <c r="BW44" s="46">
        <v>953</v>
      </c>
      <c r="BX44" s="46">
        <v>961</v>
      </c>
      <c r="BY44" s="46">
        <v>1087</v>
      </c>
      <c r="BZ44" s="46">
        <v>1027</v>
      </c>
      <c r="CA44" s="46">
        <v>1001</v>
      </c>
      <c r="CB44" s="46">
        <v>1062</v>
      </c>
      <c r="CC44" s="46">
        <v>1072</v>
      </c>
      <c r="CD44" s="46">
        <v>1032</v>
      </c>
      <c r="CE44" s="46">
        <v>1050</v>
      </c>
      <c r="CF44" s="46">
        <v>1047</v>
      </c>
      <c r="CG44" s="46">
        <v>1110</v>
      </c>
      <c r="CH44" s="46">
        <v>1131</v>
      </c>
      <c r="CI44" s="46">
        <v>1298</v>
      </c>
      <c r="CJ44" s="46">
        <v>1337</v>
      </c>
      <c r="CK44" s="46">
        <v>1538</v>
      </c>
      <c r="CL44" s="46">
        <v>1619</v>
      </c>
      <c r="CM44" s="46">
        <v>1794</v>
      </c>
      <c r="CN44" s="46">
        <v>1786</v>
      </c>
      <c r="CO44" s="46">
        <v>1907</v>
      </c>
      <c r="CP44" s="1">
        <v>2000</v>
      </c>
      <c r="CQ44" s="1">
        <v>1944</v>
      </c>
      <c r="CR44" s="1">
        <v>2074</v>
      </c>
      <c r="CS44" s="1">
        <v>1985</v>
      </c>
      <c r="CT44" s="1">
        <v>1891</v>
      </c>
      <c r="CU44" s="1">
        <v>1832</v>
      </c>
      <c r="CV44" s="1">
        <v>1829</v>
      </c>
      <c r="CW44" s="1">
        <v>1942</v>
      </c>
      <c r="CX44" s="1">
        <v>1870</v>
      </c>
      <c r="CY44" s="1">
        <v>2002</v>
      </c>
    </row>
    <row r="45" spans="1:104">
      <c r="A45" s="42" t="s">
        <v>56</v>
      </c>
      <c r="B45" s="57">
        <v>754</v>
      </c>
      <c r="C45" s="46">
        <v>704</v>
      </c>
      <c r="D45" s="46">
        <v>839</v>
      </c>
      <c r="E45" s="46">
        <v>834</v>
      </c>
      <c r="F45" s="46">
        <v>898</v>
      </c>
      <c r="G45" s="46">
        <v>978</v>
      </c>
      <c r="H45" s="46">
        <v>1147</v>
      </c>
      <c r="I45" s="46">
        <v>1160</v>
      </c>
      <c r="J45" s="46">
        <v>1160</v>
      </c>
      <c r="K45" s="46">
        <v>1310</v>
      </c>
      <c r="L45" s="46">
        <v>1153</v>
      </c>
      <c r="M45" s="46">
        <v>1205</v>
      </c>
      <c r="N45" s="46">
        <v>1236</v>
      </c>
      <c r="O45" s="46">
        <v>1138</v>
      </c>
      <c r="P45" s="46">
        <v>1046</v>
      </c>
      <c r="Q45" s="46">
        <v>1082</v>
      </c>
      <c r="R45" s="46">
        <v>1019</v>
      </c>
      <c r="S45" s="46">
        <v>972</v>
      </c>
      <c r="T45" s="46">
        <v>969</v>
      </c>
      <c r="U45" s="46">
        <v>911</v>
      </c>
      <c r="V45" s="46">
        <v>989</v>
      </c>
      <c r="W45" s="46">
        <v>864</v>
      </c>
      <c r="X45" s="46">
        <v>1143</v>
      </c>
      <c r="Y45" s="46">
        <v>1134</v>
      </c>
      <c r="Z45" s="46">
        <v>884</v>
      </c>
      <c r="AA45" s="46">
        <v>848</v>
      </c>
      <c r="AB45" s="46">
        <v>824</v>
      </c>
      <c r="AC45" s="46">
        <v>837</v>
      </c>
      <c r="AD45" s="46">
        <v>919</v>
      </c>
      <c r="AE45" s="46">
        <v>849</v>
      </c>
      <c r="AF45" s="46">
        <v>849</v>
      </c>
      <c r="AG45" s="46">
        <v>856</v>
      </c>
      <c r="AH45" s="46">
        <v>760</v>
      </c>
      <c r="AI45" s="46">
        <v>809</v>
      </c>
      <c r="AJ45" s="46">
        <v>798</v>
      </c>
      <c r="AK45" s="46">
        <v>896</v>
      </c>
      <c r="AL45" s="46">
        <v>858</v>
      </c>
      <c r="AM45" s="46">
        <v>929</v>
      </c>
      <c r="AN45" s="46">
        <v>876</v>
      </c>
      <c r="AO45" s="46">
        <v>891</v>
      </c>
      <c r="AP45" s="46">
        <v>909</v>
      </c>
      <c r="AQ45" s="46">
        <v>922</v>
      </c>
      <c r="AR45" s="46">
        <v>882</v>
      </c>
      <c r="AS45" s="46">
        <v>985</v>
      </c>
      <c r="AT45" s="46">
        <v>916</v>
      </c>
      <c r="AU45" s="46">
        <v>849</v>
      </c>
      <c r="AV45" s="1">
        <v>836</v>
      </c>
      <c r="AW45" s="1">
        <v>783</v>
      </c>
      <c r="AX45" s="1">
        <v>776</v>
      </c>
      <c r="AY45" s="1">
        <v>799</v>
      </c>
      <c r="AZ45" s="1">
        <v>806</v>
      </c>
      <c r="BA45" s="57">
        <v>31</v>
      </c>
      <c r="BB45" s="46">
        <v>34</v>
      </c>
      <c r="BC45" s="46">
        <v>41</v>
      </c>
      <c r="BD45" s="46">
        <v>44</v>
      </c>
      <c r="BE45" s="46">
        <v>84</v>
      </c>
      <c r="BF45" s="46">
        <v>89</v>
      </c>
      <c r="BG45" s="46">
        <v>153</v>
      </c>
      <c r="BH45" s="46">
        <v>252</v>
      </c>
      <c r="BI45" s="46">
        <v>294</v>
      </c>
      <c r="BJ45" s="46">
        <v>344</v>
      </c>
      <c r="BK45" s="46">
        <v>348</v>
      </c>
      <c r="BL45" s="46">
        <v>417</v>
      </c>
      <c r="BM45" s="46">
        <v>520</v>
      </c>
      <c r="BN45" s="46">
        <v>478</v>
      </c>
      <c r="BO45" s="46">
        <v>507</v>
      </c>
      <c r="BP45" s="46">
        <v>509</v>
      </c>
      <c r="BQ45" s="46">
        <v>561</v>
      </c>
      <c r="BR45" s="46">
        <v>557</v>
      </c>
      <c r="BS45" s="46">
        <v>591</v>
      </c>
      <c r="BT45" s="46">
        <v>575</v>
      </c>
      <c r="BU45" s="46">
        <v>572</v>
      </c>
      <c r="BV45" s="46">
        <v>590</v>
      </c>
      <c r="BW45" s="46">
        <v>686</v>
      </c>
      <c r="BX45" s="46">
        <v>720</v>
      </c>
      <c r="BY45" s="46">
        <v>652</v>
      </c>
      <c r="BZ45" s="46">
        <v>690</v>
      </c>
      <c r="CA45" s="46">
        <v>673</v>
      </c>
      <c r="CB45" s="46">
        <v>748</v>
      </c>
      <c r="CC45" s="46">
        <v>747</v>
      </c>
      <c r="CD45" s="46">
        <v>675</v>
      </c>
      <c r="CE45" s="46">
        <v>686</v>
      </c>
      <c r="CF45" s="46">
        <v>712</v>
      </c>
      <c r="CG45" s="46">
        <v>761</v>
      </c>
      <c r="CH45" s="46">
        <v>787</v>
      </c>
      <c r="CI45" s="46">
        <v>861</v>
      </c>
      <c r="CJ45" s="46">
        <v>863</v>
      </c>
      <c r="CK45" s="46">
        <v>909</v>
      </c>
      <c r="CL45" s="46">
        <v>990</v>
      </c>
      <c r="CM45" s="46">
        <v>1007</v>
      </c>
      <c r="CN45" s="46">
        <v>1101</v>
      </c>
      <c r="CO45" s="46">
        <v>1057</v>
      </c>
      <c r="CP45" s="1">
        <v>1080</v>
      </c>
      <c r="CQ45" s="1">
        <v>1124</v>
      </c>
      <c r="CR45" s="1">
        <v>1159</v>
      </c>
      <c r="CS45" s="1">
        <v>1186</v>
      </c>
      <c r="CT45" s="1">
        <v>1141</v>
      </c>
      <c r="CU45" s="1">
        <v>1070</v>
      </c>
      <c r="CV45" s="1">
        <v>1108</v>
      </c>
      <c r="CW45" s="1">
        <v>1088</v>
      </c>
      <c r="CX45" s="1">
        <v>1133</v>
      </c>
      <c r="CY45" s="1">
        <v>1261</v>
      </c>
    </row>
    <row r="46" spans="1:104">
      <c r="A46" s="42" t="s">
        <v>57</v>
      </c>
      <c r="B46" s="57">
        <v>1338</v>
      </c>
      <c r="C46" s="46">
        <v>1357</v>
      </c>
      <c r="D46" s="46">
        <v>1515</v>
      </c>
      <c r="E46" s="46">
        <v>1841</v>
      </c>
      <c r="F46" s="46">
        <v>1744</v>
      </c>
      <c r="G46" s="46">
        <v>1775</v>
      </c>
      <c r="H46" s="46">
        <v>1889</v>
      </c>
      <c r="I46" s="46">
        <v>1861</v>
      </c>
      <c r="J46" s="46">
        <v>1810</v>
      </c>
      <c r="K46" s="46">
        <v>1886</v>
      </c>
      <c r="L46" s="46">
        <v>1935</v>
      </c>
      <c r="M46" s="46">
        <v>1888</v>
      </c>
      <c r="N46" s="46">
        <v>1860</v>
      </c>
      <c r="O46" s="46">
        <v>1939</v>
      </c>
      <c r="P46" s="46">
        <v>1868</v>
      </c>
      <c r="Q46" s="46">
        <v>1803</v>
      </c>
      <c r="R46" s="46">
        <v>1852</v>
      </c>
      <c r="S46" s="46">
        <v>1683</v>
      </c>
      <c r="T46" s="46">
        <v>1639</v>
      </c>
      <c r="U46" s="46">
        <v>1662</v>
      </c>
      <c r="V46" s="46">
        <v>1594</v>
      </c>
      <c r="W46" s="46">
        <v>1496</v>
      </c>
      <c r="X46" s="46">
        <v>1466</v>
      </c>
      <c r="Y46" s="46">
        <v>1454</v>
      </c>
      <c r="Z46" s="46">
        <v>1468</v>
      </c>
      <c r="AA46" s="46">
        <v>1507</v>
      </c>
      <c r="AB46" s="46">
        <v>1549</v>
      </c>
      <c r="AC46" s="46">
        <v>1546</v>
      </c>
      <c r="AD46" s="46">
        <v>1566</v>
      </c>
      <c r="AE46" s="46">
        <v>1646</v>
      </c>
      <c r="AF46" s="46">
        <v>1591</v>
      </c>
      <c r="AG46" s="46">
        <v>1505</v>
      </c>
      <c r="AH46" s="46">
        <v>1453</v>
      </c>
      <c r="AI46" s="46">
        <v>1503</v>
      </c>
      <c r="AJ46" s="46">
        <v>1531</v>
      </c>
      <c r="AK46" s="46">
        <v>1514</v>
      </c>
      <c r="AL46" s="46">
        <v>1543</v>
      </c>
      <c r="AM46" s="46">
        <v>1616</v>
      </c>
      <c r="AN46" s="46">
        <v>1466</v>
      </c>
      <c r="AO46" s="46">
        <v>1425</v>
      </c>
      <c r="AP46" s="46">
        <v>1599</v>
      </c>
      <c r="AQ46" s="46">
        <v>1659</v>
      </c>
      <c r="AR46" s="46">
        <v>1664</v>
      </c>
      <c r="AS46" s="46">
        <v>1616</v>
      </c>
      <c r="AT46" s="46">
        <v>1631</v>
      </c>
      <c r="AU46" s="46">
        <v>1494</v>
      </c>
      <c r="AV46" s="1">
        <v>1522</v>
      </c>
      <c r="AW46" s="1">
        <v>1561</v>
      </c>
      <c r="AX46" s="1">
        <v>1533</v>
      </c>
      <c r="AY46" s="1">
        <v>1650</v>
      </c>
      <c r="AZ46" s="1">
        <v>1514</v>
      </c>
      <c r="BA46" s="57">
        <v>53</v>
      </c>
      <c r="BB46" s="46">
        <v>48</v>
      </c>
      <c r="BC46" s="46">
        <v>78</v>
      </c>
      <c r="BD46" s="46">
        <v>83</v>
      </c>
      <c r="BE46" s="46">
        <v>136</v>
      </c>
      <c r="BF46" s="46">
        <v>179</v>
      </c>
      <c r="BG46" s="46">
        <v>218</v>
      </c>
      <c r="BH46" s="46">
        <v>259</v>
      </c>
      <c r="BI46" s="46">
        <v>367</v>
      </c>
      <c r="BJ46" s="46">
        <v>390</v>
      </c>
      <c r="BK46" s="46">
        <v>398</v>
      </c>
      <c r="BL46" s="46">
        <v>433</v>
      </c>
      <c r="BM46" s="46">
        <v>495</v>
      </c>
      <c r="BN46" s="46">
        <v>600</v>
      </c>
      <c r="BO46" s="46">
        <v>568</v>
      </c>
      <c r="BP46" s="46">
        <v>606</v>
      </c>
      <c r="BQ46" s="46">
        <v>618</v>
      </c>
      <c r="BR46" s="46">
        <v>592</v>
      </c>
      <c r="BS46" s="46">
        <v>625</v>
      </c>
      <c r="BT46" s="46">
        <v>638</v>
      </c>
      <c r="BU46" s="46">
        <v>689</v>
      </c>
      <c r="BV46" s="46">
        <v>690</v>
      </c>
      <c r="BW46" s="46">
        <v>691</v>
      </c>
      <c r="BX46" s="46">
        <v>717</v>
      </c>
      <c r="BY46" s="46">
        <v>738</v>
      </c>
      <c r="BZ46" s="46">
        <v>789</v>
      </c>
      <c r="CA46" s="46">
        <v>828</v>
      </c>
      <c r="CB46" s="46">
        <v>820</v>
      </c>
      <c r="CC46" s="46">
        <v>828</v>
      </c>
      <c r="CD46" s="46">
        <v>918</v>
      </c>
      <c r="CE46" s="46">
        <v>982</v>
      </c>
      <c r="CF46" s="46">
        <v>975</v>
      </c>
      <c r="CG46" s="46">
        <v>967</v>
      </c>
      <c r="CH46" s="46">
        <v>987</v>
      </c>
      <c r="CI46" s="46">
        <v>1026</v>
      </c>
      <c r="CJ46" s="46">
        <v>1111</v>
      </c>
      <c r="CK46" s="46">
        <v>1166</v>
      </c>
      <c r="CL46" s="46">
        <v>1186</v>
      </c>
      <c r="CM46" s="46">
        <v>1285</v>
      </c>
      <c r="CN46" s="46">
        <v>1378</v>
      </c>
      <c r="CO46" s="46">
        <v>1828</v>
      </c>
      <c r="CP46" s="1">
        <v>1764</v>
      </c>
      <c r="CQ46" s="1">
        <v>1672</v>
      </c>
      <c r="CR46" s="1">
        <v>1762</v>
      </c>
      <c r="CS46" s="1">
        <v>1621</v>
      </c>
      <c r="CT46" s="1">
        <v>1693</v>
      </c>
      <c r="CU46" s="1">
        <v>1581</v>
      </c>
      <c r="CV46" s="1">
        <v>1711</v>
      </c>
      <c r="CW46" s="1">
        <v>1708</v>
      </c>
      <c r="CX46" s="1">
        <v>1783</v>
      </c>
      <c r="CY46" s="1">
        <v>1720</v>
      </c>
    </row>
    <row r="47" spans="1:104">
      <c r="A47" s="42" t="s">
        <v>58</v>
      </c>
      <c r="B47" s="57">
        <v>395</v>
      </c>
      <c r="C47" s="46">
        <v>386</v>
      </c>
      <c r="D47" s="46">
        <v>503</v>
      </c>
      <c r="E47" s="46">
        <v>571</v>
      </c>
      <c r="F47" s="46">
        <v>622</v>
      </c>
      <c r="G47" s="46">
        <v>651</v>
      </c>
      <c r="H47" s="46">
        <v>661</v>
      </c>
      <c r="I47" s="46">
        <v>615</v>
      </c>
      <c r="J47" s="46">
        <v>574</v>
      </c>
      <c r="K47" s="46">
        <v>658</v>
      </c>
      <c r="L47" s="46">
        <v>596</v>
      </c>
      <c r="M47" s="46">
        <v>553</v>
      </c>
      <c r="N47" s="46">
        <v>607</v>
      </c>
      <c r="O47" s="46">
        <v>565</v>
      </c>
      <c r="P47" s="46">
        <v>555</v>
      </c>
      <c r="Q47" s="46">
        <v>534</v>
      </c>
      <c r="R47" s="46">
        <v>540</v>
      </c>
      <c r="S47" s="46">
        <v>516</v>
      </c>
      <c r="T47" s="46">
        <v>493</v>
      </c>
      <c r="U47" s="46">
        <v>517</v>
      </c>
      <c r="V47" s="46">
        <v>438</v>
      </c>
      <c r="W47" s="46">
        <v>472</v>
      </c>
      <c r="X47" s="46">
        <v>480</v>
      </c>
      <c r="Y47" s="46">
        <v>492</v>
      </c>
      <c r="Z47" s="46">
        <v>513</v>
      </c>
      <c r="AA47" s="46">
        <v>482</v>
      </c>
      <c r="AB47" s="46">
        <v>492</v>
      </c>
      <c r="AC47" s="46">
        <v>474</v>
      </c>
      <c r="AD47" s="46">
        <v>447</v>
      </c>
      <c r="AE47" s="46">
        <v>438</v>
      </c>
      <c r="AF47" s="46">
        <v>454</v>
      </c>
      <c r="AG47" s="46">
        <v>424</v>
      </c>
      <c r="AH47" s="46">
        <v>426</v>
      </c>
      <c r="AI47" s="46">
        <v>435</v>
      </c>
      <c r="AJ47" s="46">
        <v>442</v>
      </c>
      <c r="AK47" s="46">
        <v>432</v>
      </c>
      <c r="AL47" s="46">
        <v>438</v>
      </c>
      <c r="AM47" s="46">
        <v>442</v>
      </c>
      <c r="AN47" s="46">
        <v>441</v>
      </c>
      <c r="AO47" s="46">
        <v>489</v>
      </c>
      <c r="AP47" s="46">
        <v>471</v>
      </c>
      <c r="AQ47" s="46">
        <v>483</v>
      </c>
      <c r="AR47" s="46">
        <v>488</v>
      </c>
      <c r="AS47" s="46">
        <v>495</v>
      </c>
      <c r="AT47" s="46">
        <v>534</v>
      </c>
      <c r="AU47" s="46">
        <v>535</v>
      </c>
      <c r="AV47" s="1">
        <v>534</v>
      </c>
      <c r="AW47" s="1">
        <v>502</v>
      </c>
      <c r="AX47" s="1">
        <v>468</v>
      </c>
      <c r="AY47" s="1">
        <v>563</v>
      </c>
      <c r="AZ47" s="1">
        <v>481</v>
      </c>
      <c r="BA47" s="57">
        <v>12</v>
      </c>
      <c r="BB47" s="46">
        <v>16</v>
      </c>
      <c r="BC47" s="46">
        <v>14</v>
      </c>
      <c r="BD47" s="46">
        <v>12</v>
      </c>
      <c r="BE47" s="46">
        <v>35</v>
      </c>
      <c r="BF47" s="46">
        <v>65</v>
      </c>
      <c r="BG47" s="46">
        <v>87</v>
      </c>
      <c r="BH47" s="46">
        <v>101</v>
      </c>
      <c r="BI47" s="46">
        <v>106</v>
      </c>
      <c r="BJ47" s="46">
        <v>151</v>
      </c>
      <c r="BK47" s="46">
        <v>180</v>
      </c>
      <c r="BL47" s="46">
        <v>168</v>
      </c>
      <c r="BM47" s="46">
        <v>201</v>
      </c>
      <c r="BN47" s="46">
        <v>200</v>
      </c>
      <c r="BO47" s="46">
        <v>217</v>
      </c>
      <c r="BP47" s="46">
        <v>208</v>
      </c>
      <c r="BQ47" s="46">
        <v>215</v>
      </c>
      <c r="BR47" s="46">
        <v>236</v>
      </c>
      <c r="BS47" s="46">
        <v>213</v>
      </c>
      <c r="BT47" s="46">
        <v>210</v>
      </c>
      <c r="BU47" s="46">
        <v>220</v>
      </c>
      <c r="BV47" s="46">
        <v>264</v>
      </c>
      <c r="BW47" s="46">
        <v>252</v>
      </c>
      <c r="BX47" s="46">
        <v>314</v>
      </c>
      <c r="BY47" s="46">
        <v>298</v>
      </c>
      <c r="BZ47" s="46">
        <v>343</v>
      </c>
      <c r="CA47" s="46">
        <v>334</v>
      </c>
      <c r="CB47" s="46">
        <v>315</v>
      </c>
      <c r="CC47" s="46">
        <v>317</v>
      </c>
      <c r="CD47" s="46">
        <v>337</v>
      </c>
      <c r="CE47" s="46">
        <v>340</v>
      </c>
      <c r="CF47" s="46">
        <v>369</v>
      </c>
      <c r="CG47" s="46">
        <v>369</v>
      </c>
      <c r="CH47" s="46">
        <v>374</v>
      </c>
      <c r="CI47" s="46">
        <v>371</v>
      </c>
      <c r="CJ47" s="46">
        <v>432</v>
      </c>
      <c r="CK47" s="46">
        <v>440</v>
      </c>
      <c r="CL47" s="46">
        <v>428</v>
      </c>
      <c r="CM47" s="46">
        <v>534</v>
      </c>
      <c r="CN47" s="46">
        <v>506</v>
      </c>
      <c r="CO47" s="46">
        <v>554</v>
      </c>
      <c r="CP47" s="1">
        <v>518</v>
      </c>
      <c r="CQ47" s="1">
        <v>566</v>
      </c>
      <c r="CR47" s="1">
        <v>556</v>
      </c>
      <c r="CS47" s="1">
        <v>562</v>
      </c>
      <c r="CT47" s="1">
        <v>592</v>
      </c>
      <c r="CU47" s="1">
        <v>719</v>
      </c>
      <c r="CV47" s="1">
        <v>651</v>
      </c>
      <c r="CW47" s="1">
        <v>677</v>
      </c>
      <c r="CX47" s="1">
        <v>692</v>
      </c>
      <c r="CY47" s="1">
        <v>671</v>
      </c>
    </row>
    <row r="48" spans="1:104">
      <c r="A48" s="42" t="s">
        <v>59</v>
      </c>
      <c r="B48" s="57">
        <v>37</v>
      </c>
      <c r="C48" s="46">
        <v>31</v>
      </c>
      <c r="D48" s="46">
        <v>46</v>
      </c>
      <c r="E48" s="46">
        <v>63</v>
      </c>
      <c r="F48" s="46">
        <v>56</v>
      </c>
      <c r="G48" s="46">
        <v>41</v>
      </c>
      <c r="H48" s="46">
        <v>129</v>
      </c>
      <c r="I48" s="46">
        <v>97</v>
      </c>
      <c r="J48" s="46">
        <v>79</v>
      </c>
      <c r="K48" s="46">
        <v>113</v>
      </c>
      <c r="L48" s="46">
        <v>87</v>
      </c>
      <c r="M48" s="46">
        <v>94</v>
      </c>
      <c r="N48" s="46">
        <v>101</v>
      </c>
      <c r="O48" s="46">
        <v>98</v>
      </c>
      <c r="P48" s="46">
        <v>96</v>
      </c>
      <c r="Q48" s="46">
        <v>107</v>
      </c>
      <c r="R48" s="46">
        <v>94</v>
      </c>
      <c r="S48" s="46">
        <v>83</v>
      </c>
      <c r="T48" s="46">
        <v>77</v>
      </c>
      <c r="U48" s="46">
        <v>72</v>
      </c>
      <c r="V48" s="46">
        <v>70</v>
      </c>
      <c r="W48" s="46">
        <v>79</v>
      </c>
      <c r="X48" s="46">
        <v>86</v>
      </c>
      <c r="Y48" s="46">
        <v>91</v>
      </c>
      <c r="Z48" s="46">
        <v>108</v>
      </c>
      <c r="AA48" s="46">
        <v>114</v>
      </c>
      <c r="AB48" s="46">
        <v>87</v>
      </c>
      <c r="AC48" s="46">
        <v>114</v>
      </c>
      <c r="AD48" s="46">
        <v>93</v>
      </c>
      <c r="AE48" s="46">
        <v>107</v>
      </c>
      <c r="AF48" s="46">
        <v>95</v>
      </c>
      <c r="AG48" s="46">
        <v>75</v>
      </c>
      <c r="AH48" s="46">
        <v>90</v>
      </c>
      <c r="AI48" s="46">
        <v>76</v>
      </c>
      <c r="AJ48" s="46">
        <v>89</v>
      </c>
      <c r="AK48" s="46">
        <v>75</v>
      </c>
      <c r="AL48" s="46">
        <v>77</v>
      </c>
      <c r="AM48" s="46">
        <v>101</v>
      </c>
      <c r="AN48" s="46">
        <v>117</v>
      </c>
      <c r="AO48" s="46">
        <v>118</v>
      </c>
      <c r="AP48" s="46">
        <v>144</v>
      </c>
      <c r="AQ48" s="46">
        <v>143</v>
      </c>
      <c r="AR48" s="46">
        <v>137</v>
      </c>
      <c r="AS48" s="46">
        <v>120</v>
      </c>
      <c r="AT48" s="46">
        <v>124</v>
      </c>
      <c r="AU48" s="46">
        <v>139</v>
      </c>
      <c r="AV48" s="1">
        <v>160</v>
      </c>
      <c r="AW48" s="1">
        <v>133</v>
      </c>
      <c r="AX48" s="1">
        <v>176</v>
      </c>
      <c r="AY48" s="1">
        <v>158</v>
      </c>
      <c r="AZ48" s="1">
        <v>163</v>
      </c>
      <c r="BA48" s="57">
        <v>0</v>
      </c>
      <c r="BB48" s="46">
        <v>3</v>
      </c>
      <c r="BC48" s="46">
        <v>0</v>
      </c>
      <c r="BD48" s="46">
        <v>0</v>
      </c>
      <c r="BE48" s="46">
        <v>5</v>
      </c>
      <c r="BF48" s="46">
        <v>6</v>
      </c>
      <c r="BG48" s="46">
        <v>14</v>
      </c>
      <c r="BH48" s="46">
        <v>21</v>
      </c>
      <c r="BI48" s="46">
        <v>17</v>
      </c>
      <c r="BJ48" s="46">
        <v>24</v>
      </c>
      <c r="BK48" s="46">
        <v>24</v>
      </c>
      <c r="BL48" s="46">
        <v>24</v>
      </c>
      <c r="BM48" s="46">
        <v>25</v>
      </c>
      <c r="BN48" s="46">
        <v>34</v>
      </c>
      <c r="BO48" s="46">
        <v>34</v>
      </c>
      <c r="BP48" s="46">
        <v>50</v>
      </c>
      <c r="BQ48" s="46">
        <v>40</v>
      </c>
      <c r="BR48" s="46">
        <v>34</v>
      </c>
      <c r="BS48" s="46">
        <v>37</v>
      </c>
      <c r="BT48" s="46">
        <v>43</v>
      </c>
      <c r="BU48" s="46">
        <v>39</v>
      </c>
      <c r="BV48" s="46">
        <v>54</v>
      </c>
      <c r="BW48" s="46">
        <v>41</v>
      </c>
      <c r="BX48" s="46">
        <v>51</v>
      </c>
      <c r="BY48" s="46">
        <v>81</v>
      </c>
      <c r="BZ48" s="46">
        <v>73</v>
      </c>
      <c r="CA48" s="46">
        <v>86</v>
      </c>
      <c r="CB48" s="46">
        <v>77</v>
      </c>
      <c r="CC48" s="46">
        <v>85</v>
      </c>
      <c r="CD48" s="46">
        <v>69</v>
      </c>
      <c r="CE48" s="46">
        <v>96</v>
      </c>
      <c r="CF48" s="46">
        <v>93</v>
      </c>
      <c r="CG48" s="46">
        <v>91</v>
      </c>
      <c r="CH48" s="46">
        <v>104</v>
      </c>
      <c r="CI48" s="46">
        <v>92</v>
      </c>
      <c r="CJ48" s="46">
        <v>103</v>
      </c>
      <c r="CK48" s="46">
        <v>129</v>
      </c>
      <c r="CL48" s="46">
        <v>107</v>
      </c>
      <c r="CM48" s="46">
        <v>141</v>
      </c>
      <c r="CN48" s="46">
        <v>134</v>
      </c>
      <c r="CO48" s="46">
        <v>167</v>
      </c>
      <c r="CP48" s="1">
        <v>174</v>
      </c>
      <c r="CQ48" s="1">
        <v>192</v>
      </c>
      <c r="CR48" s="1">
        <v>192</v>
      </c>
      <c r="CS48" s="1">
        <v>182</v>
      </c>
      <c r="CT48" s="1">
        <v>179</v>
      </c>
      <c r="CU48" s="1">
        <v>183</v>
      </c>
      <c r="CV48" s="1">
        <v>201</v>
      </c>
      <c r="CW48" s="1">
        <v>224</v>
      </c>
      <c r="CX48" s="1">
        <v>245</v>
      </c>
      <c r="CY48" s="1">
        <v>200</v>
      </c>
    </row>
    <row r="49" spans="1:104">
      <c r="A49" s="42" t="s">
        <v>60</v>
      </c>
      <c r="B49" s="57">
        <v>1699</v>
      </c>
      <c r="C49" s="46">
        <v>1642</v>
      </c>
      <c r="D49" s="46">
        <v>1964</v>
      </c>
      <c r="E49" s="46">
        <v>2452</v>
      </c>
      <c r="F49" s="46">
        <v>2418</v>
      </c>
      <c r="G49" s="46">
        <v>2509</v>
      </c>
      <c r="H49" s="46">
        <v>2768</v>
      </c>
      <c r="I49" s="46">
        <v>2599</v>
      </c>
      <c r="J49" s="46">
        <v>2704</v>
      </c>
      <c r="K49" s="46">
        <v>2596</v>
      </c>
      <c r="L49" s="46">
        <v>2696</v>
      </c>
      <c r="M49" s="46">
        <v>2632</v>
      </c>
      <c r="N49" s="46">
        <v>2410</v>
      </c>
      <c r="O49" s="46">
        <v>2526</v>
      </c>
      <c r="P49" s="46">
        <v>2588</v>
      </c>
      <c r="Q49" s="46">
        <v>2509</v>
      </c>
      <c r="R49" s="46">
        <v>2386</v>
      </c>
      <c r="S49" s="46">
        <v>2255</v>
      </c>
      <c r="T49" s="46">
        <v>2097</v>
      </c>
      <c r="U49" s="46">
        <v>2135</v>
      </c>
      <c r="V49" s="46">
        <v>1930</v>
      </c>
      <c r="W49" s="46">
        <v>1955</v>
      </c>
      <c r="X49" s="46">
        <v>1928</v>
      </c>
      <c r="Y49" s="46">
        <v>1942</v>
      </c>
      <c r="Z49" s="46">
        <v>1919</v>
      </c>
      <c r="AA49" s="46">
        <v>1809</v>
      </c>
      <c r="AB49" s="46">
        <v>1913</v>
      </c>
      <c r="AC49" s="46">
        <v>1916</v>
      </c>
      <c r="AD49" s="46">
        <v>1894</v>
      </c>
      <c r="AE49" s="46">
        <v>1804</v>
      </c>
      <c r="AF49" s="46">
        <v>1786</v>
      </c>
      <c r="AG49" s="46">
        <v>1758</v>
      </c>
      <c r="AH49" s="46">
        <v>1768</v>
      </c>
      <c r="AI49" s="46">
        <v>1655</v>
      </c>
      <c r="AJ49" s="46">
        <v>1715</v>
      </c>
      <c r="AK49" s="46">
        <v>1774</v>
      </c>
      <c r="AL49" s="46">
        <v>1823</v>
      </c>
      <c r="AM49" s="46">
        <v>1832</v>
      </c>
      <c r="AN49" s="46">
        <v>1770</v>
      </c>
      <c r="AO49" s="46">
        <v>1793</v>
      </c>
      <c r="AP49" s="46">
        <v>1720</v>
      </c>
      <c r="AQ49" s="46">
        <v>2011</v>
      </c>
      <c r="AR49" s="46">
        <v>1999</v>
      </c>
      <c r="AS49" s="46">
        <v>2002</v>
      </c>
      <c r="AT49" s="46">
        <v>1951</v>
      </c>
      <c r="AU49" s="46">
        <v>1855</v>
      </c>
      <c r="AV49" s="1">
        <v>1771</v>
      </c>
      <c r="AW49" s="1">
        <v>1755</v>
      </c>
      <c r="AX49" s="1">
        <v>1731</v>
      </c>
      <c r="AY49" s="1">
        <v>1828</v>
      </c>
      <c r="AZ49" s="1">
        <v>1805</v>
      </c>
      <c r="BA49" s="57">
        <v>70</v>
      </c>
      <c r="BB49" s="46">
        <v>88</v>
      </c>
      <c r="BC49" s="46">
        <v>87</v>
      </c>
      <c r="BD49" s="46">
        <v>122</v>
      </c>
      <c r="BE49" s="46">
        <v>200</v>
      </c>
      <c r="BF49" s="46">
        <v>290</v>
      </c>
      <c r="BG49" s="46">
        <v>396</v>
      </c>
      <c r="BH49" s="46">
        <v>563</v>
      </c>
      <c r="BI49" s="46">
        <v>662</v>
      </c>
      <c r="BJ49" s="46">
        <v>782</v>
      </c>
      <c r="BK49" s="46">
        <v>832</v>
      </c>
      <c r="BL49" s="46">
        <v>917</v>
      </c>
      <c r="BM49" s="46">
        <v>994</v>
      </c>
      <c r="BN49" s="46">
        <v>991</v>
      </c>
      <c r="BO49" s="46">
        <v>1015</v>
      </c>
      <c r="BP49" s="46">
        <v>1118</v>
      </c>
      <c r="BQ49" s="46">
        <v>1147</v>
      </c>
      <c r="BR49" s="46">
        <v>1086</v>
      </c>
      <c r="BS49" s="46">
        <v>1110</v>
      </c>
      <c r="BT49" s="46">
        <v>1090</v>
      </c>
      <c r="BU49" s="46">
        <v>1146</v>
      </c>
      <c r="BV49" s="46">
        <v>1193</v>
      </c>
      <c r="BW49" s="46">
        <v>1248</v>
      </c>
      <c r="BX49" s="46">
        <v>1283</v>
      </c>
      <c r="BY49" s="46">
        <v>1332</v>
      </c>
      <c r="BZ49" s="46">
        <v>1260</v>
      </c>
      <c r="CA49" s="46">
        <v>1376</v>
      </c>
      <c r="CB49" s="46">
        <v>1317</v>
      </c>
      <c r="CC49" s="46">
        <v>1407</v>
      </c>
      <c r="CD49" s="46">
        <v>1453</v>
      </c>
      <c r="CE49" s="46">
        <v>1411</v>
      </c>
      <c r="CF49" s="46">
        <v>1464</v>
      </c>
      <c r="CG49" s="46">
        <v>1514</v>
      </c>
      <c r="CH49" s="46">
        <v>1434</v>
      </c>
      <c r="CI49" s="46">
        <v>1497</v>
      </c>
      <c r="CJ49" s="46">
        <v>1624</v>
      </c>
      <c r="CK49" s="46">
        <v>1697</v>
      </c>
      <c r="CL49" s="46">
        <v>1684</v>
      </c>
      <c r="CM49" s="46">
        <v>1662</v>
      </c>
      <c r="CN49" s="46">
        <v>1811</v>
      </c>
      <c r="CO49" s="46">
        <v>1822</v>
      </c>
      <c r="CP49" s="1">
        <v>2020</v>
      </c>
      <c r="CQ49" s="1">
        <v>2034</v>
      </c>
      <c r="CR49" s="1">
        <v>2071</v>
      </c>
      <c r="CS49" s="1">
        <v>2078</v>
      </c>
      <c r="CT49" s="1">
        <v>2092</v>
      </c>
      <c r="CU49" s="1">
        <v>2038</v>
      </c>
      <c r="CV49" s="1">
        <v>2059</v>
      </c>
      <c r="CW49" s="1">
        <v>2092</v>
      </c>
      <c r="CX49" s="1">
        <v>2214</v>
      </c>
      <c r="CY49" s="1">
        <v>2316</v>
      </c>
    </row>
    <row r="50" spans="1:104">
      <c r="A50" s="42" t="s">
        <v>61</v>
      </c>
      <c r="B50" s="57">
        <v>48</v>
      </c>
      <c r="C50" s="46">
        <v>55</v>
      </c>
      <c r="D50" s="46">
        <v>63</v>
      </c>
      <c r="E50" s="46">
        <v>72</v>
      </c>
      <c r="F50" s="46">
        <v>83</v>
      </c>
      <c r="G50" s="46">
        <v>59</v>
      </c>
      <c r="H50" s="46">
        <v>77</v>
      </c>
      <c r="I50" s="46">
        <v>103</v>
      </c>
      <c r="J50" s="46">
        <v>99</v>
      </c>
      <c r="K50" s="46">
        <v>97</v>
      </c>
      <c r="L50" s="46">
        <v>110</v>
      </c>
      <c r="M50" s="46">
        <v>103</v>
      </c>
      <c r="N50" s="46">
        <v>96</v>
      </c>
      <c r="O50" s="46">
        <v>88</v>
      </c>
      <c r="P50" s="46">
        <v>125</v>
      </c>
      <c r="Q50" s="46">
        <v>92</v>
      </c>
      <c r="R50" s="46">
        <v>101</v>
      </c>
      <c r="S50" s="46">
        <v>90</v>
      </c>
      <c r="T50" s="46">
        <v>86</v>
      </c>
      <c r="U50" s="46">
        <v>92</v>
      </c>
      <c r="V50" s="46">
        <v>71</v>
      </c>
      <c r="W50" s="46">
        <v>80</v>
      </c>
      <c r="X50" s="46">
        <v>96</v>
      </c>
      <c r="Y50" s="46">
        <v>87</v>
      </c>
      <c r="Z50" s="46">
        <v>88</v>
      </c>
      <c r="AA50" s="46">
        <v>77</v>
      </c>
      <c r="AB50" s="46">
        <v>84</v>
      </c>
      <c r="AC50" s="46">
        <v>90</v>
      </c>
      <c r="AD50" s="46">
        <v>107</v>
      </c>
      <c r="AE50" s="46">
        <v>114</v>
      </c>
      <c r="AF50" s="46">
        <v>103</v>
      </c>
      <c r="AG50" s="46">
        <v>71</v>
      </c>
      <c r="AH50" s="46">
        <v>80</v>
      </c>
      <c r="AI50" s="46">
        <v>82</v>
      </c>
      <c r="AJ50" s="46">
        <v>100</v>
      </c>
      <c r="AK50" s="46">
        <v>118</v>
      </c>
      <c r="AL50" s="46">
        <v>105</v>
      </c>
      <c r="AM50" s="46">
        <v>87</v>
      </c>
      <c r="AN50" s="46">
        <v>126</v>
      </c>
      <c r="AO50" s="46">
        <v>87</v>
      </c>
      <c r="AP50" s="46">
        <v>93</v>
      </c>
      <c r="AQ50" s="46">
        <v>95</v>
      </c>
      <c r="AR50" s="46">
        <v>97</v>
      </c>
      <c r="AS50" s="46">
        <v>102</v>
      </c>
      <c r="AT50" s="46">
        <v>122</v>
      </c>
      <c r="AU50" s="46">
        <v>104</v>
      </c>
      <c r="AV50" s="1">
        <v>106</v>
      </c>
      <c r="AW50" s="1">
        <v>119</v>
      </c>
      <c r="AX50" s="1">
        <v>108</v>
      </c>
      <c r="AY50" s="1">
        <v>123</v>
      </c>
      <c r="AZ50" s="1">
        <v>136</v>
      </c>
      <c r="BA50" s="57">
        <v>0</v>
      </c>
      <c r="BB50" s="46">
        <v>3</v>
      </c>
      <c r="BC50" s="46">
        <v>2</v>
      </c>
      <c r="BD50" s="46">
        <v>4</v>
      </c>
      <c r="BE50" s="46">
        <v>0</v>
      </c>
      <c r="BF50" s="46">
        <v>9</v>
      </c>
      <c r="BG50" s="46">
        <v>9</v>
      </c>
      <c r="BH50" s="46">
        <v>20</v>
      </c>
      <c r="BI50" s="46">
        <v>25</v>
      </c>
      <c r="BJ50" s="46">
        <v>22</v>
      </c>
      <c r="BK50" s="46">
        <v>14</v>
      </c>
      <c r="BL50" s="46">
        <v>31</v>
      </c>
      <c r="BM50" s="46">
        <v>22</v>
      </c>
      <c r="BN50" s="46">
        <v>32</v>
      </c>
      <c r="BO50" s="46">
        <v>32</v>
      </c>
      <c r="BP50" s="46">
        <v>31</v>
      </c>
      <c r="BQ50" s="46">
        <v>33</v>
      </c>
      <c r="BR50" s="46">
        <v>50</v>
      </c>
      <c r="BS50" s="46">
        <v>35</v>
      </c>
      <c r="BT50" s="46">
        <v>38</v>
      </c>
      <c r="BU50" s="46">
        <v>31</v>
      </c>
      <c r="BV50" s="46">
        <v>33</v>
      </c>
      <c r="BW50" s="46">
        <v>39</v>
      </c>
      <c r="BX50" s="46">
        <v>43</v>
      </c>
      <c r="BY50" s="46">
        <v>53</v>
      </c>
      <c r="BZ50" s="46">
        <v>60</v>
      </c>
      <c r="CA50" s="46">
        <v>57</v>
      </c>
      <c r="CB50" s="46">
        <v>66</v>
      </c>
      <c r="CC50" s="46">
        <v>82</v>
      </c>
      <c r="CD50" s="46">
        <v>74</v>
      </c>
      <c r="CE50" s="46">
        <v>92</v>
      </c>
      <c r="CF50" s="46">
        <v>89</v>
      </c>
      <c r="CG50" s="46">
        <v>83</v>
      </c>
      <c r="CH50" s="46">
        <v>84</v>
      </c>
      <c r="CI50" s="46">
        <v>104</v>
      </c>
      <c r="CJ50" s="46">
        <v>92</v>
      </c>
      <c r="CK50" s="46">
        <v>105</v>
      </c>
      <c r="CL50" s="46">
        <v>96</v>
      </c>
      <c r="CM50" s="46">
        <v>98</v>
      </c>
      <c r="CN50" s="46">
        <v>93</v>
      </c>
      <c r="CO50" s="46">
        <v>115</v>
      </c>
      <c r="CP50" s="1">
        <v>114</v>
      </c>
      <c r="CQ50" s="1">
        <v>143</v>
      </c>
      <c r="CR50" s="1">
        <v>121</v>
      </c>
      <c r="CS50" s="1">
        <v>138</v>
      </c>
      <c r="CT50" s="1">
        <v>156</v>
      </c>
      <c r="CU50" s="1">
        <v>154</v>
      </c>
      <c r="CV50" s="1">
        <v>150</v>
      </c>
      <c r="CW50" s="1">
        <v>197</v>
      </c>
      <c r="CX50" s="1">
        <v>177</v>
      </c>
      <c r="CY50" s="1">
        <v>201</v>
      </c>
    </row>
    <row r="51" spans="1:104">
      <c r="A51" s="47" t="s">
        <v>62</v>
      </c>
      <c r="B51" s="58">
        <v>494</v>
      </c>
      <c r="C51" s="48">
        <v>583</v>
      </c>
      <c r="D51" s="48">
        <v>651</v>
      </c>
      <c r="E51" s="48">
        <v>683</v>
      </c>
      <c r="F51" s="48">
        <v>764</v>
      </c>
      <c r="G51" s="48">
        <v>747</v>
      </c>
      <c r="H51" s="48">
        <v>737</v>
      </c>
      <c r="I51" s="48">
        <v>692</v>
      </c>
      <c r="J51" s="48">
        <v>714</v>
      </c>
      <c r="K51" s="48">
        <v>721</v>
      </c>
      <c r="L51" s="48">
        <v>682</v>
      </c>
      <c r="M51" s="48">
        <v>705</v>
      </c>
      <c r="N51" s="48">
        <v>722</v>
      </c>
      <c r="O51" s="48">
        <v>652</v>
      </c>
      <c r="P51" s="48">
        <v>667</v>
      </c>
      <c r="Q51" s="48">
        <v>673</v>
      </c>
      <c r="R51" s="48">
        <v>647</v>
      </c>
      <c r="S51" s="48">
        <v>548</v>
      </c>
      <c r="T51" s="48">
        <v>646</v>
      </c>
      <c r="U51" s="48">
        <v>655</v>
      </c>
      <c r="V51" s="48">
        <v>623</v>
      </c>
      <c r="W51" s="48">
        <v>625</v>
      </c>
      <c r="X51" s="48">
        <v>577</v>
      </c>
      <c r="Y51" s="48">
        <v>537</v>
      </c>
      <c r="Z51" s="48">
        <v>575</v>
      </c>
      <c r="AA51" s="48">
        <v>569</v>
      </c>
      <c r="AB51" s="48">
        <v>527</v>
      </c>
      <c r="AC51" s="48">
        <v>542</v>
      </c>
      <c r="AD51" s="48">
        <v>545</v>
      </c>
      <c r="AE51" s="48">
        <v>552</v>
      </c>
      <c r="AF51" s="48">
        <v>533</v>
      </c>
      <c r="AG51" s="48">
        <v>584</v>
      </c>
      <c r="AH51" s="48">
        <v>573</v>
      </c>
      <c r="AI51" s="48">
        <v>575</v>
      </c>
      <c r="AJ51" s="48">
        <v>558</v>
      </c>
      <c r="AK51" s="48">
        <v>576</v>
      </c>
      <c r="AL51" s="48">
        <v>567</v>
      </c>
      <c r="AM51" s="48">
        <v>565</v>
      </c>
      <c r="AN51" s="48">
        <v>601</v>
      </c>
      <c r="AO51" s="48">
        <v>641</v>
      </c>
      <c r="AP51" s="48">
        <v>602</v>
      </c>
      <c r="AQ51" s="48">
        <v>628</v>
      </c>
      <c r="AR51" s="48">
        <v>631</v>
      </c>
      <c r="AS51" s="48">
        <v>640</v>
      </c>
      <c r="AT51" s="48">
        <v>687</v>
      </c>
      <c r="AU51" s="48">
        <v>705</v>
      </c>
      <c r="AV51" s="1">
        <v>666</v>
      </c>
      <c r="AW51" s="1">
        <v>624</v>
      </c>
      <c r="AX51" s="1">
        <v>717</v>
      </c>
      <c r="AY51" s="1">
        <v>727</v>
      </c>
      <c r="AZ51" s="1">
        <v>685</v>
      </c>
      <c r="BA51" s="58">
        <v>28</v>
      </c>
      <c r="BB51" s="48">
        <v>31</v>
      </c>
      <c r="BC51" s="48">
        <v>34</v>
      </c>
      <c r="BD51" s="48">
        <v>57</v>
      </c>
      <c r="BE51" s="48">
        <v>74</v>
      </c>
      <c r="BF51" s="48">
        <v>107</v>
      </c>
      <c r="BG51" s="48">
        <v>124</v>
      </c>
      <c r="BH51" s="48">
        <v>172</v>
      </c>
      <c r="BI51" s="48">
        <v>176</v>
      </c>
      <c r="BJ51" s="48">
        <v>179</v>
      </c>
      <c r="BK51" s="48">
        <v>252</v>
      </c>
      <c r="BL51" s="48">
        <v>253</v>
      </c>
      <c r="BM51" s="48">
        <v>241</v>
      </c>
      <c r="BN51" s="48">
        <v>298</v>
      </c>
      <c r="BO51" s="48">
        <v>278</v>
      </c>
      <c r="BP51" s="48">
        <v>318</v>
      </c>
      <c r="BQ51" s="48">
        <v>303</v>
      </c>
      <c r="BR51" s="48">
        <v>290</v>
      </c>
      <c r="BS51" s="48">
        <v>342</v>
      </c>
      <c r="BT51" s="48">
        <v>362</v>
      </c>
      <c r="BU51" s="48">
        <v>344</v>
      </c>
      <c r="BV51" s="48">
        <v>387</v>
      </c>
      <c r="BW51" s="48">
        <v>369</v>
      </c>
      <c r="BX51" s="48">
        <v>434</v>
      </c>
      <c r="BY51" s="48">
        <v>391</v>
      </c>
      <c r="BZ51" s="48">
        <v>408</v>
      </c>
      <c r="CA51" s="48">
        <v>422</v>
      </c>
      <c r="CB51" s="48">
        <v>393</v>
      </c>
      <c r="CC51" s="48">
        <v>430</v>
      </c>
      <c r="CD51" s="48">
        <v>428</v>
      </c>
      <c r="CE51" s="48">
        <v>418</v>
      </c>
      <c r="CF51" s="48">
        <v>496</v>
      </c>
      <c r="CG51" s="48">
        <v>491</v>
      </c>
      <c r="CH51" s="48">
        <v>544</v>
      </c>
      <c r="CI51" s="48">
        <v>478</v>
      </c>
      <c r="CJ51" s="48">
        <v>551</v>
      </c>
      <c r="CK51" s="48">
        <v>577</v>
      </c>
      <c r="CL51" s="48">
        <v>594</v>
      </c>
      <c r="CM51" s="48">
        <v>680</v>
      </c>
      <c r="CN51" s="48">
        <v>700</v>
      </c>
      <c r="CO51" s="48">
        <v>763</v>
      </c>
      <c r="CP51" s="1">
        <v>755</v>
      </c>
      <c r="CQ51" s="1">
        <v>819</v>
      </c>
      <c r="CR51" s="1">
        <v>769</v>
      </c>
      <c r="CS51" s="1">
        <v>806</v>
      </c>
      <c r="CT51" s="1">
        <v>863</v>
      </c>
      <c r="CU51" s="1">
        <v>840</v>
      </c>
      <c r="CV51" s="1">
        <v>898</v>
      </c>
      <c r="CW51" s="1">
        <v>948</v>
      </c>
      <c r="CX51" s="1">
        <v>991</v>
      </c>
      <c r="CY51" s="1">
        <v>957</v>
      </c>
    </row>
    <row r="52" spans="1:104" ht="12.75" customHeight="1">
      <c r="A52" s="42" t="s">
        <v>63</v>
      </c>
      <c r="B52" s="55">
        <f t="shared" ref="B52:BW52" si="35">SUM(B54:B62)</f>
        <v>8236</v>
      </c>
      <c r="C52" s="43">
        <f t="shared" si="35"/>
        <v>9127</v>
      </c>
      <c r="D52" s="43">
        <f t="shared" si="35"/>
        <v>10582</v>
      </c>
      <c r="E52" s="43">
        <f t="shared" si="35"/>
        <v>11460</v>
      </c>
      <c r="F52" s="43">
        <f t="shared" si="35"/>
        <v>11278</v>
      </c>
      <c r="G52" s="43">
        <f t="shared" si="35"/>
        <v>11419</v>
      </c>
      <c r="H52" s="43">
        <f t="shared" si="35"/>
        <v>11710</v>
      </c>
      <c r="I52" s="43">
        <f t="shared" si="35"/>
        <v>11624</v>
      </c>
      <c r="J52" s="43">
        <f t="shared" si="35"/>
        <v>11161</v>
      </c>
      <c r="K52" s="43">
        <f t="shared" si="35"/>
        <v>11476</v>
      </c>
      <c r="L52" s="43">
        <f t="shared" si="35"/>
        <v>11676</v>
      </c>
      <c r="M52" s="43">
        <f t="shared" si="35"/>
        <v>11516</v>
      </c>
      <c r="N52" s="43">
        <f t="shared" si="35"/>
        <v>11661</v>
      </c>
      <c r="O52" s="43">
        <f t="shared" si="35"/>
        <v>11308</v>
      </c>
      <c r="P52" s="43">
        <f t="shared" si="35"/>
        <v>11495</v>
      </c>
      <c r="Q52" s="43">
        <f t="shared" si="35"/>
        <v>11340</v>
      </c>
      <c r="R52" s="43">
        <f t="shared" si="35"/>
        <v>10989</v>
      </c>
      <c r="S52" s="43">
        <f t="shared" si="35"/>
        <v>10962</v>
      </c>
      <c r="T52" s="43">
        <f t="shared" si="35"/>
        <v>10350</v>
      </c>
      <c r="U52" s="43">
        <f t="shared" si="35"/>
        <v>10452</v>
      </c>
      <c r="V52" s="43">
        <f t="shared" si="35"/>
        <v>10477</v>
      </c>
      <c r="W52" s="43">
        <f t="shared" si="35"/>
        <v>10378</v>
      </c>
      <c r="X52" s="43">
        <f t="shared" si="35"/>
        <v>10429</v>
      </c>
      <c r="Y52" s="43">
        <f t="shared" si="35"/>
        <v>10252</v>
      </c>
      <c r="Z52" s="43">
        <f t="shared" si="35"/>
        <v>10396</v>
      </c>
      <c r="AA52" s="43">
        <f t="shared" si="35"/>
        <v>10709</v>
      </c>
      <c r="AB52" s="43">
        <f t="shared" si="35"/>
        <v>10661</v>
      </c>
      <c r="AC52" s="43">
        <f t="shared" si="35"/>
        <v>10625</v>
      </c>
      <c r="AD52" s="43">
        <f t="shared" si="35"/>
        <v>10628</v>
      </c>
      <c r="AE52" s="43">
        <f t="shared" si="35"/>
        <v>10399</v>
      </c>
      <c r="AF52" s="43">
        <f t="shared" si="35"/>
        <v>10171</v>
      </c>
      <c r="AG52" s="43">
        <f t="shared" si="35"/>
        <v>10228</v>
      </c>
      <c r="AH52" s="43">
        <f t="shared" si="35"/>
        <v>10518</v>
      </c>
      <c r="AI52" s="43">
        <f t="shared" si="35"/>
        <v>10134</v>
      </c>
      <c r="AJ52" s="43">
        <f t="shared" si="35"/>
        <v>10184</v>
      </c>
      <c r="AK52" s="43">
        <f t="shared" si="35"/>
        <v>10727</v>
      </c>
      <c r="AL52" s="43">
        <f t="shared" si="35"/>
        <v>10653</v>
      </c>
      <c r="AM52" s="43">
        <f t="shared" si="35"/>
        <v>10571</v>
      </c>
      <c r="AN52" s="43">
        <f t="shared" si="35"/>
        <v>10691</v>
      </c>
      <c r="AO52" s="43">
        <f t="shared" si="35"/>
        <v>11147</v>
      </c>
      <c r="AP52" s="43">
        <f>SUM(AP54:AP62)</f>
        <v>11381</v>
      </c>
      <c r="AQ52" s="43">
        <f>SUM(AQ54:AQ62)</f>
        <v>11487</v>
      </c>
      <c r="AR52" s="43">
        <f t="shared" ref="AR52:AS52" si="36">SUM(AR54:AR62)</f>
        <v>12059</v>
      </c>
      <c r="AS52" s="43">
        <f t="shared" si="36"/>
        <v>12282</v>
      </c>
      <c r="AT52" s="43">
        <f t="shared" ref="AT52:AW52" si="37">SUM(AT54:AT62)</f>
        <v>12158</v>
      </c>
      <c r="AU52" s="43">
        <f t="shared" si="37"/>
        <v>11771</v>
      </c>
      <c r="AV52" s="43">
        <f t="shared" si="37"/>
        <v>11494</v>
      </c>
      <c r="AW52" s="43">
        <f t="shared" si="37"/>
        <v>11658</v>
      </c>
      <c r="AX52" s="43">
        <f>SUM(AX54:AX62)</f>
        <v>11706</v>
      </c>
      <c r="AY52" s="43">
        <f>SUM(AY54:AY62)</f>
        <v>11464</v>
      </c>
      <c r="AZ52" s="43">
        <f>SUM(AZ54:AZ62)</f>
        <v>11653</v>
      </c>
      <c r="BA52" s="55">
        <f t="shared" si="35"/>
        <v>556</v>
      </c>
      <c r="BB52" s="43">
        <f t="shared" si="35"/>
        <v>801</v>
      </c>
      <c r="BC52" s="43">
        <f t="shared" si="35"/>
        <v>902</v>
      </c>
      <c r="BD52" s="43">
        <f t="shared" si="35"/>
        <v>1173</v>
      </c>
      <c r="BE52" s="43">
        <f t="shared" si="35"/>
        <v>1614</v>
      </c>
      <c r="BF52" s="43">
        <f t="shared" si="35"/>
        <v>2038</v>
      </c>
      <c r="BG52" s="43">
        <f t="shared" si="35"/>
        <v>2706</v>
      </c>
      <c r="BH52" s="43">
        <f t="shared" si="35"/>
        <v>3287</v>
      </c>
      <c r="BI52" s="43">
        <f t="shared" si="35"/>
        <v>3845</v>
      </c>
      <c r="BJ52" s="43">
        <f t="shared" si="35"/>
        <v>4333</v>
      </c>
      <c r="BK52" s="43">
        <f t="shared" si="35"/>
        <v>4727</v>
      </c>
      <c r="BL52" s="43">
        <f t="shared" si="35"/>
        <v>5092</v>
      </c>
      <c r="BM52" s="43">
        <f t="shared" si="35"/>
        <v>5046</v>
      </c>
      <c r="BN52" s="43">
        <f t="shared" si="35"/>
        <v>5713</v>
      </c>
      <c r="BO52" s="43">
        <f t="shared" si="35"/>
        <v>5981</v>
      </c>
      <c r="BP52" s="43">
        <f t="shared" si="35"/>
        <v>6306</v>
      </c>
      <c r="BQ52" s="43">
        <f t="shared" si="35"/>
        <v>6290</v>
      </c>
      <c r="BR52" s="43">
        <f t="shared" si="35"/>
        <v>6631</v>
      </c>
      <c r="BS52" s="43">
        <f t="shared" si="35"/>
        <v>6434</v>
      </c>
      <c r="BT52" s="43">
        <f t="shared" si="35"/>
        <v>6765</v>
      </c>
      <c r="BU52" s="43">
        <f t="shared" si="35"/>
        <v>7053</v>
      </c>
      <c r="BV52" s="43">
        <f t="shared" si="35"/>
        <v>7438</v>
      </c>
      <c r="BW52" s="43">
        <f t="shared" si="35"/>
        <v>7482</v>
      </c>
      <c r="BX52" s="43">
        <f t="shared" ref="BX52:CN52" si="38">SUM(BX54:BX62)</f>
        <v>7573</v>
      </c>
      <c r="BY52" s="43">
        <f t="shared" si="38"/>
        <v>7575</v>
      </c>
      <c r="BZ52" s="43">
        <f t="shared" si="38"/>
        <v>7654</v>
      </c>
      <c r="CA52" s="43">
        <f t="shared" si="38"/>
        <v>7774</v>
      </c>
      <c r="CB52" s="43">
        <f t="shared" si="38"/>
        <v>8208</v>
      </c>
      <c r="CC52" s="43">
        <f t="shared" si="38"/>
        <v>8249</v>
      </c>
      <c r="CD52" s="43">
        <f t="shared" si="38"/>
        <v>8351</v>
      </c>
      <c r="CE52" s="43">
        <f t="shared" si="38"/>
        <v>8925</v>
      </c>
      <c r="CF52" s="43">
        <f t="shared" si="38"/>
        <v>9201</v>
      </c>
      <c r="CG52" s="43">
        <f t="shared" si="38"/>
        <v>9701</v>
      </c>
      <c r="CH52" s="43">
        <f t="shared" si="38"/>
        <v>9979</v>
      </c>
      <c r="CI52" s="43">
        <f t="shared" si="38"/>
        <v>10504</v>
      </c>
      <c r="CJ52" s="43">
        <f t="shared" si="38"/>
        <v>11008</v>
      </c>
      <c r="CK52" s="43">
        <f t="shared" si="38"/>
        <v>10895</v>
      </c>
      <c r="CL52" s="43">
        <f t="shared" si="38"/>
        <v>11115</v>
      </c>
      <c r="CM52" s="43">
        <f t="shared" si="38"/>
        <v>11609</v>
      </c>
      <c r="CN52" s="43">
        <f t="shared" si="38"/>
        <v>12156</v>
      </c>
      <c r="CO52" s="43">
        <f>SUM(CO54:CO62)</f>
        <v>13154</v>
      </c>
      <c r="CP52" s="43">
        <f>SUM(CP54:CP62)</f>
        <v>13279</v>
      </c>
      <c r="CQ52" s="43">
        <f>SUM(CQ54:CQ62)</f>
        <v>13729</v>
      </c>
      <c r="CR52" s="43">
        <f>SUM(CR54:CR62)</f>
        <v>13909</v>
      </c>
      <c r="CS52" s="43">
        <f t="shared" ref="CS52:CV52" si="39">SUM(CS54:CS62)</f>
        <v>14053</v>
      </c>
      <c r="CT52" s="43">
        <f t="shared" si="39"/>
        <v>14034</v>
      </c>
      <c r="CU52" s="43">
        <f t="shared" si="39"/>
        <v>14022</v>
      </c>
      <c r="CV52" s="43">
        <f t="shared" si="39"/>
        <v>14299</v>
      </c>
      <c r="CW52" s="43">
        <f>SUM(CW54:CW62)</f>
        <v>14606</v>
      </c>
      <c r="CX52" s="43">
        <f>SUM(CX54:CX62)</f>
        <v>15071</v>
      </c>
      <c r="CY52" s="43">
        <f>SUM(CY54:CY62)</f>
        <v>15525</v>
      </c>
      <c r="CZ52" s="128"/>
    </row>
    <row r="53" spans="1:104">
      <c r="A53" s="44" t="s">
        <v>131</v>
      </c>
      <c r="B53" s="56">
        <f t="shared" ref="B53:BW53" si="40">(B52/B4)*100</f>
        <v>24.899476977960518</v>
      </c>
      <c r="C53" s="45">
        <f t="shared" si="40"/>
        <v>25.678032860679721</v>
      </c>
      <c r="D53" s="45">
        <f t="shared" si="40"/>
        <v>25.985315423716326</v>
      </c>
      <c r="E53" s="45">
        <f t="shared" si="40"/>
        <v>24.650992707952419</v>
      </c>
      <c r="F53" s="45">
        <f t="shared" si="40"/>
        <v>23.239233463836804</v>
      </c>
      <c r="G53" s="45">
        <f t="shared" si="40"/>
        <v>23.325026554457061</v>
      </c>
      <c r="H53" s="45">
        <f t="shared" si="40"/>
        <v>22.139453981698555</v>
      </c>
      <c r="I53" s="45">
        <f t="shared" si="40"/>
        <v>22.194218505365257</v>
      </c>
      <c r="J53" s="45">
        <f t="shared" si="40"/>
        <v>21.352592309163956</v>
      </c>
      <c r="K53" s="45">
        <f t="shared" si="40"/>
        <v>21.795943174048467</v>
      </c>
      <c r="L53" s="45">
        <f t="shared" si="40"/>
        <v>22.158961512184014</v>
      </c>
      <c r="M53" s="45">
        <f t="shared" si="40"/>
        <v>21.835833064714915</v>
      </c>
      <c r="N53" s="45">
        <f t="shared" si="40"/>
        <v>22.365216057078193</v>
      </c>
      <c r="O53" s="45">
        <f t="shared" si="40"/>
        <v>22.104501827706862</v>
      </c>
      <c r="P53" s="45">
        <f t="shared" si="40"/>
        <v>22.41396119723116</v>
      </c>
      <c r="Q53" s="45">
        <f t="shared" si="40"/>
        <v>22.527712662402159</v>
      </c>
      <c r="R53" s="45">
        <f t="shared" si="40"/>
        <v>22.361727239428593</v>
      </c>
      <c r="S53" s="45">
        <f t="shared" si="40"/>
        <v>23.629583324351707</v>
      </c>
      <c r="T53" s="45">
        <f t="shared" si="40"/>
        <v>22.916482153927909</v>
      </c>
      <c r="U53" s="45">
        <f t="shared" si="40"/>
        <v>23.253020089434692</v>
      </c>
      <c r="V53" s="45">
        <f t="shared" si="40"/>
        <v>23.896631161188786</v>
      </c>
      <c r="W53" s="45">
        <f t="shared" si="40"/>
        <v>23.737962899425881</v>
      </c>
      <c r="X53" s="45">
        <f t="shared" si="40"/>
        <v>23.210629395531022</v>
      </c>
      <c r="Y53" s="45">
        <f t="shared" si="40"/>
        <v>22.761483981261517</v>
      </c>
      <c r="Z53" s="45">
        <f t="shared" si="40"/>
        <v>23.31673619521823</v>
      </c>
      <c r="AA53" s="45">
        <f t="shared" si="40"/>
        <v>23.940891104603072</v>
      </c>
      <c r="AB53" s="45">
        <f t="shared" si="40"/>
        <v>23.889660735893873</v>
      </c>
      <c r="AC53" s="45">
        <f t="shared" si="40"/>
        <v>23.380424258427958</v>
      </c>
      <c r="AD53" s="45">
        <f t="shared" si="40"/>
        <v>23.664581060319296</v>
      </c>
      <c r="AE53" s="45">
        <f t="shared" si="40"/>
        <v>23.453393175308417</v>
      </c>
      <c r="AF53" s="45">
        <f t="shared" si="40"/>
        <v>22.991026017767126</v>
      </c>
      <c r="AG53" s="45">
        <f t="shared" si="40"/>
        <v>23.862628902057768</v>
      </c>
      <c r="AH53" s="45">
        <f t="shared" si="40"/>
        <v>24.744159785447103</v>
      </c>
      <c r="AI53" s="45">
        <f t="shared" si="40"/>
        <v>24.193663905268938</v>
      </c>
      <c r="AJ53" s="45">
        <f t="shared" si="40"/>
        <v>24.150442268016789</v>
      </c>
      <c r="AK53" s="45">
        <f t="shared" si="40"/>
        <v>24.463499737736321</v>
      </c>
      <c r="AL53" s="45">
        <f t="shared" si="40"/>
        <v>24.190471865207321</v>
      </c>
      <c r="AM53" s="45">
        <f t="shared" si="40"/>
        <v>23.461393346205917</v>
      </c>
      <c r="AN53" s="45">
        <f t="shared" si="40"/>
        <v>23.478642802240035</v>
      </c>
      <c r="AO53" s="45">
        <f t="shared" si="40"/>
        <v>23.829578006755312</v>
      </c>
      <c r="AP53" s="45">
        <f>(AP52/AP4)*100</f>
        <v>24.309026442821139</v>
      </c>
      <c r="AQ53" s="45">
        <f>(AQ52/AQ4)*100</f>
        <v>23.550033827418659</v>
      </c>
      <c r="AR53" s="45">
        <f t="shared" ref="AR53:AS53" si="41">(AR52/AR4)*100</f>
        <v>23.733984136668703</v>
      </c>
      <c r="AS53" s="45">
        <f t="shared" si="41"/>
        <v>23.713629254918619</v>
      </c>
      <c r="AT53" s="45">
        <f t="shared" ref="AT53:AW53" si="42">(AT52/AT4)*100</f>
        <v>23.770235395323375</v>
      </c>
      <c r="AU53" s="45">
        <f t="shared" si="42"/>
        <v>23.645567586026797</v>
      </c>
      <c r="AV53" s="45">
        <f t="shared" si="42"/>
        <v>23.655073060300474</v>
      </c>
      <c r="AW53" s="45">
        <f t="shared" si="42"/>
        <v>23.992591068121012</v>
      </c>
      <c r="AX53" s="45">
        <f>(AX52/AX4)*100</f>
        <v>23.999507954731836</v>
      </c>
      <c r="AY53" s="45">
        <f>(AY52/AY4)*100</f>
        <v>23.554067103614063</v>
      </c>
      <c r="AZ53" s="45">
        <f>(AZ52/AZ4)*100</f>
        <v>24.063022693951723</v>
      </c>
      <c r="BA53" s="56">
        <f t="shared" si="40"/>
        <v>30.200977729494838</v>
      </c>
      <c r="BB53" s="45">
        <f t="shared" si="40"/>
        <v>33.347210657785183</v>
      </c>
      <c r="BC53" s="45">
        <f t="shared" si="40"/>
        <v>33.556547619047613</v>
      </c>
      <c r="BD53" s="45">
        <f t="shared" si="40"/>
        <v>33.238877869084725</v>
      </c>
      <c r="BE53" s="45">
        <f t="shared" si="40"/>
        <v>30.533484676503974</v>
      </c>
      <c r="BF53" s="45">
        <f t="shared" si="40"/>
        <v>29.281609195402297</v>
      </c>
      <c r="BG53" s="45">
        <f t="shared" si="40"/>
        <v>27.733934611048479</v>
      </c>
      <c r="BH53" s="45">
        <f t="shared" si="40"/>
        <v>27.425949103045472</v>
      </c>
      <c r="BI53" s="45">
        <f t="shared" si="40"/>
        <v>26.86744462301726</v>
      </c>
      <c r="BJ53" s="45">
        <f t="shared" si="40"/>
        <v>26.75351938750309</v>
      </c>
      <c r="BK53" s="45">
        <f t="shared" si="40"/>
        <v>27.149503187639993</v>
      </c>
      <c r="BL53" s="45">
        <f t="shared" si="40"/>
        <v>26.590078328981726</v>
      </c>
      <c r="BM53" s="45">
        <f t="shared" si="40"/>
        <v>25.497726124305203</v>
      </c>
      <c r="BN53" s="45">
        <f t="shared" si="40"/>
        <v>26.235304922850844</v>
      </c>
      <c r="BO53" s="45">
        <f t="shared" si="40"/>
        <v>25.934437602983262</v>
      </c>
      <c r="BP53" s="45">
        <f t="shared" si="40"/>
        <v>25.662312293981199</v>
      </c>
      <c r="BQ53" s="45">
        <f t="shared" si="40"/>
        <v>25.55352427381678</v>
      </c>
      <c r="BR53" s="45">
        <f t="shared" si="40"/>
        <v>26.447830248883214</v>
      </c>
      <c r="BS53" s="45">
        <f t="shared" si="40"/>
        <v>25.631423790932995</v>
      </c>
      <c r="BT53" s="45">
        <f t="shared" si="40"/>
        <v>26.366045677761324</v>
      </c>
      <c r="BU53" s="45">
        <f t="shared" si="40"/>
        <v>26.128028450766838</v>
      </c>
      <c r="BV53" s="45">
        <f t="shared" si="40"/>
        <v>26.488603988603987</v>
      </c>
      <c r="BW53" s="45">
        <f t="shared" si="40"/>
        <v>25.7688996039263</v>
      </c>
      <c r="BX53" s="45">
        <f t="shared" ref="BX53:CN53" si="43">(BX52/BX4)*100</f>
        <v>25.083634195621212</v>
      </c>
      <c r="BY53" s="45">
        <f t="shared" si="43"/>
        <v>24.692766567786943</v>
      </c>
      <c r="BZ53" s="45">
        <f t="shared" si="43"/>
        <v>24.760610766045549</v>
      </c>
      <c r="CA53" s="45">
        <f t="shared" si="43"/>
        <v>24.330245368052079</v>
      </c>
      <c r="CB53" s="45">
        <f t="shared" si="43"/>
        <v>24.781112251675623</v>
      </c>
      <c r="CC53" s="45">
        <f t="shared" si="43"/>
        <v>24.487190904503219</v>
      </c>
      <c r="CD53" s="45">
        <f t="shared" si="43"/>
        <v>24.489736070381234</v>
      </c>
      <c r="CE53" s="45">
        <f t="shared" si="43"/>
        <v>24.917639175833379</v>
      </c>
      <c r="CF53" s="45">
        <f t="shared" si="43"/>
        <v>24.972180757226216</v>
      </c>
      <c r="CG53" s="45">
        <f t="shared" si="43"/>
        <v>25.40127255112461</v>
      </c>
      <c r="CH53" s="45">
        <f t="shared" si="43"/>
        <v>25.580620353755446</v>
      </c>
      <c r="CI53" s="45">
        <f t="shared" si="43"/>
        <v>25.699745547073793</v>
      </c>
      <c r="CJ53" s="45">
        <f t="shared" si="43"/>
        <v>25.340699815837937</v>
      </c>
      <c r="CK53" s="45">
        <f t="shared" si="43"/>
        <v>24.978792672581793</v>
      </c>
      <c r="CL53" s="45">
        <f t="shared" si="43"/>
        <v>24.696158375363833</v>
      </c>
      <c r="CM53" s="45">
        <f t="shared" si="43"/>
        <v>24.938775510204081</v>
      </c>
      <c r="CN53" s="45">
        <f t="shared" si="43"/>
        <v>25.244533050900252</v>
      </c>
      <c r="CO53" s="45">
        <f>(CO52/CO4)*100</f>
        <v>25.011884162689434</v>
      </c>
      <c r="CP53" s="45">
        <f>(CP52/CP4)*100</f>
        <v>24.574357835517063</v>
      </c>
      <c r="CQ53" s="45">
        <f>(CQ52/CQ4)*100</f>
        <v>24.552461684282061</v>
      </c>
      <c r="CR53" s="45">
        <f>(CR52/CR4)*100</f>
        <v>24.352621903177798</v>
      </c>
      <c r="CS53" s="45">
        <f t="shared" ref="CS53:CV53" si="44">(CS52/CS4)*100</f>
        <v>24.488977955911821</v>
      </c>
      <c r="CT53" s="45">
        <f t="shared" si="44"/>
        <v>24.137041432330633</v>
      </c>
      <c r="CU53" s="45">
        <f t="shared" si="44"/>
        <v>24.260355029585799</v>
      </c>
      <c r="CV53" s="45">
        <f t="shared" si="44"/>
        <v>23.93458538381708</v>
      </c>
      <c r="CW53" s="45">
        <f>(CW52/CW4)*100</f>
        <v>24.090781639149583</v>
      </c>
      <c r="CX53" s="45">
        <f>(CX52/CX4)*100</f>
        <v>23.935899879296105</v>
      </c>
      <c r="CY53" s="45">
        <f>(CY52/CY4)*100</f>
        <v>23.646693270783199</v>
      </c>
      <c r="CZ53" s="45"/>
    </row>
    <row r="54" spans="1:104">
      <c r="A54" s="42" t="s">
        <v>64</v>
      </c>
      <c r="B54" s="57">
        <v>413</v>
      </c>
      <c r="C54" s="46">
        <v>407</v>
      </c>
      <c r="D54" s="46">
        <v>542</v>
      </c>
      <c r="E54" s="46">
        <v>533</v>
      </c>
      <c r="F54" s="46">
        <v>493</v>
      </c>
      <c r="G54" s="46">
        <v>440</v>
      </c>
      <c r="H54" s="46">
        <v>501</v>
      </c>
      <c r="I54" s="46">
        <v>463</v>
      </c>
      <c r="J54" s="46">
        <v>466</v>
      </c>
      <c r="K54" s="46">
        <v>502</v>
      </c>
      <c r="L54" s="46">
        <v>689</v>
      </c>
      <c r="M54" s="46">
        <v>531</v>
      </c>
      <c r="N54" s="46">
        <v>529</v>
      </c>
      <c r="O54" s="46">
        <v>567</v>
      </c>
      <c r="P54" s="46">
        <v>562</v>
      </c>
      <c r="Q54" s="46">
        <v>620</v>
      </c>
      <c r="R54" s="46">
        <v>574</v>
      </c>
      <c r="S54" s="46">
        <v>597</v>
      </c>
      <c r="T54" s="46">
        <v>502</v>
      </c>
      <c r="U54" s="46">
        <v>524</v>
      </c>
      <c r="V54" s="46">
        <v>561</v>
      </c>
      <c r="W54" s="46">
        <v>571</v>
      </c>
      <c r="X54" s="46">
        <v>529</v>
      </c>
      <c r="Y54" s="46">
        <v>363</v>
      </c>
      <c r="Z54" s="46">
        <v>459</v>
      </c>
      <c r="AA54" s="46">
        <v>523</v>
      </c>
      <c r="AB54" s="46">
        <v>545</v>
      </c>
      <c r="AC54" s="46">
        <v>541</v>
      </c>
      <c r="AD54" s="46">
        <v>499</v>
      </c>
      <c r="AE54" s="46">
        <v>499</v>
      </c>
      <c r="AF54" s="46">
        <v>509</v>
      </c>
      <c r="AG54" s="46">
        <v>499</v>
      </c>
      <c r="AH54" s="46">
        <v>521</v>
      </c>
      <c r="AI54" s="46">
        <v>533</v>
      </c>
      <c r="AJ54" s="46">
        <v>480</v>
      </c>
      <c r="AK54" s="46">
        <v>541</v>
      </c>
      <c r="AL54" s="46">
        <v>517</v>
      </c>
      <c r="AM54" s="46">
        <v>466</v>
      </c>
      <c r="AN54" s="46">
        <v>445</v>
      </c>
      <c r="AO54" s="46">
        <v>448</v>
      </c>
      <c r="AP54" s="46">
        <v>510</v>
      </c>
      <c r="AQ54" s="46">
        <v>502</v>
      </c>
      <c r="AR54" s="46">
        <v>567</v>
      </c>
      <c r="AS54" s="46">
        <v>512</v>
      </c>
      <c r="AT54" s="46">
        <v>532</v>
      </c>
      <c r="AU54" s="46">
        <v>513</v>
      </c>
      <c r="AV54" s="1">
        <v>486</v>
      </c>
      <c r="AW54" s="1">
        <v>591</v>
      </c>
      <c r="AX54" s="1">
        <v>542</v>
      </c>
      <c r="AY54" s="1">
        <v>548</v>
      </c>
      <c r="AZ54" s="1">
        <v>594</v>
      </c>
      <c r="BA54" s="57">
        <v>27</v>
      </c>
      <c r="BB54" s="46">
        <v>42</v>
      </c>
      <c r="BC54" s="46">
        <v>51</v>
      </c>
      <c r="BD54" s="46">
        <v>76</v>
      </c>
      <c r="BE54" s="46">
        <v>81</v>
      </c>
      <c r="BF54" s="46">
        <v>111</v>
      </c>
      <c r="BG54" s="46">
        <v>141</v>
      </c>
      <c r="BH54" s="46">
        <v>181</v>
      </c>
      <c r="BI54" s="46">
        <v>202</v>
      </c>
      <c r="BJ54" s="46">
        <v>223</v>
      </c>
      <c r="BK54" s="46">
        <v>257</v>
      </c>
      <c r="BL54" s="46">
        <v>268</v>
      </c>
      <c r="BM54" s="46">
        <v>274</v>
      </c>
      <c r="BN54" s="46">
        <v>322</v>
      </c>
      <c r="BO54" s="46">
        <v>317</v>
      </c>
      <c r="BP54" s="46">
        <v>347</v>
      </c>
      <c r="BQ54" s="46">
        <v>357</v>
      </c>
      <c r="BR54" s="46">
        <v>350</v>
      </c>
      <c r="BS54" s="46">
        <v>416</v>
      </c>
      <c r="BT54" s="46">
        <v>396</v>
      </c>
      <c r="BU54" s="46">
        <v>395</v>
      </c>
      <c r="BV54" s="46">
        <v>409</v>
      </c>
      <c r="BW54" s="46">
        <v>367</v>
      </c>
      <c r="BX54" s="46">
        <v>316</v>
      </c>
      <c r="BY54" s="46">
        <v>310</v>
      </c>
      <c r="BZ54" s="46">
        <v>397</v>
      </c>
      <c r="CA54" s="46">
        <v>376</v>
      </c>
      <c r="CB54" s="46">
        <v>414</v>
      </c>
      <c r="CC54" s="46">
        <v>385</v>
      </c>
      <c r="CD54" s="46">
        <v>387</v>
      </c>
      <c r="CE54" s="46">
        <v>442</v>
      </c>
      <c r="CF54" s="46">
        <v>463</v>
      </c>
      <c r="CG54" s="46">
        <v>471</v>
      </c>
      <c r="CH54" s="46">
        <v>475</v>
      </c>
      <c r="CI54" s="46">
        <v>469</v>
      </c>
      <c r="CJ54" s="46">
        <v>473</v>
      </c>
      <c r="CK54" s="46">
        <v>537</v>
      </c>
      <c r="CL54" s="46">
        <v>490</v>
      </c>
      <c r="CM54" s="46">
        <v>499</v>
      </c>
      <c r="CN54" s="46">
        <v>536</v>
      </c>
      <c r="CO54" s="46">
        <v>654</v>
      </c>
      <c r="CP54" s="1">
        <v>638</v>
      </c>
      <c r="CQ54" s="90">
        <v>617</v>
      </c>
      <c r="CR54" s="90">
        <v>676</v>
      </c>
      <c r="CS54" s="90">
        <v>727</v>
      </c>
      <c r="CT54" s="90">
        <v>772</v>
      </c>
      <c r="CU54" s="1">
        <v>741</v>
      </c>
      <c r="CV54" s="1">
        <v>844</v>
      </c>
      <c r="CW54" s="1">
        <v>796</v>
      </c>
      <c r="CX54" s="1">
        <v>778</v>
      </c>
      <c r="CY54" s="1">
        <v>864</v>
      </c>
    </row>
    <row r="55" spans="1:104">
      <c r="A55" s="42" t="s">
        <v>65</v>
      </c>
      <c r="B55" s="57">
        <v>43</v>
      </c>
      <c r="C55" s="46">
        <v>54</v>
      </c>
      <c r="D55" s="46">
        <v>57</v>
      </c>
      <c r="E55" s="46">
        <v>79</v>
      </c>
      <c r="F55" s="46">
        <v>76</v>
      </c>
      <c r="G55" s="46">
        <v>60</v>
      </c>
      <c r="H55" s="46">
        <v>69</v>
      </c>
      <c r="I55" s="46">
        <v>67</v>
      </c>
      <c r="J55" s="46">
        <v>85</v>
      </c>
      <c r="K55" s="46">
        <v>78</v>
      </c>
      <c r="L55" s="46">
        <v>65</v>
      </c>
      <c r="M55" s="46">
        <v>52</v>
      </c>
      <c r="N55" s="46">
        <v>85</v>
      </c>
      <c r="O55" s="46">
        <v>92</v>
      </c>
      <c r="P55" s="46">
        <v>132</v>
      </c>
      <c r="Q55" s="46">
        <v>127</v>
      </c>
      <c r="R55" s="46">
        <v>103</v>
      </c>
      <c r="S55" s="46">
        <v>113</v>
      </c>
      <c r="T55" s="46">
        <v>97</v>
      </c>
      <c r="U55" s="46">
        <v>87</v>
      </c>
      <c r="V55" s="46">
        <v>88</v>
      </c>
      <c r="W55" s="46">
        <v>109</v>
      </c>
      <c r="X55" s="46">
        <v>97</v>
      </c>
      <c r="Y55" s="46">
        <v>96</v>
      </c>
      <c r="Z55" s="46">
        <v>97</v>
      </c>
      <c r="AA55" s="46">
        <v>112</v>
      </c>
      <c r="AB55" s="46">
        <v>94</v>
      </c>
      <c r="AC55" s="46">
        <v>112</v>
      </c>
      <c r="AD55" s="46">
        <v>98</v>
      </c>
      <c r="AE55" s="46">
        <v>112</v>
      </c>
      <c r="AF55" s="46">
        <v>123</v>
      </c>
      <c r="AG55" s="46">
        <v>118</v>
      </c>
      <c r="AH55" s="46">
        <v>104</v>
      </c>
      <c r="AI55" s="46">
        <v>91</v>
      </c>
      <c r="AJ55" s="46">
        <v>85</v>
      </c>
      <c r="AK55" s="46">
        <v>81</v>
      </c>
      <c r="AL55" s="46">
        <v>116</v>
      </c>
      <c r="AM55" s="46">
        <v>90</v>
      </c>
      <c r="AN55" s="46">
        <v>88</v>
      </c>
      <c r="AO55" s="46">
        <v>112</v>
      </c>
      <c r="AP55" s="46">
        <v>129</v>
      </c>
      <c r="AQ55" s="46">
        <v>133</v>
      </c>
      <c r="AR55" s="46">
        <v>142</v>
      </c>
      <c r="AS55" s="46">
        <v>192</v>
      </c>
      <c r="AT55" s="46">
        <v>186</v>
      </c>
      <c r="AU55" s="46">
        <v>184</v>
      </c>
      <c r="AV55" s="1">
        <v>175</v>
      </c>
      <c r="AW55" s="1">
        <v>254</v>
      </c>
      <c r="AX55" s="1">
        <v>270</v>
      </c>
      <c r="AY55" s="1">
        <v>229</v>
      </c>
      <c r="AZ55" s="1">
        <v>230</v>
      </c>
      <c r="BA55" s="57">
        <v>2</v>
      </c>
      <c r="BB55" s="46">
        <v>4</v>
      </c>
      <c r="BC55" s="46">
        <v>3</v>
      </c>
      <c r="BD55" s="46">
        <v>5</v>
      </c>
      <c r="BE55" s="46">
        <v>8</v>
      </c>
      <c r="BF55" s="46">
        <v>9</v>
      </c>
      <c r="BG55" s="46">
        <v>19</v>
      </c>
      <c r="BH55" s="46">
        <v>28</v>
      </c>
      <c r="BI55" s="46">
        <v>24</v>
      </c>
      <c r="BJ55" s="46">
        <v>22</v>
      </c>
      <c r="BK55" s="46">
        <v>45</v>
      </c>
      <c r="BL55" s="46">
        <v>31</v>
      </c>
      <c r="BM55" s="46">
        <v>37</v>
      </c>
      <c r="BN55" s="46">
        <v>43</v>
      </c>
      <c r="BO55" s="46">
        <v>42</v>
      </c>
      <c r="BP55" s="46">
        <v>62</v>
      </c>
      <c r="BQ55" s="46">
        <v>67</v>
      </c>
      <c r="BR55" s="46">
        <v>50</v>
      </c>
      <c r="BS55" s="46">
        <v>60</v>
      </c>
      <c r="BT55" s="46">
        <v>52</v>
      </c>
      <c r="BU55" s="46">
        <v>74</v>
      </c>
      <c r="BV55" s="46">
        <v>64</v>
      </c>
      <c r="BW55" s="46">
        <v>82</v>
      </c>
      <c r="BX55" s="46">
        <v>72</v>
      </c>
      <c r="BY55" s="46">
        <v>76</v>
      </c>
      <c r="BZ55" s="46">
        <v>68</v>
      </c>
      <c r="CA55" s="46">
        <v>87</v>
      </c>
      <c r="CB55" s="46">
        <v>77</v>
      </c>
      <c r="CC55" s="46">
        <v>85</v>
      </c>
      <c r="CD55" s="46">
        <v>81</v>
      </c>
      <c r="CE55" s="46">
        <v>92</v>
      </c>
      <c r="CF55" s="46">
        <v>94</v>
      </c>
      <c r="CG55" s="46">
        <v>80</v>
      </c>
      <c r="CH55" s="46">
        <v>81</v>
      </c>
      <c r="CI55" s="46">
        <v>117</v>
      </c>
      <c r="CJ55" s="46">
        <v>136</v>
      </c>
      <c r="CK55" s="46">
        <v>98</v>
      </c>
      <c r="CL55" s="46">
        <v>111</v>
      </c>
      <c r="CM55" s="46">
        <v>129</v>
      </c>
      <c r="CN55" s="46">
        <v>153</v>
      </c>
      <c r="CO55" s="46">
        <v>158</v>
      </c>
      <c r="CP55" s="1">
        <v>174</v>
      </c>
      <c r="CQ55" s="90">
        <v>180</v>
      </c>
      <c r="CR55" s="90">
        <v>238</v>
      </c>
      <c r="CS55" s="90">
        <v>256</v>
      </c>
      <c r="CT55" s="90">
        <v>271</v>
      </c>
      <c r="CU55" s="1">
        <v>275</v>
      </c>
      <c r="CV55" s="1">
        <v>290</v>
      </c>
      <c r="CW55" s="1">
        <v>293</v>
      </c>
      <c r="CX55" s="1">
        <v>316</v>
      </c>
      <c r="CY55" s="1">
        <v>291</v>
      </c>
    </row>
    <row r="56" spans="1:104">
      <c r="A56" s="42" t="s">
        <v>66</v>
      </c>
      <c r="B56" s="57">
        <v>1750</v>
      </c>
      <c r="C56" s="46">
        <v>1938</v>
      </c>
      <c r="D56" s="46">
        <v>2207</v>
      </c>
      <c r="E56" s="46">
        <v>2433</v>
      </c>
      <c r="F56" s="46">
        <v>2507</v>
      </c>
      <c r="G56" s="46">
        <v>2622</v>
      </c>
      <c r="H56" s="46">
        <v>2645</v>
      </c>
      <c r="I56" s="46">
        <v>2609</v>
      </c>
      <c r="J56" s="46">
        <v>2428</v>
      </c>
      <c r="K56" s="46">
        <v>2289</v>
      </c>
      <c r="L56" s="46">
        <v>2386</v>
      </c>
      <c r="M56" s="46">
        <v>2345</v>
      </c>
      <c r="N56" s="46">
        <v>2453</v>
      </c>
      <c r="O56" s="46">
        <v>2404</v>
      </c>
      <c r="P56" s="46">
        <v>2191</v>
      </c>
      <c r="Q56" s="46">
        <v>2274</v>
      </c>
      <c r="R56" s="46">
        <v>2239</v>
      </c>
      <c r="S56" s="46">
        <v>2229</v>
      </c>
      <c r="T56" s="46">
        <v>2232</v>
      </c>
      <c r="U56" s="46">
        <v>2098</v>
      </c>
      <c r="V56" s="46">
        <v>2072</v>
      </c>
      <c r="W56" s="46">
        <v>2031</v>
      </c>
      <c r="X56" s="46">
        <v>1972</v>
      </c>
      <c r="Y56" s="46">
        <v>1983</v>
      </c>
      <c r="Z56" s="46">
        <v>2048</v>
      </c>
      <c r="AA56" s="46">
        <v>2037</v>
      </c>
      <c r="AB56" s="46">
        <v>1982</v>
      </c>
      <c r="AC56" s="46">
        <v>2005</v>
      </c>
      <c r="AD56" s="46">
        <v>2080</v>
      </c>
      <c r="AE56" s="46">
        <v>2031</v>
      </c>
      <c r="AF56" s="46">
        <v>2039</v>
      </c>
      <c r="AG56" s="46">
        <v>2037</v>
      </c>
      <c r="AH56" s="46">
        <v>1990</v>
      </c>
      <c r="AI56" s="46">
        <v>1986</v>
      </c>
      <c r="AJ56" s="46">
        <v>2028</v>
      </c>
      <c r="AK56" s="46">
        <v>2082</v>
      </c>
      <c r="AL56" s="46">
        <v>2111</v>
      </c>
      <c r="AM56" s="46">
        <v>2126</v>
      </c>
      <c r="AN56" s="46">
        <v>2045</v>
      </c>
      <c r="AO56" s="46">
        <v>2053</v>
      </c>
      <c r="AP56" s="46">
        <v>2089</v>
      </c>
      <c r="AQ56" s="46">
        <v>2047</v>
      </c>
      <c r="AR56" s="46">
        <v>2229</v>
      </c>
      <c r="AS56" s="46">
        <v>2209</v>
      </c>
      <c r="AT56" s="46">
        <v>2175</v>
      </c>
      <c r="AU56" s="46">
        <v>2123</v>
      </c>
      <c r="AV56" s="1">
        <v>2061</v>
      </c>
      <c r="AW56" s="1">
        <v>1989</v>
      </c>
      <c r="AX56" s="1">
        <v>1954</v>
      </c>
      <c r="AY56" s="1">
        <v>1947</v>
      </c>
      <c r="AZ56" s="1">
        <v>1945</v>
      </c>
      <c r="BA56" s="57">
        <v>95</v>
      </c>
      <c r="BB56" s="46">
        <v>173</v>
      </c>
      <c r="BC56" s="46">
        <v>222</v>
      </c>
      <c r="BD56" s="46">
        <v>266</v>
      </c>
      <c r="BE56" s="46">
        <v>395</v>
      </c>
      <c r="BF56" s="46">
        <v>460</v>
      </c>
      <c r="BG56" s="46">
        <v>680</v>
      </c>
      <c r="BH56" s="46">
        <v>860</v>
      </c>
      <c r="BI56" s="46">
        <v>907</v>
      </c>
      <c r="BJ56" s="46">
        <v>868</v>
      </c>
      <c r="BK56" s="46">
        <v>1094</v>
      </c>
      <c r="BL56" s="46">
        <v>1151</v>
      </c>
      <c r="BM56" s="46">
        <v>1115</v>
      </c>
      <c r="BN56" s="46">
        <v>1240</v>
      </c>
      <c r="BO56" s="46">
        <v>1306</v>
      </c>
      <c r="BP56" s="46">
        <v>1371</v>
      </c>
      <c r="BQ56" s="46">
        <v>1318</v>
      </c>
      <c r="BR56" s="46">
        <v>1503</v>
      </c>
      <c r="BS56" s="46">
        <v>1489</v>
      </c>
      <c r="BT56" s="46">
        <v>1507</v>
      </c>
      <c r="BU56" s="46">
        <v>1581</v>
      </c>
      <c r="BV56" s="46">
        <v>1643</v>
      </c>
      <c r="BW56" s="46">
        <v>1679</v>
      </c>
      <c r="BX56" s="46">
        <v>1694</v>
      </c>
      <c r="BY56" s="46">
        <v>1723</v>
      </c>
      <c r="BZ56" s="46">
        <v>1619</v>
      </c>
      <c r="CA56" s="46">
        <v>1686</v>
      </c>
      <c r="CB56" s="46">
        <v>1737</v>
      </c>
      <c r="CC56" s="46">
        <v>1868</v>
      </c>
      <c r="CD56" s="46">
        <v>1770</v>
      </c>
      <c r="CE56" s="46">
        <v>1909</v>
      </c>
      <c r="CF56" s="46">
        <v>1861</v>
      </c>
      <c r="CG56" s="46">
        <v>1922</v>
      </c>
      <c r="CH56" s="46">
        <v>2090</v>
      </c>
      <c r="CI56" s="46">
        <v>2200</v>
      </c>
      <c r="CJ56" s="46">
        <v>2223</v>
      </c>
      <c r="CK56" s="46">
        <v>2210</v>
      </c>
      <c r="CL56" s="46">
        <v>2377</v>
      </c>
      <c r="CM56" s="46">
        <v>2280</v>
      </c>
      <c r="CN56" s="46">
        <v>2348</v>
      </c>
      <c r="CO56" s="46">
        <v>2539</v>
      </c>
      <c r="CP56" s="1">
        <v>2601</v>
      </c>
      <c r="CQ56" s="90">
        <v>2806</v>
      </c>
      <c r="CR56" s="90">
        <v>2870</v>
      </c>
      <c r="CS56" s="90">
        <v>2757</v>
      </c>
      <c r="CT56" s="90">
        <v>2859</v>
      </c>
      <c r="CU56" s="1">
        <v>2877</v>
      </c>
      <c r="CV56" s="1">
        <v>2809</v>
      </c>
      <c r="CW56" s="1">
        <v>2893</v>
      </c>
      <c r="CX56" s="1">
        <v>2894</v>
      </c>
      <c r="CY56" s="1">
        <v>2991</v>
      </c>
    </row>
    <row r="57" spans="1:104">
      <c r="A57" s="42" t="s">
        <v>67</v>
      </c>
      <c r="B57" s="57">
        <v>0</v>
      </c>
      <c r="C57" s="46">
        <v>0</v>
      </c>
      <c r="D57" s="46">
        <v>0</v>
      </c>
      <c r="E57" s="46">
        <v>36</v>
      </c>
      <c r="F57" s="46">
        <v>16</v>
      </c>
      <c r="G57" s="46">
        <v>46</v>
      </c>
      <c r="H57" s="46">
        <v>109</v>
      </c>
      <c r="I57" s="46">
        <v>42</v>
      </c>
      <c r="J57" s="46">
        <v>41</v>
      </c>
      <c r="K57" s="46">
        <v>129</v>
      </c>
      <c r="L57" s="46">
        <v>113</v>
      </c>
      <c r="M57" s="46">
        <v>124</v>
      </c>
      <c r="N57" s="46">
        <v>109</v>
      </c>
      <c r="O57" s="46">
        <v>81</v>
      </c>
      <c r="P57" s="46">
        <v>112</v>
      </c>
      <c r="Q57" s="46">
        <v>102</v>
      </c>
      <c r="R57" s="46">
        <v>100</v>
      </c>
      <c r="S57" s="46">
        <v>107</v>
      </c>
      <c r="T57" s="46">
        <v>95</v>
      </c>
      <c r="U57" s="46">
        <v>77</v>
      </c>
      <c r="V57" s="46">
        <v>90</v>
      </c>
      <c r="W57" s="46">
        <v>108</v>
      </c>
      <c r="X57" s="46">
        <v>93</v>
      </c>
      <c r="Y57" s="46">
        <v>108</v>
      </c>
      <c r="Z57" s="46">
        <v>108</v>
      </c>
      <c r="AA57" s="46">
        <v>121</v>
      </c>
      <c r="AB57" s="46">
        <v>109</v>
      </c>
      <c r="AC57" s="46">
        <v>122</v>
      </c>
      <c r="AD57" s="46">
        <v>119</v>
      </c>
      <c r="AE57" s="46">
        <v>131</v>
      </c>
      <c r="AF57" s="46">
        <v>110</v>
      </c>
      <c r="AG57" s="46">
        <v>95</v>
      </c>
      <c r="AH57" s="46">
        <v>93</v>
      </c>
      <c r="AI57" s="46">
        <v>105</v>
      </c>
      <c r="AJ57" s="46">
        <v>90</v>
      </c>
      <c r="AK57" s="46">
        <v>103</v>
      </c>
      <c r="AL57" s="46">
        <v>120</v>
      </c>
      <c r="AM57" s="46">
        <v>117</v>
      </c>
      <c r="AN57" s="46">
        <v>120</v>
      </c>
      <c r="AO57" s="46">
        <v>132</v>
      </c>
      <c r="AP57" s="46">
        <v>154</v>
      </c>
      <c r="AQ57" s="46">
        <v>133</v>
      </c>
      <c r="AR57" s="46">
        <v>147</v>
      </c>
      <c r="AS57" s="46">
        <v>155</v>
      </c>
      <c r="AT57" s="46">
        <v>160</v>
      </c>
      <c r="AU57" s="46">
        <v>126</v>
      </c>
      <c r="AV57" s="1">
        <v>118</v>
      </c>
      <c r="AW57" s="1">
        <v>106</v>
      </c>
      <c r="AX57" s="1">
        <v>118</v>
      </c>
      <c r="AY57" s="1">
        <v>116</v>
      </c>
      <c r="AZ57" s="1">
        <v>120</v>
      </c>
      <c r="BA57" s="57">
        <v>0</v>
      </c>
      <c r="BB57" s="46">
        <v>0</v>
      </c>
      <c r="BC57" s="46">
        <v>0</v>
      </c>
      <c r="BD57" s="46">
        <v>9</v>
      </c>
      <c r="BE57" s="46">
        <v>4</v>
      </c>
      <c r="BF57" s="46">
        <v>11</v>
      </c>
      <c r="BG57" s="46">
        <v>14</v>
      </c>
      <c r="BH57" s="46">
        <v>17</v>
      </c>
      <c r="BI57" s="46">
        <v>17</v>
      </c>
      <c r="BJ57" s="46">
        <v>40</v>
      </c>
      <c r="BK57" s="46">
        <v>62</v>
      </c>
      <c r="BL57" s="46">
        <v>61</v>
      </c>
      <c r="BM57" s="46">
        <v>70</v>
      </c>
      <c r="BN57" s="46">
        <v>41</v>
      </c>
      <c r="BO57" s="46">
        <v>66</v>
      </c>
      <c r="BP57" s="46">
        <v>61</v>
      </c>
      <c r="BQ57" s="46">
        <v>67</v>
      </c>
      <c r="BR57" s="46">
        <v>66</v>
      </c>
      <c r="BS57" s="46">
        <v>77</v>
      </c>
      <c r="BT57" s="46">
        <v>77</v>
      </c>
      <c r="BU57" s="46">
        <v>75</v>
      </c>
      <c r="BV57" s="46">
        <v>76</v>
      </c>
      <c r="BW57" s="46">
        <v>92</v>
      </c>
      <c r="BX57" s="46">
        <v>87</v>
      </c>
      <c r="BY57" s="46">
        <v>74</v>
      </c>
      <c r="BZ57" s="46">
        <v>72</v>
      </c>
      <c r="CA57" s="46">
        <v>75</v>
      </c>
      <c r="CB57" s="46">
        <v>64</v>
      </c>
      <c r="CC57" s="46">
        <v>70</v>
      </c>
      <c r="CD57" s="46">
        <v>77</v>
      </c>
      <c r="CE57" s="46">
        <v>73</v>
      </c>
      <c r="CF57" s="46">
        <v>88</v>
      </c>
      <c r="CG57" s="46">
        <v>73</v>
      </c>
      <c r="CH57" s="46">
        <v>86</v>
      </c>
      <c r="CI57" s="46">
        <v>68</v>
      </c>
      <c r="CJ57" s="46">
        <v>80</v>
      </c>
      <c r="CK57" s="46">
        <v>86</v>
      </c>
      <c r="CL57" s="46">
        <v>81</v>
      </c>
      <c r="CM57" s="46">
        <v>89</v>
      </c>
      <c r="CN57" s="46">
        <v>112</v>
      </c>
      <c r="CO57" s="46">
        <v>124</v>
      </c>
      <c r="CP57" s="1">
        <v>145</v>
      </c>
      <c r="CQ57" s="90">
        <v>136</v>
      </c>
      <c r="CR57" s="90">
        <v>148</v>
      </c>
      <c r="CS57" s="90">
        <v>152</v>
      </c>
      <c r="CT57" s="90">
        <v>139</v>
      </c>
      <c r="CU57" s="1">
        <v>149</v>
      </c>
      <c r="CV57" s="1">
        <v>137</v>
      </c>
      <c r="CW57" s="1">
        <v>160</v>
      </c>
      <c r="CX57" s="1">
        <v>183</v>
      </c>
      <c r="CY57" s="1">
        <v>200</v>
      </c>
    </row>
    <row r="58" spans="1:104">
      <c r="A58" s="42" t="s">
        <v>68</v>
      </c>
      <c r="B58" s="57">
        <v>636</v>
      </c>
      <c r="C58" s="46">
        <v>633</v>
      </c>
      <c r="D58" s="46">
        <v>814</v>
      </c>
      <c r="E58" s="46">
        <v>1071</v>
      </c>
      <c r="F58" s="46">
        <v>1077</v>
      </c>
      <c r="G58" s="46">
        <v>998</v>
      </c>
      <c r="H58" s="46">
        <v>959</v>
      </c>
      <c r="I58" s="46">
        <v>1040</v>
      </c>
      <c r="J58" s="46">
        <v>1018</v>
      </c>
      <c r="K58" s="46">
        <v>1058</v>
      </c>
      <c r="L58" s="46">
        <v>1132</v>
      </c>
      <c r="M58" s="46">
        <v>1126</v>
      </c>
      <c r="N58" s="46">
        <v>1182</v>
      </c>
      <c r="O58" s="46">
        <v>1064</v>
      </c>
      <c r="P58" s="46">
        <v>1143</v>
      </c>
      <c r="Q58" s="46">
        <v>1182</v>
      </c>
      <c r="R58" s="46">
        <v>1121</v>
      </c>
      <c r="S58" s="46">
        <v>1210</v>
      </c>
      <c r="T58" s="46">
        <v>1137</v>
      </c>
      <c r="U58" s="46">
        <v>1062</v>
      </c>
      <c r="V58" s="46">
        <v>1137</v>
      </c>
      <c r="W58" s="46">
        <v>1047</v>
      </c>
      <c r="X58" s="46">
        <v>1144</v>
      </c>
      <c r="Y58" s="46">
        <v>1028</v>
      </c>
      <c r="Z58" s="46">
        <v>1031</v>
      </c>
      <c r="AA58" s="46">
        <v>1014</v>
      </c>
      <c r="AB58" s="46">
        <v>1016</v>
      </c>
      <c r="AC58" s="46">
        <v>1045</v>
      </c>
      <c r="AD58" s="46">
        <v>1134</v>
      </c>
      <c r="AE58" s="46">
        <v>856</v>
      </c>
      <c r="AF58" s="46">
        <v>841</v>
      </c>
      <c r="AG58" s="46">
        <v>860</v>
      </c>
      <c r="AH58" s="46">
        <v>805</v>
      </c>
      <c r="AI58" s="46">
        <v>823</v>
      </c>
      <c r="AJ58" s="46">
        <v>875</v>
      </c>
      <c r="AK58" s="46">
        <v>952</v>
      </c>
      <c r="AL58" s="46">
        <v>884</v>
      </c>
      <c r="AM58" s="46">
        <v>947</v>
      </c>
      <c r="AN58" s="46">
        <v>882</v>
      </c>
      <c r="AO58" s="46">
        <v>868</v>
      </c>
      <c r="AP58" s="46">
        <v>865</v>
      </c>
      <c r="AQ58" s="46">
        <v>825</v>
      </c>
      <c r="AR58" s="46">
        <v>885</v>
      </c>
      <c r="AS58" s="46">
        <v>621</v>
      </c>
      <c r="AT58" s="46">
        <v>885</v>
      </c>
      <c r="AU58" s="46">
        <v>788</v>
      </c>
      <c r="AV58" s="1">
        <v>710</v>
      </c>
      <c r="AW58" s="1">
        <v>788</v>
      </c>
      <c r="AX58" s="1">
        <v>794</v>
      </c>
      <c r="AY58" s="1">
        <v>778</v>
      </c>
      <c r="AZ58" s="1">
        <v>816</v>
      </c>
      <c r="BA58" s="57">
        <v>36</v>
      </c>
      <c r="BB58" s="46">
        <v>50</v>
      </c>
      <c r="BC58" s="46">
        <v>46</v>
      </c>
      <c r="BD58" s="46">
        <v>123</v>
      </c>
      <c r="BE58" s="46">
        <v>167</v>
      </c>
      <c r="BF58" s="46">
        <v>210</v>
      </c>
      <c r="BG58" s="46">
        <v>258</v>
      </c>
      <c r="BH58" s="46">
        <v>281</v>
      </c>
      <c r="BI58" s="46">
        <v>346</v>
      </c>
      <c r="BJ58" s="46">
        <v>396</v>
      </c>
      <c r="BK58" s="46">
        <v>365</v>
      </c>
      <c r="BL58" s="46">
        <v>421</v>
      </c>
      <c r="BM58" s="46">
        <v>460</v>
      </c>
      <c r="BN58" s="46">
        <v>506</v>
      </c>
      <c r="BO58" s="46">
        <v>560</v>
      </c>
      <c r="BP58" s="46">
        <v>561</v>
      </c>
      <c r="BQ58" s="46">
        <v>569</v>
      </c>
      <c r="BR58" s="46">
        <v>543</v>
      </c>
      <c r="BS58" s="46">
        <v>586</v>
      </c>
      <c r="BT58" s="46">
        <v>551</v>
      </c>
      <c r="BU58" s="46">
        <v>626</v>
      </c>
      <c r="BV58" s="46">
        <v>601</v>
      </c>
      <c r="BW58" s="46">
        <v>575</v>
      </c>
      <c r="BX58" s="46">
        <v>651</v>
      </c>
      <c r="BY58" s="46">
        <v>678</v>
      </c>
      <c r="BZ58" s="46">
        <v>656</v>
      </c>
      <c r="CA58" s="46">
        <v>678</v>
      </c>
      <c r="CB58" s="46">
        <v>683</v>
      </c>
      <c r="CC58" s="46">
        <v>651</v>
      </c>
      <c r="CD58" s="46">
        <v>684</v>
      </c>
      <c r="CE58" s="46">
        <v>703</v>
      </c>
      <c r="CF58" s="46">
        <v>745</v>
      </c>
      <c r="CG58" s="46">
        <v>735</v>
      </c>
      <c r="CH58" s="46">
        <v>786</v>
      </c>
      <c r="CI58" s="46">
        <v>787</v>
      </c>
      <c r="CJ58" s="46">
        <v>865</v>
      </c>
      <c r="CK58" s="46">
        <v>812</v>
      </c>
      <c r="CL58" s="46">
        <v>827</v>
      </c>
      <c r="CM58" s="46">
        <v>903</v>
      </c>
      <c r="CN58" s="46">
        <v>865</v>
      </c>
      <c r="CO58" s="46">
        <v>844</v>
      </c>
      <c r="CP58" s="1">
        <v>871</v>
      </c>
      <c r="CQ58" s="90">
        <v>839</v>
      </c>
      <c r="CR58" s="90">
        <v>593</v>
      </c>
      <c r="CS58" s="90">
        <v>883</v>
      </c>
      <c r="CT58" s="90">
        <v>776</v>
      </c>
      <c r="CU58" s="1">
        <v>792</v>
      </c>
      <c r="CV58" s="1">
        <v>902</v>
      </c>
      <c r="CW58" s="1">
        <v>838</v>
      </c>
      <c r="CX58" s="1">
        <v>915</v>
      </c>
      <c r="CY58" s="1">
        <v>931</v>
      </c>
    </row>
    <row r="59" spans="1:104">
      <c r="A59" s="42" t="s">
        <v>69</v>
      </c>
      <c r="B59" s="57">
        <v>3287</v>
      </c>
      <c r="C59" s="46">
        <v>3868</v>
      </c>
      <c r="D59" s="46">
        <v>4253</v>
      </c>
      <c r="E59" s="46">
        <v>4353</v>
      </c>
      <c r="F59" s="46">
        <v>4185</v>
      </c>
      <c r="G59" s="46">
        <v>4306</v>
      </c>
      <c r="H59" s="46">
        <v>4330</v>
      </c>
      <c r="I59" s="46">
        <v>4337</v>
      </c>
      <c r="J59" s="46">
        <v>4186</v>
      </c>
      <c r="K59" s="46">
        <v>4420</v>
      </c>
      <c r="L59" s="46">
        <v>4366</v>
      </c>
      <c r="M59" s="46">
        <v>4439</v>
      </c>
      <c r="N59" s="46">
        <v>4489</v>
      </c>
      <c r="O59" s="46">
        <v>4362</v>
      </c>
      <c r="P59" s="46">
        <v>4596</v>
      </c>
      <c r="Q59" s="46">
        <v>4443</v>
      </c>
      <c r="R59" s="46">
        <v>4211</v>
      </c>
      <c r="S59" s="46">
        <v>4232</v>
      </c>
      <c r="T59" s="46">
        <v>3785</v>
      </c>
      <c r="U59" s="46">
        <v>4170</v>
      </c>
      <c r="V59" s="46">
        <v>4203</v>
      </c>
      <c r="W59" s="46">
        <v>4296</v>
      </c>
      <c r="X59" s="46">
        <v>4364</v>
      </c>
      <c r="Y59" s="46">
        <v>4354</v>
      </c>
      <c r="Z59" s="46">
        <v>4365</v>
      </c>
      <c r="AA59" s="46">
        <v>4499</v>
      </c>
      <c r="AB59" s="46">
        <v>4514</v>
      </c>
      <c r="AC59" s="46">
        <v>4341</v>
      </c>
      <c r="AD59" s="46">
        <v>4219</v>
      </c>
      <c r="AE59" s="46">
        <v>4242</v>
      </c>
      <c r="AF59" s="46">
        <v>4046</v>
      </c>
      <c r="AG59" s="46">
        <v>4096</v>
      </c>
      <c r="AH59" s="46">
        <v>4389</v>
      </c>
      <c r="AI59" s="46">
        <v>4080</v>
      </c>
      <c r="AJ59" s="46">
        <v>4040</v>
      </c>
      <c r="AK59" s="46">
        <v>4282</v>
      </c>
      <c r="AL59" s="46">
        <v>4231</v>
      </c>
      <c r="AM59" s="46">
        <v>4245</v>
      </c>
      <c r="AN59" s="46">
        <v>4348</v>
      </c>
      <c r="AO59" s="46">
        <v>4534</v>
      </c>
      <c r="AP59" s="46">
        <v>4623</v>
      </c>
      <c r="AQ59" s="46">
        <v>4696</v>
      </c>
      <c r="AR59" s="46">
        <v>4863</v>
      </c>
      <c r="AS59" s="46">
        <v>5100</v>
      </c>
      <c r="AT59" s="46">
        <v>4892</v>
      </c>
      <c r="AU59" s="46">
        <v>4673</v>
      </c>
      <c r="AV59" s="1">
        <v>4595</v>
      </c>
      <c r="AW59" s="1">
        <v>4551</v>
      </c>
      <c r="AX59" s="1">
        <v>4573</v>
      </c>
      <c r="AY59" s="1">
        <v>4449</v>
      </c>
      <c r="AZ59" s="1">
        <v>4521</v>
      </c>
      <c r="BA59" s="57">
        <v>230</v>
      </c>
      <c r="BB59" s="46">
        <v>327</v>
      </c>
      <c r="BC59" s="46">
        <v>327</v>
      </c>
      <c r="BD59" s="46">
        <v>432</v>
      </c>
      <c r="BE59" s="46">
        <v>588</v>
      </c>
      <c r="BF59" s="46">
        <v>788</v>
      </c>
      <c r="BG59" s="46">
        <v>1017</v>
      </c>
      <c r="BH59" s="46">
        <v>1222</v>
      </c>
      <c r="BI59" s="46">
        <v>1463</v>
      </c>
      <c r="BJ59" s="46">
        <v>1805</v>
      </c>
      <c r="BK59" s="46">
        <v>1900</v>
      </c>
      <c r="BL59" s="46">
        <v>2073</v>
      </c>
      <c r="BM59" s="46">
        <v>2023</v>
      </c>
      <c r="BN59" s="46">
        <v>2347</v>
      </c>
      <c r="BO59" s="46">
        <v>2506</v>
      </c>
      <c r="BP59" s="46">
        <v>2594</v>
      </c>
      <c r="BQ59" s="46">
        <v>2554</v>
      </c>
      <c r="BR59" s="46">
        <v>2711</v>
      </c>
      <c r="BS59" s="46">
        <v>2489</v>
      </c>
      <c r="BT59" s="46">
        <v>2876</v>
      </c>
      <c r="BU59" s="46">
        <v>2997</v>
      </c>
      <c r="BV59" s="46">
        <v>3172</v>
      </c>
      <c r="BW59" s="46">
        <v>3179</v>
      </c>
      <c r="BX59" s="46">
        <v>3122</v>
      </c>
      <c r="BY59" s="46">
        <v>3077</v>
      </c>
      <c r="BZ59" s="46">
        <v>3137</v>
      </c>
      <c r="CA59" s="46">
        <v>3124</v>
      </c>
      <c r="CB59" s="46">
        <v>3304</v>
      </c>
      <c r="CC59" s="46">
        <v>3272</v>
      </c>
      <c r="CD59" s="46">
        <v>3326</v>
      </c>
      <c r="CE59" s="46">
        <v>3481</v>
      </c>
      <c r="CF59" s="46">
        <v>3682</v>
      </c>
      <c r="CG59" s="46">
        <v>4088</v>
      </c>
      <c r="CH59" s="46">
        <v>4037</v>
      </c>
      <c r="CI59" s="46">
        <v>4333</v>
      </c>
      <c r="CJ59" s="46">
        <v>4450</v>
      </c>
      <c r="CK59" s="46">
        <v>4408</v>
      </c>
      <c r="CL59" s="46">
        <v>4327</v>
      </c>
      <c r="CM59" s="46">
        <v>4692</v>
      </c>
      <c r="CN59" s="46">
        <v>4806</v>
      </c>
      <c r="CO59" s="46">
        <v>5094</v>
      </c>
      <c r="CP59" s="1">
        <v>4954</v>
      </c>
      <c r="CQ59" s="90">
        <v>5320</v>
      </c>
      <c r="CR59" s="90">
        <v>5369</v>
      </c>
      <c r="CS59" s="90">
        <v>5171</v>
      </c>
      <c r="CT59" s="90">
        <v>5105</v>
      </c>
      <c r="CU59" s="1">
        <v>5120</v>
      </c>
      <c r="CV59" s="1">
        <v>5003</v>
      </c>
      <c r="CW59" s="1">
        <v>5246</v>
      </c>
      <c r="CX59" s="1">
        <v>5369</v>
      </c>
      <c r="CY59" s="1">
        <v>5504</v>
      </c>
    </row>
    <row r="60" spans="1:104">
      <c r="A60" s="42" t="s">
        <v>70</v>
      </c>
      <c r="B60" s="57">
        <v>2052</v>
      </c>
      <c r="C60" s="46">
        <v>2183</v>
      </c>
      <c r="D60" s="46">
        <v>2647</v>
      </c>
      <c r="E60" s="46">
        <v>2880</v>
      </c>
      <c r="F60" s="46">
        <v>2871</v>
      </c>
      <c r="G60" s="46">
        <v>2838</v>
      </c>
      <c r="H60" s="46">
        <v>2913</v>
      </c>
      <c r="I60" s="46">
        <v>2834</v>
      </c>
      <c r="J60" s="46">
        <v>2741</v>
      </c>
      <c r="K60" s="46">
        <v>2837</v>
      </c>
      <c r="L60" s="46">
        <v>2756</v>
      </c>
      <c r="M60" s="46">
        <v>2698</v>
      </c>
      <c r="N60" s="46">
        <v>2626</v>
      </c>
      <c r="O60" s="46">
        <v>2539</v>
      </c>
      <c r="P60" s="46">
        <v>2574</v>
      </c>
      <c r="Q60" s="46">
        <v>2400</v>
      </c>
      <c r="R60" s="46">
        <v>2445</v>
      </c>
      <c r="S60" s="46">
        <v>2379</v>
      </c>
      <c r="T60" s="46">
        <v>2409</v>
      </c>
      <c r="U60" s="46">
        <v>2340</v>
      </c>
      <c r="V60" s="46">
        <v>2223</v>
      </c>
      <c r="W60" s="46">
        <v>2040</v>
      </c>
      <c r="X60" s="46">
        <v>2132</v>
      </c>
      <c r="Y60" s="46">
        <v>2217</v>
      </c>
      <c r="Z60" s="46">
        <v>2192</v>
      </c>
      <c r="AA60" s="46">
        <v>2327</v>
      </c>
      <c r="AB60" s="46">
        <v>2250</v>
      </c>
      <c r="AC60" s="46">
        <v>2272</v>
      </c>
      <c r="AD60" s="46">
        <v>2245</v>
      </c>
      <c r="AE60" s="46">
        <v>2265</v>
      </c>
      <c r="AF60" s="46">
        <v>2275</v>
      </c>
      <c r="AG60" s="46">
        <v>2273</v>
      </c>
      <c r="AH60" s="46">
        <v>2366</v>
      </c>
      <c r="AI60" s="46">
        <v>2284</v>
      </c>
      <c r="AJ60" s="46">
        <v>2321</v>
      </c>
      <c r="AK60" s="46">
        <v>2434</v>
      </c>
      <c r="AL60" s="46">
        <v>2384</v>
      </c>
      <c r="AM60" s="46">
        <v>2311</v>
      </c>
      <c r="AN60" s="46">
        <v>2496</v>
      </c>
      <c r="AO60" s="46">
        <v>2670</v>
      </c>
      <c r="AP60" s="46">
        <v>2688</v>
      </c>
      <c r="AQ60" s="46">
        <v>2846</v>
      </c>
      <c r="AR60" s="46">
        <v>2879</v>
      </c>
      <c r="AS60" s="46">
        <v>3148</v>
      </c>
      <c r="AT60" s="46">
        <v>3016</v>
      </c>
      <c r="AU60" s="46">
        <v>3047</v>
      </c>
      <c r="AV60" s="1">
        <v>3094</v>
      </c>
      <c r="AW60" s="1">
        <v>3105</v>
      </c>
      <c r="AX60" s="1">
        <v>3165</v>
      </c>
      <c r="AY60" s="1">
        <v>3101</v>
      </c>
      <c r="AZ60" s="1">
        <v>3114</v>
      </c>
      <c r="BA60" s="57">
        <v>163</v>
      </c>
      <c r="BB60" s="46">
        <v>203</v>
      </c>
      <c r="BC60" s="46">
        <v>249</v>
      </c>
      <c r="BD60" s="46">
        <v>259</v>
      </c>
      <c r="BE60" s="46">
        <v>361</v>
      </c>
      <c r="BF60" s="46">
        <v>431</v>
      </c>
      <c r="BG60" s="46">
        <v>550</v>
      </c>
      <c r="BH60" s="46">
        <v>661</v>
      </c>
      <c r="BI60" s="46">
        <v>836</v>
      </c>
      <c r="BJ60" s="46">
        <v>920</v>
      </c>
      <c r="BK60" s="46">
        <v>935</v>
      </c>
      <c r="BL60" s="46">
        <v>1025</v>
      </c>
      <c r="BM60" s="46">
        <v>995</v>
      </c>
      <c r="BN60" s="46">
        <v>1141</v>
      </c>
      <c r="BO60" s="46">
        <v>1098</v>
      </c>
      <c r="BP60" s="46">
        <v>1214</v>
      </c>
      <c r="BQ60" s="46">
        <v>1270</v>
      </c>
      <c r="BR60" s="46">
        <v>1348</v>
      </c>
      <c r="BS60" s="46">
        <v>1228</v>
      </c>
      <c r="BT60" s="46">
        <v>1235</v>
      </c>
      <c r="BU60" s="46">
        <v>1239</v>
      </c>
      <c r="BV60" s="46">
        <v>1342</v>
      </c>
      <c r="BW60" s="46">
        <v>1429</v>
      </c>
      <c r="BX60" s="46">
        <v>1557</v>
      </c>
      <c r="BY60" s="46">
        <v>1553</v>
      </c>
      <c r="BZ60" s="46">
        <v>1615</v>
      </c>
      <c r="CA60" s="46">
        <v>1625</v>
      </c>
      <c r="CB60" s="46">
        <v>1775</v>
      </c>
      <c r="CC60" s="46">
        <v>1685</v>
      </c>
      <c r="CD60" s="46">
        <v>1809</v>
      </c>
      <c r="CE60" s="46">
        <v>1955</v>
      </c>
      <c r="CF60" s="46">
        <v>2005</v>
      </c>
      <c r="CG60" s="46">
        <v>2072</v>
      </c>
      <c r="CH60" s="46">
        <v>2158</v>
      </c>
      <c r="CI60" s="46">
        <v>2227</v>
      </c>
      <c r="CJ60" s="46">
        <v>2456</v>
      </c>
      <c r="CK60" s="46">
        <v>2408</v>
      </c>
      <c r="CL60" s="46">
        <v>2536</v>
      </c>
      <c r="CM60" s="46">
        <v>2667</v>
      </c>
      <c r="CN60" s="46">
        <v>2984</v>
      </c>
      <c r="CO60" s="46">
        <v>3376</v>
      </c>
      <c r="CP60" s="1">
        <v>3503</v>
      </c>
      <c r="CQ60" s="90">
        <v>3429</v>
      </c>
      <c r="CR60" s="90">
        <v>3603</v>
      </c>
      <c r="CS60" s="90">
        <v>3745</v>
      </c>
      <c r="CT60" s="90">
        <v>3733</v>
      </c>
      <c r="CU60" s="1">
        <v>3705</v>
      </c>
      <c r="CV60" s="1">
        <v>3954</v>
      </c>
      <c r="CW60" s="1">
        <v>3989</v>
      </c>
      <c r="CX60" s="1">
        <v>4258</v>
      </c>
      <c r="CY60" s="1">
        <v>4321</v>
      </c>
    </row>
    <row r="61" spans="1:104">
      <c r="A61" s="42" t="s">
        <v>71</v>
      </c>
      <c r="B61" s="57">
        <v>0</v>
      </c>
      <c r="C61" s="46">
        <v>0</v>
      </c>
      <c r="D61" s="46">
        <v>0</v>
      </c>
      <c r="E61" s="46">
        <v>0</v>
      </c>
      <c r="F61" s="46">
        <v>0</v>
      </c>
      <c r="G61" s="46">
        <v>45</v>
      </c>
      <c r="H61" s="46">
        <v>45</v>
      </c>
      <c r="I61" s="46">
        <v>42</v>
      </c>
      <c r="J61" s="46">
        <v>51</v>
      </c>
      <c r="K61" s="46">
        <v>40</v>
      </c>
      <c r="L61" s="46">
        <v>36</v>
      </c>
      <c r="M61" s="46">
        <v>48</v>
      </c>
      <c r="N61" s="46">
        <v>48</v>
      </c>
      <c r="O61" s="46">
        <v>45</v>
      </c>
      <c r="P61" s="46">
        <v>45</v>
      </c>
      <c r="Q61" s="46">
        <v>46</v>
      </c>
      <c r="R61" s="46">
        <v>47</v>
      </c>
      <c r="S61" s="46">
        <v>48</v>
      </c>
      <c r="T61" s="46">
        <v>41</v>
      </c>
      <c r="U61" s="46">
        <v>49</v>
      </c>
      <c r="V61" s="46">
        <v>46</v>
      </c>
      <c r="W61" s="46">
        <v>41</v>
      </c>
      <c r="X61" s="46">
        <v>53</v>
      </c>
      <c r="Y61" s="46">
        <v>49</v>
      </c>
      <c r="Z61" s="46">
        <v>50</v>
      </c>
      <c r="AA61" s="46">
        <v>37</v>
      </c>
      <c r="AB61" s="46">
        <v>105</v>
      </c>
      <c r="AC61" s="46">
        <v>142</v>
      </c>
      <c r="AD61" s="46">
        <v>115</v>
      </c>
      <c r="AE61" s="46">
        <v>124</v>
      </c>
      <c r="AF61" s="46">
        <v>124</v>
      </c>
      <c r="AG61" s="46">
        <v>110</v>
      </c>
      <c r="AH61" s="46">
        <v>110</v>
      </c>
      <c r="AI61" s="46">
        <v>111</v>
      </c>
      <c r="AJ61" s="46">
        <v>142</v>
      </c>
      <c r="AK61" s="46">
        <v>142</v>
      </c>
      <c r="AL61" s="46">
        <v>162</v>
      </c>
      <c r="AM61" s="46">
        <v>145</v>
      </c>
      <c r="AN61" s="46">
        <v>162</v>
      </c>
      <c r="AO61" s="46">
        <v>181</v>
      </c>
      <c r="AP61" s="46">
        <v>176</v>
      </c>
      <c r="AQ61" s="46">
        <v>154</v>
      </c>
      <c r="AR61" s="46">
        <v>191</v>
      </c>
      <c r="AS61" s="46">
        <v>190</v>
      </c>
      <c r="AT61" s="46">
        <v>175</v>
      </c>
      <c r="AU61" s="46">
        <v>171</v>
      </c>
      <c r="AV61" s="1">
        <v>141</v>
      </c>
      <c r="AW61" s="1">
        <v>149</v>
      </c>
      <c r="AX61" s="1">
        <v>165</v>
      </c>
      <c r="AY61" s="1">
        <v>174</v>
      </c>
      <c r="AZ61" s="1">
        <v>175</v>
      </c>
      <c r="BA61" s="57">
        <v>0</v>
      </c>
      <c r="BB61" s="46">
        <v>0</v>
      </c>
      <c r="BC61" s="46">
        <v>0</v>
      </c>
      <c r="BD61" s="46">
        <v>0</v>
      </c>
      <c r="BE61" s="46">
        <v>0</v>
      </c>
      <c r="BF61" s="46">
        <v>13</v>
      </c>
      <c r="BG61" s="46">
        <v>15</v>
      </c>
      <c r="BH61" s="46">
        <v>18</v>
      </c>
      <c r="BI61" s="46">
        <v>13</v>
      </c>
      <c r="BJ61" s="46">
        <v>20</v>
      </c>
      <c r="BK61" s="46">
        <v>25</v>
      </c>
      <c r="BL61" s="46">
        <v>19</v>
      </c>
      <c r="BM61" s="46">
        <v>16</v>
      </c>
      <c r="BN61" s="46">
        <v>18</v>
      </c>
      <c r="BO61" s="46">
        <v>25</v>
      </c>
      <c r="BP61" s="46">
        <v>34</v>
      </c>
      <c r="BQ61" s="46">
        <v>31</v>
      </c>
      <c r="BR61" s="46">
        <v>30</v>
      </c>
      <c r="BS61" s="46">
        <v>43</v>
      </c>
      <c r="BT61" s="46">
        <v>31</v>
      </c>
      <c r="BU61" s="46">
        <v>36</v>
      </c>
      <c r="BV61" s="46">
        <v>39</v>
      </c>
      <c r="BW61" s="46">
        <v>33</v>
      </c>
      <c r="BX61" s="46">
        <v>32</v>
      </c>
      <c r="BY61" s="46">
        <v>37</v>
      </c>
      <c r="BZ61" s="46">
        <v>39</v>
      </c>
      <c r="CA61" s="46">
        <v>75</v>
      </c>
      <c r="CB61" s="46">
        <v>109</v>
      </c>
      <c r="CC61" s="46">
        <v>116</v>
      </c>
      <c r="CD61" s="46">
        <v>101</v>
      </c>
      <c r="CE61" s="46">
        <v>141</v>
      </c>
      <c r="CF61" s="46">
        <v>140</v>
      </c>
      <c r="CG61" s="46">
        <v>139</v>
      </c>
      <c r="CH61" s="46">
        <v>139</v>
      </c>
      <c r="CI61" s="46">
        <v>179</v>
      </c>
      <c r="CJ61" s="46">
        <v>176</v>
      </c>
      <c r="CK61" s="46">
        <v>192</v>
      </c>
      <c r="CL61" s="46">
        <v>208</v>
      </c>
      <c r="CM61" s="46">
        <v>201</v>
      </c>
      <c r="CN61" s="46">
        <v>186</v>
      </c>
      <c r="CO61" s="46">
        <v>211</v>
      </c>
      <c r="CP61" s="1">
        <v>219</v>
      </c>
      <c r="CQ61" s="90">
        <v>207</v>
      </c>
      <c r="CR61" s="90">
        <v>220</v>
      </c>
      <c r="CS61" s="90">
        <v>219</v>
      </c>
      <c r="CT61" s="90">
        <v>217</v>
      </c>
      <c r="CU61" s="1">
        <v>216</v>
      </c>
      <c r="CV61" s="1">
        <v>209</v>
      </c>
      <c r="CW61" s="1">
        <v>211</v>
      </c>
      <c r="CX61" s="1">
        <v>204</v>
      </c>
      <c r="CY61" s="1">
        <v>238</v>
      </c>
    </row>
    <row r="62" spans="1:104">
      <c r="A62" s="47" t="s">
        <v>72</v>
      </c>
      <c r="B62" s="58">
        <v>55</v>
      </c>
      <c r="C62" s="48">
        <v>44</v>
      </c>
      <c r="D62" s="48">
        <v>62</v>
      </c>
      <c r="E62" s="48">
        <v>75</v>
      </c>
      <c r="F62" s="48">
        <v>53</v>
      </c>
      <c r="G62" s="48">
        <v>64</v>
      </c>
      <c r="H62" s="48">
        <v>139</v>
      </c>
      <c r="I62" s="48">
        <v>190</v>
      </c>
      <c r="J62" s="48">
        <v>145</v>
      </c>
      <c r="K62" s="48">
        <v>123</v>
      </c>
      <c r="L62" s="48">
        <v>133</v>
      </c>
      <c r="M62" s="48">
        <v>153</v>
      </c>
      <c r="N62" s="48">
        <v>140</v>
      </c>
      <c r="O62" s="48">
        <v>154</v>
      </c>
      <c r="P62" s="48">
        <v>140</v>
      </c>
      <c r="Q62" s="48">
        <v>146</v>
      </c>
      <c r="R62" s="48">
        <v>149</v>
      </c>
      <c r="S62" s="48">
        <v>47</v>
      </c>
      <c r="T62" s="48">
        <v>52</v>
      </c>
      <c r="U62" s="48">
        <v>45</v>
      </c>
      <c r="V62" s="48">
        <v>57</v>
      </c>
      <c r="W62" s="48">
        <v>135</v>
      </c>
      <c r="X62" s="48">
        <v>45</v>
      </c>
      <c r="Y62" s="48">
        <v>54</v>
      </c>
      <c r="Z62" s="48">
        <v>46</v>
      </c>
      <c r="AA62" s="48">
        <v>39</v>
      </c>
      <c r="AB62" s="48">
        <v>46</v>
      </c>
      <c r="AC62" s="48">
        <v>45</v>
      </c>
      <c r="AD62" s="48">
        <v>119</v>
      </c>
      <c r="AE62" s="48">
        <v>139</v>
      </c>
      <c r="AF62" s="48">
        <v>104</v>
      </c>
      <c r="AG62" s="48">
        <v>140</v>
      </c>
      <c r="AH62" s="48">
        <v>140</v>
      </c>
      <c r="AI62" s="48">
        <v>121</v>
      </c>
      <c r="AJ62" s="48">
        <v>123</v>
      </c>
      <c r="AK62" s="48">
        <v>110</v>
      </c>
      <c r="AL62" s="48">
        <v>128</v>
      </c>
      <c r="AM62" s="48">
        <v>124</v>
      </c>
      <c r="AN62" s="48">
        <v>105</v>
      </c>
      <c r="AO62" s="48">
        <v>149</v>
      </c>
      <c r="AP62" s="48">
        <v>147</v>
      </c>
      <c r="AQ62" s="48">
        <v>151</v>
      </c>
      <c r="AR62" s="48">
        <v>156</v>
      </c>
      <c r="AS62" s="48">
        <v>155</v>
      </c>
      <c r="AT62" s="48">
        <v>137</v>
      </c>
      <c r="AU62" s="48">
        <v>146</v>
      </c>
      <c r="AV62" s="1">
        <v>114</v>
      </c>
      <c r="AW62" s="1">
        <v>125</v>
      </c>
      <c r="AX62" s="1">
        <v>125</v>
      </c>
      <c r="AY62" s="1">
        <v>122</v>
      </c>
      <c r="AZ62" s="1">
        <v>138</v>
      </c>
      <c r="BA62" s="58">
        <v>3</v>
      </c>
      <c r="BB62" s="48">
        <v>2</v>
      </c>
      <c r="BC62" s="48">
        <v>4</v>
      </c>
      <c r="BD62" s="48">
        <v>3</v>
      </c>
      <c r="BE62" s="48">
        <v>10</v>
      </c>
      <c r="BF62" s="48">
        <v>5</v>
      </c>
      <c r="BG62" s="48">
        <v>12</v>
      </c>
      <c r="BH62" s="48">
        <v>19</v>
      </c>
      <c r="BI62" s="48">
        <v>37</v>
      </c>
      <c r="BJ62" s="48">
        <v>39</v>
      </c>
      <c r="BK62" s="48">
        <v>44</v>
      </c>
      <c r="BL62" s="48">
        <v>43</v>
      </c>
      <c r="BM62" s="48">
        <v>56</v>
      </c>
      <c r="BN62" s="48">
        <v>55</v>
      </c>
      <c r="BO62" s="48">
        <v>61</v>
      </c>
      <c r="BP62" s="48">
        <v>62</v>
      </c>
      <c r="BQ62" s="48">
        <v>57</v>
      </c>
      <c r="BR62" s="48">
        <v>30</v>
      </c>
      <c r="BS62" s="48">
        <v>46</v>
      </c>
      <c r="BT62" s="48">
        <v>40</v>
      </c>
      <c r="BU62" s="48">
        <v>30</v>
      </c>
      <c r="BV62" s="48">
        <v>92</v>
      </c>
      <c r="BW62" s="48">
        <v>46</v>
      </c>
      <c r="BX62" s="48">
        <v>42</v>
      </c>
      <c r="BY62" s="48">
        <v>47</v>
      </c>
      <c r="BZ62" s="48">
        <v>51</v>
      </c>
      <c r="CA62" s="48">
        <v>48</v>
      </c>
      <c r="CB62" s="48">
        <v>45</v>
      </c>
      <c r="CC62" s="48">
        <v>117</v>
      </c>
      <c r="CD62" s="48">
        <v>116</v>
      </c>
      <c r="CE62" s="48">
        <v>129</v>
      </c>
      <c r="CF62" s="48">
        <v>123</v>
      </c>
      <c r="CG62" s="48">
        <v>121</v>
      </c>
      <c r="CH62" s="48">
        <v>127</v>
      </c>
      <c r="CI62" s="48">
        <v>124</v>
      </c>
      <c r="CJ62" s="48">
        <v>149</v>
      </c>
      <c r="CK62" s="48">
        <v>144</v>
      </c>
      <c r="CL62" s="48">
        <v>158</v>
      </c>
      <c r="CM62" s="48">
        <v>149</v>
      </c>
      <c r="CN62" s="48">
        <v>166</v>
      </c>
      <c r="CO62" s="48">
        <v>154</v>
      </c>
      <c r="CP62" s="1">
        <v>174</v>
      </c>
      <c r="CQ62" s="91">
        <v>195</v>
      </c>
      <c r="CR62" s="90">
        <v>192</v>
      </c>
      <c r="CS62" s="90">
        <v>143</v>
      </c>
      <c r="CT62" s="90">
        <v>162</v>
      </c>
      <c r="CU62" s="1">
        <v>147</v>
      </c>
      <c r="CV62" s="1">
        <v>151</v>
      </c>
      <c r="CW62" s="1">
        <v>180</v>
      </c>
      <c r="CX62" s="1">
        <v>154</v>
      </c>
      <c r="CY62" s="1">
        <v>185</v>
      </c>
    </row>
    <row r="63" spans="1:104">
      <c r="A63" s="49" t="s">
        <v>73</v>
      </c>
      <c r="B63" s="59">
        <v>1346</v>
      </c>
      <c r="C63" s="50">
        <v>1411</v>
      </c>
      <c r="D63" s="50">
        <v>1752</v>
      </c>
      <c r="E63" s="50">
        <v>1875</v>
      </c>
      <c r="F63" s="50">
        <v>1891</v>
      </c>
      <c r="G63" s="50">
        <v>1860</v>
      </c>
      <c r="H63" s="50">
        <v>1745</v>
      </c>
      <c r="I63" s="50">
        <v>1719</v>
      </c>
      <c r="J63" s="50">
        <v>1641</v>
      </c>
      <c r="K63" s="50">
        <v>1582</v>
      </c>
      <c r="L63" s="50">
        <v>1595</v>
      </c>
      <c r="M63" s="50">
        <v>1624</v>
      </c>
      <c r="N63" s="50">
        <v>1634</v>
      </c>
      <c r="O63" s="50">
        <v>1566</v>
      </c>
      <c r="P63" s="50">
        <v>1660</v>
      </c>
      <c r="Q63" s="50">
        <v>1568</v>
      </c>
      <c r="R63" s="50">
        <v>1590</v>
      </c>
      <c r="S63" s="50">
        <v>1547</v>
      </c>
      <c r="T63" s="50">
        <v>1397</v>
      </c>
      <c r="U63" s="50">
        <v>1408</v>
      </c>
      <c r="V63" s="50">
        <v>1363</v>
      </c>
      <c r="W63" s="50">
        <v>1263</v>
      </c>
      <c r="X63" s="50">
        <v>1244</v>
      </c>
      <c r="Y63" s="50">
        <v>1263</v>
      </c>
      <c r="Z63" s="50">
        <v>1348</v>
      </c>
      <c r="AA63" s="50">
        <v>1377</v>
      </c>
      <c r="AB63" s="50">
        <v>1311</v>
      </c>
      <c r="AC63" s="50">
        <v>1357</v>
      </c>
      <c r="AD63" s="50">
        <v>1385</v>
      </c>
      <c r="AE63" s="50">
        <v>1396</v>
      </c>
      <c r="AF63" s="50">
        <v>1314</v>
      </c>
      <c r="AG63" s="50">
        <v>1231</v>
      </c>
      <c r="AH63" s="50">
        <v>1258</v>
      </c>
      <c r="AI63" s="50">
        <v>1267</v>
      </c>
      <c r="AJ63" s="50">
        <v>1249</v>
      </c>
      <c r="AK63" s="50">
        <v>1347</v>
      </c>
      <c r="AL63" s="50">
        <v>1269</v>
      </c>
      <c r="AM63" s="50">
        <v>1401</v>
      </c>
      <c r="AN63" s="50">
        <v>1434</v>
      </c>
      <c r="AO63" s="50">
        <v>1443</v>
      </c>
      <c r="AP63" s="50">
        <v>1438</v>
      </c>
      <c r="AQ63" s="50">
        <v>1376</v>
      </c>
      <c r="AR63" s="50">
        <v>1403</v>
      </c>
      <c r="AS63" s="50">
        <v>1413</v>
      </c>
      <c r="AT63" s="50">
        <v>1390</v>
      </c>
      <c r="AU63" s="50">
        <v>1291</v>
      </c>
      <c r="AV63" s="95">
        <v>1360</v>
      </c>
      <c r="AW63" s="95">
        <v>1231</v>
      </c>
      <c r="AX63" s="95">
        <v>1221</v>
      </c>
      <c r="AY63" s="95">
        <v>1220</v>
      </c>
      <c r="AZ63" s="95">
        <v>1104</v>
      </c>
      <c r="BA63" s="59">
        <v>107</v>
      </c>
      <c r="BB63" s="50">
        <v>133</v>
      </c>
      <c r="BC63" s="50">
        <v>181</v>
      </c>
      <c r="BD63" s="50">
        <v>234</v>
      </c>
      <c r="BE63" s="50">
        <v>398</v>
      </c>
      <c r="BF63" s="50">
        <v>407</v>
      </c>
      <c r="BG63" s="50">
        <v>512</v>
      </c>
      <c r="BH63" s="50">
        <v>596</v>
      </c>
      <c r="BI63" s="50">
        <v>690</v>
      </c>
      <c r="BJ63" s="50">
        <v>777</v>
      </c>
      <c r="BK63" s="50">
        <v>780</v>
      </c>
      <c r="BL63" s="50">
        <v>836</v>
      </c>
      <c r="BM63" s="50">
        <v>916</v>
      </c>
      <c r="BN63" s="50">
        <v>937</v>
      </c>
      <c r="BO63" s="50">
        <v>1018</v>
      </c>
      <c r="BP63" s="50">
        <v>990</v>
      </c>
      <c r="BQ63" s="50">
        <v>1053</v>
      </c>
      <c r="BR63" s="50">
        <v>1134</v>
      </c>
      <c r="BS63" s="50">
        <v>1040</v>
      </c>
      <c r="BT63" s="50">
        <v>1059</v>
      </c>
      <c r="BU63" s="50">
        <v>1135</v>
      </c>
      <c r="BV63" s="50">
        <v>1047</v>
      </c>
      <c r="BW63" s="50">
        <v>1010</v>
      </c>
      <c r="BX63" s="50">
        <v>1058</v>
      </c>
      <c r="BY63" s="50">
        <v>1072</v>
      </c>
      <c r="BZ63" s="50">
        <v>1090</v>
      </c>
      <c r="CA63" s="50">
        <v>1184</v>
      </c>
      <c r="CB63" s="50">
        <v>1245</v>
      </c>
      <c r="CC63" s="50">
        <v>1291</v>
      </c>
      <c r="CD63" s="50">
        <v>1234</v>
      </c>
      <c r="CE63" s="50">
        <v>1288</v>
      </c>
      <c r="CF63" s="50">
        <v>1286</v>
      </c>
      <c r="CG63" s="50">
        <v>1423</v>
      </c>
      <c r="CH63" s="50">
        <v>1338</v>
      </c>
      <c r="CI63" s="50">
        <v>1406</v>
      </c>
      <c r="CJ63" s="50">
        <v>1603</v>
      </c>
      <c r="CK63" s="50">
        <v>1455</v>
      </c>
      <c r="CL63" s="50">
        <v>1454</v>
      </c>
      <c r="CM63" s="50">
        <v>1403</v>
      </c>
      <c r="CN63" s="50">
        <v>1417</v>
      </c>
      <c r="CO63" s="50">
        <v>1424</v>
      </c>
      <c r="CP63" s="50">
        <v>1514</v>
      </c>
      <c r="CQ63" s="92">
        <v>1538</v>
      </c>
      <c r="CR63" s="92">
        <v>1559</v>
      </c>
      <c r="CS63" s="92">
        <v>1468</v>
      </c>
      <c r="CT63" s="92">
        <v>1449</v>
      </c>
      <c r="CU63" s="95">
        <v>1468</v>
      </c>
      <c r="CV63" s="95">
        <v>1500</v>
      </c>
      <c r="CW63" s="95">
        <v>1496</v>
      </c>
      <c r="CX63" s="95">
        <v>1525</v>
      </c>
      <c r="CY63" s="116">
        <v>1547</v>
      </c>
    </row>
    <row r="64" spans="1:104">
      <c r="K64" s="8"/>
      <c r="L64" s="8"/>
      <c r="M64" s="8"/>
      <c r="N64" s="8"/>
      <c r="O64" s="8"/>
      <c r="P64"/>
      <c r="Q64"/>
      <c r="R64"/>
      <c r="S64"/>
      <c r="AC64" s="8"/>
      <c r="AD64" s="8"/>
      <c r="AE64" s="8"/>
      <c r="AH64"/>
      <c r="AI64"/>
      <c r="AJ64"/>
      <c r="AK64"/>
    </row>
    <row r="65" spans="2:102">
      <c r="K65" s="8"/>
      <c r="L65" s="8"/>
      <c r="M65" s="8"/>
      <c r="N65" s="8"/>
      <c r="O65" s="8"/>
      <c r="P65" s="8"/>
      <c r="Q65" s="8"/>
      <c r="R65" s="8"/>
      <c r="S65" s="8"/>
      <c r="AC65" s="8"/>
      <c r="AD65" s="8"/>
      <c r="AE65" s="8"/>
      <c r="AJ65" s="1" t="s">
        <v>134</v>
      </c>
      <c r="AN65" s="5" t="s">
        <v>134</v>
      </c>
      <c r="AO65" s="5" t="s">
        <v>134</v>
      </c>
      <c r="AP65" s="5"/>
      <c r="AQ65" s="5"/>
      <c r="AR65" s="5"/>
      <c r="AS65" s="5"/>
      <c r="AT65" s="5"/>
      <c r="AU65" s="5"/>
      <c r="CI65" s="1" t="s">
        <v>134</v>
      </c>
      <c r="CM65" s="5" t="s">
        <v>134</v>
      </c>
      <c r="CN65" s="5" t="s">
        <v>134</v>
      </c>
      <c r="CO65" s="5"/>
      <c r="CQ65" s="5" t="s">
        <v>134</v>
      </c>
      <c r="CR65" s="5"/>
      <c r="CS65" s="5"/>
      <c r="CT65" s="5"/>
    </row>
    <row r="66" spans="2:102">
      <c r="B66" s="1" t="s">
        <v>134</v>
      </c>
      <c r="H66" s="5"/>
      <c r="T66" s="5"/>
      <c r="Z66" s="5"/>
      <c r="AJ66" s="1" t="s">
        <v>141</v>
      </c>
      <c r="AM66" s="5" t="s">
        <v>134</v>
      </c>
      <c r="AN66" s="5" t="s">
        <v>141</v>
      </c>
      <c r="AO66" s="1" t="s">
        <v>141</v>
      </c>
      <c r="AY66" s="5" t="s">
        <v>134</v>
      </c>
      <c r="AZ66" s="5"/>
      <c r="CI66" s="1" t="s">
        <v>141</v>
      </c>
      <c r="CM66" s="5" t="s">
        <v>141</v>
      </c>
      <c r="CN66" s="1" t="s">
        <v>141</v>
      </c>
      <c r="CQ66" s="1" t="s">
        <v>141</v>
      </c>
      <c r="CX66" s="5" t="s">
        <v>134</v>
      </c>
    </row>
    <row r="67" spans="2:102">
      <c r="B67" s="1" t="s">
        <v>138</v>
      </c>
      <c r="H67" s="5"/>
      <c r="T67" s="5"/>
      <c r="Z67" s="5"/>
      <c r="AJ67" s="1" t="s">
        <v>147</v>
      </c>
      <c r="AM67" s="5" t="s">
        <v>141</v>
      </c>
      <c r="AN67" s="5" t="s">
        <v>147</v>
      </c>
      <c r="AO67" s="1" t="s">
        <v>147</v>
      </c>
      <c r="AY67" s="1" t="s">
        <v>141</v>
      </c>
      <c r="CI67" s="1" t="s">
        <v>147</v>
      </c>
      <c r="CM67" s="5" t="s">
        <v>147</v>
      </c>
      <c r="CN67" s="1" t="s">
        <v>147</v>
      </c>
      <c r="CQ67" s="1" t="s">
        <v>147</v>
      </c>
      <c r="CX67" s="1" t="s">
        <v>141</v>
      </c>
    </row>
    <row r="68" spans="2:102">
      <c r="B68" s="1" t="s">
        <v>144</v>
      </c>
      <c r="H68" s="5"/>
      <c r="T68" s="5"/>
      <c r="Z68" s="5"/>
      <c r="AJ68" s="1" t="s">
        <v>152</v>
      </c>
      <c r="AM68" s="5" t="s">
        <v>147</v>
      </c>
      <c r="AN68" s="5" t="s">
        <v>153</v>
      </c>
      <c r="AO68" s="1" t="s">
        <v>152</v>
      </c>
      <c r="AY68" s="1" t="s">
        <v>147</v>
      </c>
      <c r="CI68" s="1" t="s">
        <v>152</v>
      </c>
      <c r="CM68" s="5" t="s">
        <v>153</v>
      </c>
      <c r="CN68" s="1" t="s">
        <v>152</v>
      </c>
      <c r="CQ68" s="1" t="s">
        <v>152</v>
      </c>
      <c r="CX68" s="1" t="s">
        <v>147</v>
      </c>
    </row>
    <row r="69" spans="2:102">
      <c r="B69" s="1" t="s">
        <v>149</v>
      </c>
      <c r="H69" s="5"/>
      <c r="T69" s="5"/>
      <c r="Z69" s="5"/>
      <c r="AJ69" s="1" t="s">
        <v>156</v>
      </c>
      <c r="AM69" s="5" t="s">
        <v>153</v>
      </c>
      <c r="AN69" s="5" t="s">
        <v>156</v>
      </c>
      <c r="AO69" s="1" t="s">
        <v>156</v>
      </c>
      <c r="AY69" s="1" t="s">
        <v>152</v>
      </c>
      <c r="CI69" s="1" t="s">
        <v>156</v>
      </c>
      <c r="CM69" s="5" t="s">
        <v>156</v>
      </c>
      <c r="CN69" s="1" t="s">
        <v>156</v>
      </c>
      <c r="CQ69" s="1" t="s">
        <v>156</v>
      </c>
      <c r="CX69" s="1" t="s">
        <v>152</v>
      </c>
    </row>
    <row r="70" spans="2:102" ht="12.75" customHeight="1">
      <c r="B70" s="1" t="s">
        <v>155</v>
      </c>
      <c r="H70" s="5"/>
      <c r="T70" s="5"/>
      <c r="Z70" s="5"/>
      <c r="AJ70" s="1" t="s">
        <v>159</v>
      </c>
      <c r="AM70" s="5" t="s">
        <v>156</v>
      </c>
      <c r="AN70" s="5" t="s">
        <v>159</v>
      </c>
      <c r="AO70" s="1" t="s">
        <v>159</v>
      </c>
      <c r="AY70" s="1" t="s">
        <v>156</v>
      </c>
      <c r="CI70" s="1" t="s">
        <v>159</v>
      </c>
      <c r="CM70" s="5" t="s">
        <v>159</v>
      </c>
      <c r="CN70" s="1" t="s">
        <v>159</v>
      </c>
      <c r="CQ70" s="1" t="s">
        <v>159</v>
      </c>
      <c r="CX70" s="1" t="s">
        <v>156</v>
      </c>
    </row>
    <row r="71" spans="2:102" ht="12.75" customHeight="1">
      <c r="B71" s="1" t="s">
        <v>158</v>
      </c>
      <c r="H71" s="5"/>
      <c r="T71" s="5"/>
      <c r="Z71" s="5"/>
      <c r="AJ71" s="1" t="s">
        <v>163</v>
      </c>
      <c r="AM71" s="5" t="s">
        <v>159</v>
      </c>
      <c r="AN71" s="5" t="s">
        <v>163</v>
      </c>
      <c r="AO71" s="1" t="s">
        <v>164</v>
      </c>
      <c r="AY71" s="1" t="s">
        <v>159</v>
      </c>
      <c r="CI71" s="1" t="s">
        <v>163</v>
      </c>
      <c r="CM71" s="5" t="s">
        <v>163</v>
      </c>
      <c r="CN71" s="1" t="s">
        <v>164</v>
      </c>
      <c r="CQ71" s="1" t="s">
        <v>164</v>
      </c>
      <c r="CX71" s="1" t="s">
        <v>159</v>
      </c>
    </row>
    <row r="72" spans="2:102" ht="12.75" customHeight="1">
      <c r="B72" s="1" t="s">
        <v>161</v>
      </c>
      <c r="H72" s="5"/>
      <c r="T72" s="5"/>
      <c r="Z72" s="5"/>
      <c r="AJ72" s="1" t="s">
        <v>168</v>
      </c>
      <c r="AM72" s="5" t="s">
        <v>163</v>
      </c>
      <c r="AN72" s="7" t="s">
        <v>168</v>
      </c>
      <c r="AO72" s="1" t="s">
        <v>169</v>
      </c>
      <c r="AY72" s="1" t="s">
        <v>164</v>
      </c>
      <c r="CI72" s="1" t="s">
        <v>168</v>
      </c>
      <c r="CM72" s="7" t="s">
        <v>168</v>
      </c>
      <c r="CN72" s="1" t="s">
        <v>169</v>
      </c>
      <c r="CQ72" s="1" t="s">
        <v>169</v>
      </c>
      <c r="CX72" s="1" t="s">
        <v>164</v>
      </c>
    </row>
    <row r="73" spans="2:102" ht="12.75" customHeight="1">
      <c r="B73" s="1" t="s">
        <v>166</v>
      </c>
      <c r="T73" s="5"/>
      <c r="AJ73" s="1" t="s">
        <v>171</v>
      </c>
      <c r="AM73" s="7" t="s">
        <v>168</v>
      </c>
      <c r="AN73" s="7" t="s">
        <v>171</v>
      </c>
      <c r="AO73" s="1" t="s">
        <v>172</v>
      </c>
      <c r="AY73" s="1" t="s">
        <v>169</v>
      </c>
      <c r="CI73" s="1" t="s">
        <v>171</v>
      </c>
      <c r="CM73" s="7" t="s">
        <v>171</v>
      </c>
      <c r="CN73" s="1" t="s">
        <v>172</v>
      </c>
      <c r="CQ73" s="1" t="s">
        <v>172</v>
      </c>
      <c r="CX73" s="1" t="s">
        <v>169</v>
      </c>
    </row>
    <row r="74" spans="2:102" ht="12.75" customHeight="1">
      <c r="B74" s="1" t="s">
        <v>170</v>
      </c>
      <c r="T74" s="5"/>
      <c r="AJ74" s="1" t="s">
        <v>174</v>
      </c>
      <c r="AM74" s="7" t="s">
        <v>171</v>
      </c>
      <c r="AN74" s="7" t="s">
        <v>174</v>
      </c>
      <c r="AO74" s="1" t="s">
        <v>175</v>
      </c>
      <c r="AY74" s="1" t="s">
        <v>172</v>
      </c>
      <c r="CI74" s="1" t="s">
        <v>174</v>
      </c>
      <c r="CM74" s="7" t="s">
        <v>174</v>
      </c>
      <c r="CN74" s="1" t="s">
        <v>175</v>
      </c>
      <c r="CQ74" s="1" t="s">
        <v>234</v>
      </c>
      <c r="CX74" s="1" t="s">
        <v>172</v>
      </c>
    </row>
    <row r="75" spans="2:102" ht="12.75" customHeight="1">
      <c r="B75" s="1" t="s">
        <v>235</v>
      </c>
      <c r="T75" s="5"/>
      <c r="AJ75" s="1" t="s">
        <v>180</v>
      </c>
      <c r="AM75" s="7" t="s">
        <v>174</v>
      </c>
      <c r="AN75" s="7" t="s">
        <v>180</v>
      </c>
      <c r="AO75" s="1" t="s">
        <v>180</v>
      </c>
      <c r="AY75" s="1" t="s">
        <v>176</v>
      </c>
      <c r="CI75" s="1" t="s">
        <v>180</v>
      </c>
      <c r="CM75" s="7" t="s">
        <v>180</v>
      </c>
      <c r="CN75" s="1" t="s">
        <v>180</v>
      </c>
      <c r="CQ75" s="1" t="s">
        <v>180</v>
      </c>
      <c r="CX75" s="1" t="s">
        <v>176</v>
      </c>
    </row>
    <row r="76" spans="2:102" ht="12.75" customHeight="1">
      <c r="B76" s="1" t="s">
        <v>236</v>
      </c>
      <c r="T76" s="5"/>
      <c r="AM76" s="7" t="s">
        <v>180</v>
      </c>
      <c r="AY76" s="1" t="s">
        <v>180</v>
      </c>
      <c r="CX76" s="1" t="s">
        <v>180</v>
      </c>
    </row>
    <row r="77" spans="2:102">
      <c r="B77" s="5" t="s">
        <v>237</v>
      </c>
      <c r="T77" s="5"/>
      <c r="AN77" s="1" t="s">
        <v>185</v>
      </c>
      <c r="AO77" s="1" t="s">
        <v>185</v>
      </c>
      <c r="CM77" s="1" t="s">
        <v>185</v>
      </c>
      <c r="CN77" s="1" t="s">
        <v>185</v>
      </c>
    </row>
    <row r="78" spans="2:102">
      <c r="AN78" s="1" t="s">
        <v>187</v>
      </c>
      <c r="AO78" s="1" t="s">
        <v>187</v>
      </c>
      <c r="CM78" s="1" t="s">
        <v>187</v>
      </c>
      <c r="CN78" s="1" t="s">
        <v>187</v>
      </c>
    </row>
    <row r="79" spans="2:102">
      <c r="AN79" s="1" t="s">
        <v>188</v>
      </c>
      <c r="AO79" s="1" t="s">
        <v>188</v>
      </c>
      <c r="CM79" s="1" t="s">
        <v>188</v>
      </c>
      <c r="CN79" s="1" t="s">
        <v>188</v>
      </c>
    </row>
    <row r="80" spans="2:102">
      <c r="AN80" s="1" t="s">
        <v>189</v>
      </c>
      <c r="AO80" s="1" t="s">
        <v>189</v>
      </c>
      <c r="CM80" s="1" t="s">
        <v>189</v>
      </c>
      <c r="CN80" s="1" t="s">
        <v>189</v>
      </c>
    </row>
    <row r="81" spans="40:93">
      <c r="AN81" s="1" t="s">
        <v>190</v>
      </c>
      <c r="AO81" s="1" t="s">
        <v>190</v>
      </c>
      <c r="CM81" s="1" t="s">
        <v>190</v>
      </c>
      <c r="CN81" s="1" t="s">
        <v>190</v>
      </c>
    </row>
    <row r="82" spans="40:93">
      <c r="AN82" s="1" t="s">
        <v>191</v>
      </c>
      <c r="AO82" s="1" t="s">
        <v>191</v>
      </c>
      <c r="CM82" s="1" t="s">
        <v>191</v>
      </c>
      <c r="CN82" s="1" t="s">
        <v>191</v>
      </c>
    </row>
    <row r="83" spans="40:93">
      <c r="AN83" s="1" t="s">
        <v>192</v>
      </c>
      <c r="AO83" s="1" t="s">
        <v>192</v>
      </c>
      <c r="CM83" s="1" t="s">
        <v>192</v>
      </c>
      <c r="CN83" s="1" t="s">
        <v>192</v>
      </c>
    </row>
    <row r="84" spans="40:93">
      <c r="AN84" s="1" t="s">
        <v>193</v>
      </c>
      <c r="AO84" s="1" t="s">
        <v>193</v>
      </c>
      <c r="CM84" s="1" t="s">
        <v>193</v>
      </c>
      <c r="CN84" s="1" t="s">
        <v>193</v>
      </c>
    </row>
    <row r="85" spans="40:93">
      <c r="AN85" s="1" t="s">
        <v>194</v>
      </c>
      <c r="AO85" s="1" t="s">
        <v>194</v>
      </c>
      <c r="CM85" s="1" t="s">
        <v>194</v>
      </c>
      <c r="CN85" s="1" t="s">
        <v>194</v>
      </c>
    </row>
    <row r="86" spans="40:93">
      <c r="AN86" s="1" t="s">
        <v>195</v>
      </c>
      <c r="AO86" s="1" t="s">
        <v>195</v>
      </c>
      <c r="CM86" s="1" t="s">
        <v>195</v>
      </c>
      <c r="CN86" s="1" t="s">
        <v>195</v>
      </c>
    </row>
    <row r="87" spans="40:93">
      <c r="AN87" s="1" t="s">
        <v>196</v>
      </c>
      <c r="AO87" s="1" t="s">
        <v>196</v>
      </c>
      <c r="CM87" s="1" t="s">
        <v>196</v>
      </c>
      <c r="CN87" s="1" t="s">
        <v>196</v>
      </c>
    </row>
    <row r="88" spans="40:93">
      <c r="AN88" s="1" t="s">
        <v>197</v>
      </c>
      <c r="AO88" s="1" t="s">
        <v>197</v>
      </c>
      <c r="CM88" s="1" t="s">
        <v>197</v>
      </c>
      <c r="CN88" s="1" t="s">
        <v>197</v>
      </c>
    </row>
    <row r="89" spans="40:93">
      <c r="AN89" s="1" t="s">
        <v>198</v>
      </c>
      <c r="AO89" s="1" t="s">
        <v>198</v>
      </c>
      <c r="CM89" s="1" t="s">
        <v>198</v>
      </c>
      <c r="CN89" s="1" t="s">
        <v>198</v>
      </c>
    </row>
    <row r="90" spans="40:93">
      <c r="AN90" s="1" t="s">
        <v>199</v>
      </c>
      <c r="AO90" s="1" t="s">
        <v>199</v>
      </c>
      <c r="CM90" s="1" t="s">
        <v>199</v>
      </c>
      <c r="CN90" s="1" t="s">
        <v>199</v>
      </c>
    </row>
    <row r="91" spans="40:93">
      <c r="AN91" s="52" t="s">
        <v>200</v>
      </c>
      <c r="AO91" s="52" t="s">
        <v>200</v>
      </c>
      <c r="AP91" s="52"/>
      <c r="AQ91" s="52"/>
      <c r="AR91" s="52"/>
      <c r="AS91" s="52"/>
      <c r="AT91" s="52"/>
      <c r="AU91" s="52"/>
      <c r="CM91" s="52" t="s">
        <v>200</v>
      </c>
      <c r="CN91" s="52" t="s">
        <v>200</v>
      </c>
      <c r="CO91" s="52"/>
    </row>
    <row r="93" spans="40:93">
      <c r="AN93" s="74" t="s">
        <v>238</v>
      </c>
      <c r="CM93" s="1" t="s">
        <v>201</v>
      </c>
    </row>
    <row r="94" spans="40:93">
      <c r="AN94" s="1" t="s">
        <v>201</v>
      </c>
      <c r="AO94" s="52"/>
      <c r="AP94" s="52"/>
      <c r="AQ94" s="52"/>
      <c r="AR94" s="52"/>
      <c r="AS94" s="52"/>
      <c r="AT94" s="52"/>
      <c r="AU94" s="52"/>
      <c r="CM94" s="1" t="s">
        <v>202</v>
      </c>
      <c r="CN94" s="52"/>
      <c r="CO94" s="52"/>
    </row>
    <row r="95" spans="40:93">
      <c r="AN95" s="1" t="s">
        <v>239</v>
      </c>
      <c r="CM95" s="1" t="s">
        <v>203</v>
      </c>
    </row>
    <row r="96" spans="40:93">
      <c r="AN96" s="1" t="s">
        <v>240</v>
      </c>
      <c r="CM96" s="1" t="s">
        <v>204</v>
      </c>
    </row>
    <row r="97" spans="40:93">
      <c r="AN97" s="1" t="s">
        <v>203</v>
      </c>
      <c r="CM97" s="1" t="s">
        <v>205</v>
      </c>
    </row>
    <row r="98" spans="40:93">
      <c r="AN98" s="1" t="s">
        <v>204</v>
      </c>
      <c r="CM98" s="1" t="s">
        <v>206</v>
      </c>
    </row>
    <row r="99" spans="40:93">
      <c r="AN99" s="1" t="s">
        <v>205</v>
      </c>
    </row>
    <row r="100" spans="40:93">
      <c r="AN100" s="1" t="s">
        <v>206</v>
      </c>
    </row>
    <row r="101" spans="40:93">
      <c r="AO101"/>
      <c r="AP101"/>
      <c r="AQ101"/>
      <c r="AR101"/>
      <c r="AS101"/>
      <c r="AT101"/>
      <c r="AU101"/>
      <c r="CN101"/>
      <c r="CO101"/>
    </row>
    <row r="102" spans="40:93">
      <c r="AO102"/>
      <c r="AP102"/>
      <c r="AQ102"/>
      <c r="AR102"/>
      <c r="AS102"/>
      <c r="AT102"/>
      <c r="AU102"/>
      <c r="CN102"/>
      <c r="CO102"/>
    </row>
    <row r="103" spans="40:93">
      <c r="AO103"/>
      <c r="AP103"/>
      <c r="AQ103"/>
      <c r="AR103"/>
      <c r="AS103"/>
      <c r="AT103"/>
      <c r="AU103"/>
      <c r="CN103"/>
      <c r="CO103"/>
    </row>
    <row r="104" spans="40:93">
      <c r="AN104"/>
      <c r="AO104"/>
      <c r="AP104"/>
      <c r="AQ104"/>
      <c r="AR104"/>
      <c r="AS104"/>
      <c r="AT104"/>
      <c r="AU104"/>
      <c r="CM104"/>
      <c r="CN104"/>
      <c r="CO104"/>
    </row>
    <row r="105" spans="40:93">
      <c r="AN105"/>
      <c r="AO105"/>
      <c r="AP105"/>
      <c r="AQ105"/>
      <c r="AR105"/>
      <c r="AS105"/>
      <c r="AT105"/>
      <c r="AU105"/>
      <c r="CM105"/>
      <c r="CN105"/>
      <c r="CO105"/>
    </row>
    <row r="106" spans="40:93">
      <c r="AN106"/>
      <c r="AO106"/>
      <c r="AP106"/>
      <c r="AQ106"/>
      <c r="AR106"/>
      <c r="AS106"/>
      <c r="AT106"/>
      <c r="AU106"/>
      <c r="CM106"/>
      <c r="CN106"/>
      <c r="CO106"/>
    </row>
    <row r="107" spans="40:93">
      <c r="AN107"/>
      <c r="AO107"/>
      <c r="AP107"/>
      <c r="AQ107"/>
      <c r="AR107"/>
      <c r="AS107"/>
      <c r="AT107"/>
      <c r="AU107"/>
      <c r="CM107"/>
      <c r="CN107"/>
      <c r="CO107"/>
    </row>
    <row r="108" spans="40:93">
      <c r="AN108"/>
      <c r="AO108"/>
      <c r="AP108"/>
      <c r="AQ108"/>
      <c r="AR108"/>
      <c r="AS108"/>
      <c r="AT108"/>
      <c r="AU108"/>
      <c r="CM108"/>
      <c r="CN108"/>
      <c r="CO108"/>
    </row>
    <row r="109" spans="40:93">
      <c r="AN109"/>
      <c r="AO109"/>
      <c r="AP109"/>
      <c r="AQ109"/>
      <c r="AR109"/>
      <c r="AS109"/>
      <c r="AT109"/>
      <c r="AU109"/>
      <c r="CM109"/>
      <c r="CN109"/>
      <c r="CO109"/>
    </row>
  </sheetData>
  <phoneticPr fontId="0" type="noConversion"/>
  <hyperlinks>
    <hyperlink ref="AJ75" r:id="rId1" display="www.nces.ed.gov" xr:uid="{00000000-0004-0000-0300-000000000000}"/>
    <hyperlink ref="CI75" r:id="rId2" display="www.nces.ed.gov" xr:uid="{00000000-0004-0000-0300-000001000000}"/>
    <hyperlink ref="CN75" r:id="rId3" display="www.nces.ed.gov" xr:uid="{00000000-0004-0000-0300-000002000000}"/>
    <hyperlink ref="AO75" r:id="rId4" display="www.nces.ed.gov" xr:uid="{00000000-0004-0000-0300-000003000000}"/>
    <hyperlink ref="CQ75" r:id="rId5" display="www.nces.ed.gov" xr:uid="{00000000-0004-0000-0300-000004000000}"/>
    <hyperlink ref="AY76" r:id="rId6" display="www.nces.ed.gov" xr:uid="{31022BEA-5197-4BEF-9E5F-0E3BCE150FC1}"/>
    <hyperlink ref="CX76" r:id="rId7" display="www.nces.ed.gov" xr:uid="{0081794B-01C7-421E-86D0-F64F247772DF}"/>
  </hyperlinks>
  <pageMargins left="0.75" right="0.5" top="0.5" bottom="0.55000000000000004" header="0.5" footer="0.5"/>
  <pageSetup orientation="portrait" horizontalDpi="1200" verticalDpi="300" r:id="rId8"/>
  <headerFooter alignWithMargins="0">
    <oddFooter>&amp;LSREB Fact Book 1996/1997&amp;CDraft&amp;R&amp;D</oddFooter>
  </headerFooter>
  <drawing r:id="rId9"/>
  <legacyDrawing r:id="rId1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AI103"/>
  <sheetViews>
    <sheetView zoomScale="98" zoomScaleNormal="98" workbookViewId="0">
      <pane xSplit="1" ySplit="3" topLeftCell="D4" activePane="bottomRight" state="frozen"/>
      <selection pane="bottomRight" activeCell="AI63" sqref="AI63"/>
      <selection pane="bottomLeft" activeCell="E1" sqref="E1"/>
      <selection pane="topRight" activeCell="E1" sqref="E1"/>
    </sheetView>
  </sheetViews>
  <sheetFormatPr defaultRowHeight="12.75"/>
  <cols>
    <col min="1" max="1" width="22.85546875" customWidth="1"/>
    <col min="2" max="16" width="8.140625" style="1" customWidth="1"/>
    <col min="17" max="22" width="8.140625" customWidth="1"/>
    <col min="23" max="25" width="7.85546875" customWidth="1"/>
    <col min="26" max="26" width="8.140625" customWidth="1"/>
    <col min="31" max="34" width="9.140625" style="1"/>
    <col min="35" max="35" width="9.140625" style="133"/>
  </cols>
  <sheetData>
    <row r="1" spans="1:35">
      <c r="A1" s="16" t="s">
        <v>241</v>
      </c>
    </row>
    <row r="2" spans="1:35">
      <c r="B2" s="11" t="s">
        <v>242</v>
      </c>
      <c r="F2" s="2"/>
      <c r="G2" s="2"/>
      <c r="H2" s="2"/>
      <c r="I2" s="2"/>
      <c r="J2" s="2"/>
      <c r="K2" s="2"/>
      <c r="L2" s="2"/>
      <c r="M2" s="2"/>
      <c r="N2" s="2"/>
      <c r="O2" s="2"/>
      <c r="P2" s="2"/>
    </row>
    <row r="3" spans="1:35" s="130" customFormat="1">
      <c r="B3" s="131" t="s">
        <v>89</v>
      </c>
      <c r="C3" s="131" t="s">
        <v>91</v>
      </c>
      <c r="D3" s="131" t="s">
        <v>93</v>
      </c>
      <c r="E3" s="131" t="s">
        <v>95</v>
      </c>
      <c r="F3" s="131" t="s">
        <v>97</v>
      </c>
      <c r="G3" s="131" t="s">
        <v>99</v>
      </c>
      <c r="H3" s="131" t="s">
        <v>101</v>
      </c>
      <c r="I3" s="131" t="s">
        <v>102</v>
      </c>
      <c r="J3" s="131" t="s">
        <v>104</v>
      </c>
      <c r="K3" s="131" t="s">
        <v>105</v>
      </c>
      <c r="L3" s="131" t="s">
        <v>106</v>
      </c>
      <c r="M3" s="131" t="s">
        <v>107</v>
      </c>
      <c r="N3" s="131" t="s">
        <v>108</v>
      </c>
      <c r="O3" s="131" t="s">
        <v>109</v>
      </c>
      <c r="P3" s="131" t="s">
        <v>110</v>
      </c>
      <c r="Q3" s="131" t="s">
        <v>112</v>
      </c>
      <c r="R3" s="131" t="s">
        <v>115</v>
      </c>
      <c r="S3" s="131" t="s">
        <v>116</v>
      </c>
      <c r="T3" s="131" t="s">
        <v>117</v>
      </c>
      <c r="U3" s="131" t="s">
        <v>118</v>
      </c>
      <c r="V3" s="131" t="s">
        <v>119</v>
      </c>
      <c r="W3" s="131" t="s">
        <v>120</v>
      </c>
      <c r="X3" s="131" t="s">
        <v>121</v>
      </c>
      <c r="Y3" s="131" t="s">
        <v>122</v>
      </c>
      <c r="Z3" s="131" t="s">
        <v>123</v>
      </c>
      <c r="AA3" s="132" t="s">
        <v>124</v>
      </c>
      <c r="AB3" s="132" t="s">
        <v>125</v>
      </c>
      <c r="AC3" s="132" t="s">
        <v>126</v>
      </c>
      <c r="AD3" s="132" t="s">
        <v>14</v>
      </c>
      <c r="AE3" s="131" t="s">
        <v>127</v>
      </c>
      <c r="AF3" s="131" t="s">
        <v>128</v>
      </c>
      <c r="AG3" s="131" t="s">
        <v>129</v>
      </c>
      <c r="AH3" s="131" t="s">
        <v>130</v>
      </c>
      <c r="AI3" s="136" t="s">
        <v>13</v>
      </c>
    </row>
    <row r="4" spans="1:35">
      <c r="A4" s="40" t="s">
        <v>16</v>
      </c>
      <c r="B4" s="41">
        <v>64780</v>
      </c>
      <c r="C4" s="41">
        <v>69222</v>
      </c>
      <c r="D4" s="41">
        <v>72369</v>
      </c>
      <c r="E4" s="41">
        <v>73136</v>
      </c>
      <c r="F4" s="41">
        <f>28541+42893</f>
        <v>71434</v>
      </c>
      <c r="G4" s="41">
        <f>G5+G23+G38+G52+G63</f>
        <v>68986</v>
      </c>
      <c r="H4" s="41">
        <f>18206+10780+26111+14388</f>
        <v>69485</v>
      </c>
      <c r="I4" s="41">
        <f>17615+11402+26511+15779</f>
        <v>71307</v>
      </c>
      <c r="J4" s="41">
        <f t="shared" ref="J4:X4" si="0">J5+J23+J38+J52+J63</f>
        <v>71126</v>
      </c>
      <c r="K4" s="41">
        <f t="shared" si="0"/>
        <v>72684</v>
      </c>
      <c r="L4" s="41">
        <f t="shared" si="0"/>
        <v>71812</v>
      </c>
      <c r="M4" s="41">
        <f t="shared" si="0"/>
        <v>72412</v>
      </c>
      <c r="N4" s="41">
        <f t="shared" si="0"/>
        <v>73265</v>
      </c>
      <c r="O4" s="41">
        <f t="shared" si="0"/>
        <v>75250</v>
      </c>
      <c r="P4" s="41">
        <f t="shared" si="0"/>
        <v>74740</v>
      </c>
      <c r="Q4" s="41">
        <f t="shared" si="0"/>
        <v>74965</v>
      </c>
      <c r="R4" s="41">
        <f t="shared" si="0"/>
        <v>74709</v>
      </c>
      <c r="S4" s="41">
        <f t="shared" si="0"/>
        <v>76939</v>
      </c>
      <c r="T4" s="41">
        <f t="shared" si="0"/>
        <v>80694</v>
      </c>
      <c r="U4" s="41">
        <f t="shared" si="0"/>
        <v>80338</v>
      </c>
      <c r="V4" s="41">
        <f t="shared" si="0"/>
        <v>81973</v>
      </c>
      <c r="W4" s="41">
        <f t="shared" si="0"/>
        <v>82737</v>
      </c>
      <c r="X4" s="41">
        <f t="shared" si="0"/>
        <v>85035</v>
      </c>
      <c r="Y4" s="41">
        <f>Y5+Y23+Y38+Y52+Y63</f>
        <v>88923</v>
      </c>
      <c r="Z4" s="41">
        <f>Z5+Z23+Z38+Z52+Z63</f>
        <v>92606</v>
      </c>
      <c r="AA4" s="41">
        <f>AA5+AA23+AA38+AA52+AA63</f>
        <v>96539</v>
      </c>
      <c r="AB4" s="41">
        <f>AB5+AB23+AB38+AB52+AB63</f>
        <v>98909</v>
      </c>
      <c r="AC4" s="41">
        <f t="shared" ref="AC4:AF4" si="1">AC5+AC23+AC38+AC52+AC63</f>
        <v>98745</v>
      </c>
      <c r="AD4" s="41">
        <f t="shared" si="1"/>
        <v>98174</v>
      </c>
      <c r="AE4" s="41">
        <f t="shared" si="1"/>
        <v>96939</v>
      </c>
      <c r="AF4" s="41">
        <f t="shared" si="1"/>
        <v>98846</v>
      </c>
      <c r="AG4" s="41">
        <f>AG5+AG23+AG38+AG52+AG63</f>
        <v>99895</v>
      </c>
      <c r="AH4" s="41">
        <f>AH5+AH23+AH38+AH52+AH63</f>
        <v>102121</v>
      </c>
      <c r="AI4" s="137">
        <f>AI5+AI23+AI38+AI52+AI63</f>
        <v>104611</v>
      </c>
    </row>
    <row r="5" spans="1:35">
      <c r="A5" s="42" t="s">
        <v>17</v>
      </c>
      <c r="B5" s="43">
        <f t="shared" ref="B5:K5" si="2">SUM(B7:B22)</f>
        <v>16001</v>
      </c>
      <c r="C5" s="43">
        <f t="shared" si="2"/>
        <v>17068</v>
      </c>
      <c r="D5" s="43">
        <f t="shared" si="2"/>
        <v>19053</v>
      </c>
      <c r="E5" s="43">
        <f t="shared" si="2"/>
        <v>20011</v>
      </c>
      <c r="F5" s="43">
        <f t="shared" si="2"/>
        <v>19726</v>
      </c>
      <c r="G5" s="43">
        <f t="shared" si="2"/>
        <v>19823</v>
      </c>
      <c r="H5" s="43">
        <f t="shared" si="2"/>
        <v>19756</v>
      </c>
      <c r="I5" s="43">
        <f t="shared" si="2"/>
        <v>19458</v>
      </c>
      <c r="J5" s="43">
        <f t="shared" si="2"/>
        <v>20475</v>
      </c>
      <c r="K5" s="43">
        <f t="shared" si="2"/>
        <v>21343</v>
      </c>
      <c r="L5" s="43">
        <f t="shared" ref="L5:X5" si="3">SUM(L7:L22)</f>
        <v>21369</v>
      </c>
      <c r="M5" s="43">
        <f t="shared" si="3"/>
        <v>21728</v>
      </c>
      <c r="N5" s="43">
        <f t="shared" si="3"/>
        <v>22143</v>
      </c>
      <c r="O5" s="43">
        <f t="shared" si="3"/>
        <v>23096</v>
      </c>
      <c r="P5" s="43">
        <f t="shared" si="3"/>
        <v>23382</v>
      </c>
      <c r="Q5" s="43">
        <f t="shared" si="3"/>
        <v>24104</v>
      </c>
      <c r="R5" s="43">
        <f t="shared" si="3"/>
        <v>23042</v>
      </c>
      <c r="S5" s="43">
        <f t="shared" si="3"/>
        <v>24036</v>
      </c>
      <c r="T5" s="43">
        <f t="shared" si="3"/>
        <v>24719</v>
      </c>
      <c r="U5" s="43">
        <f t="shared" si="3"/>
        <v>24934</v>
      </c>
      <c r="V5" s="43">
        <f t="shared" si="3"/>
        <v>25355</v>
      </c>
      <c r="W5" s="43">
        <f t="shared" si="3"/>
        <v>25821</v>
      </c>
      <c r="X5" s="43">
        <f t="shared" si="3"/>
        <v>26625</v>
      </c>
      <c r="Y5" s="43">
        <f>SUM(Y7:Y22)</f>
        <v>28381</v>
      </c>
      <c r="Z5" s="43">
        <f>SUM(Z7:Z22)</f>
        <v>29362</v>
      </c>
      <c r="AA5" s="43">
        <f>SUM(AA7:AA22)</f>
        <v>31340</v>
      </c>
      <c r="AB5" s="43">
        <f>SUM(AB7:AB22)</f>
        <v>31447</v>
      </c>
      <c r="AC5" s="43">
        <f t="shared" ref="AC5:AF5" si="4">SUM(AC7:AC22)</f>
        <v>31684</v>
      </c>
      <c r="AD5" s="43">
        <f t="shared" si="4"/>
        <v>31643</v>
      </c>
      <c r="AE5" s="43">
        <f t="shared" si="4"/>
        <v>31035</v>
      </c>
      <c r="AF5" s="43">
        <f t="shared" si="4"/>
        <v>31469</v>
      </c>
      <c r="AG5" s="43">
        <f>SUM(AG7:AG22)</f>
        <v>31616</v>
      </c>
      <c r="AH5" s="43">
        <f>SUM(AH7:AH22)</f>
        <v>32896</v>
      </c>
      <c r="AI5" s="134">
        <f>SUM(AI7:AI22)</f>
        <v>33659</v>
      </c>
    </row>
    <row r="6" spans="1:35">
      <c r="A6" s="44" t="s">
        <v>131</v>
      </c>
      <c r="B6" s="45">
        <f t="shared" ref="B6:K6" si="5">(B5/B4)*100</f>
        <v>24.700524853349801</v>
      </c>
      <c r="C6" s="45">
        <f t="shared" si="5"/>
        <v>24.656900985235907</v>
      </c>
      <c r="D6" s="45">
        <f t="shared" si="5"/>
        <v>26.327571197612237</v>
      </c>
      <c r="E6" s="45">
        <f t="shared" si="5"/>
        <v>27.361354189455263</v>
      </c>
      <c r="F6" s="45">
        <f t="shared" si="5"/>
        <v>27.614301313100203</v>
      </c>
      <c r="G6" s="45">
        <f t="shared" si="5"/>
        <v>28.734815759719361</v>
      </c>
      <c r="H6" s="45">
        <f t="shared" si="5"/>
        <v>28.432035691156365</v>
      </c>
      <c r="I6" s="45">
        <f t="shared" si="5"/>
        <v>27.287643569355041</v>
      </c>
      <c r="J6" s="45">
        <f t="shared" si="5"/>
        <v>28.786941484126761</v>
      </c>
      <c r="K6" s="45">
        <f t="shared" si="5"/>
        <v>29.364096637499308</v>
      </c>
      <c r="L6" s="45">
        <f t="shared" ref="L6:X6" si="6">(L5/L4)*100</f>
        <v>29.756865147886145</v>
      </c>
      <c r="M6" s="45">
        <f t="shared" si="6"/>
        <v>30.006076340937966</v>
      </c>
      <c r="N6" s="45">
        <f t="shared" si="6"/>
        <v>30.223162492322391</v>
      </c>
      <c r="O6" s="45">
        <f t="shared" si="6"/>
        <v>30.692358803986714</v>
      </c>
      <c r="P6" s="45">
        <f t="shared" si="6"/>
        <v>31.284452769601284</v>
      </c>
      <c r="Q6" s="45">
        <f t="shared" si="6"/>
        <v>32.153671713466288</v>
      </c>
      <c r="R6" s="45">
        <f t="shared" si="6"/>
        <v>30.84233492618025</v>
      </c>
      <c r="S6" s="45">
        <f t="shared" si="6"/>
        <v>31.240333251017038</v>
      </c>
      <c r="T6" s="45">
        <f t="shared" si="6"/>
        <v>30.633008649961585</v>
      </c>
      <c r="U6" s="45">
        <f t="shared" si="6"/>
        <v>31.036371331125995</v>
      </c>
      <c r="V6" s="45">
        <f t="shared" si="6"/>
        <v>30.930916277310821</v>
      </c>
      <c r="W6" s="45">
        <f t="shared" si="6"/>
        <v>31.208528227999565</v>
      </c>
      <c r="X6" s="45">
        <f t="shared" si="6"/>
        <v>31.31063679661316</v>
      </c>
      <c r="Y6" s="45">
        <f>(Y5/Y4)*100</f>
        <v>31.916377090291604</v>
      </c>
      <c r="Z6" s="45">
        <f>(Z5/Z4)*100</f>
        <v>31.706368917780704</v>
      </c>
      <c r="AA6" s="45">
        <f>(AA5/AA4)*100</f>
        <v>32.463563948248897</v>
      </c>
      <c r="AB6" s="45">
        <f>(AB5/AB4)*100</f>
        <v>31.793871134072731</v>
      </c>
      <c r="AC6" s="45">
        <f t="shared" ref="AC6:AF6" si="7">(AC5/AC4)*100</f>
        <v>32.086687933566253</v>
      </c>
      <c r="AD6" s="45">
        <f t="shared" si="7"/>
        <v>32.231548067716503</v>
      </c>
      <c r="AE6" s="45">
        <f t="shared" si="7"/>
        <v>32.014978491628753</v>
      </c>
      <c r="AF6" s="45">
        <f t="shared" si="7"/>
        <v>31.836391963255974</v>
      </c>
      <c r="AG6" s="45">
        <f>(AG5/AG4)*100</f>
        <v>31.64923169327794</v>
      </c>
      <c r="AH6" s="45">
        <f>(AH5/AH4)*100</f>
        <v>32.212767207528323</v>
      </c>
      <c r="AI6" s="135">
        <f>(AI5/AI4)*100</f>
        <v>32.175392645132924</v>
      </c>
    </row>
    <row r="7" spans="1:35">
      <c r="A7" s="42" t="s">
        <v>19</v>
      </c>
      <c r="B7" s="46">
        <v>747</v>
      </c>
      <c r="C7" s="46">
        <v>870</v>
      </c>
      <c r="D7" s="46">
        <v>940</v>
      </c>
      <c r="E7" s="46">
        <v>902</v>
      </c>
      <c r="F7" s="46">
        <f>568+287</f>
        <v>855</v>
      </c>
      <c r="G7" s="46">
        <v>796</v>
      </c>
      <c r="H7" s="46">
        <f>329+178+193+87</f>
        <v>787</v>
      </c>
      <c r="I7" s="46">
        <f>353+193+191+95</f>
        <v>832</v>
      </c>
      <c r="J7" s="46">
        <v>844</v>
      </c>
      <c r="K7" s="46">
        <v>863</v>
      </c>
      <c r="L7" s="46">
        <v>901</v>
      </c>
      <c r="M7" s="46">
        <v>951</v>
      </c>
      <c r="N7" s="46">
        <v>1026</v>
      </c>
      <c r="O7" s="46">
        <v>1095</v>
      </c>
      <c r="P7" s="46">
        <v>1080</v>
      </c>
      <c r="Q7" s="46">
        <v>1076</v>
      </c>
      <c r="R7" s="46">
        <v>1005</v>
      </c>
      <c r="S7" s="46">
        <v>991</v>
      </c>
      <c r="T7" s="46">
        <v>1065</v>
      </c>
      <c r="U7" s="46">
        <v>1087</v>
      </c>
      <c r="V7" s="46">
        <v>1078</v>
      </c>
      <c r="W7" s="46">
        <v>1087</v>
      </c>
      <c r="X7" s="46">
        <v>1164</v>
      </c>
      <c r="Y7" s="46">
        <v>1397</v>
      </c>
      <c r="Z7" s="46">
        <v>1417</v>
      </c>
      <c r="AA7">
        <v>1496</v>
      </c>
      <c r="AB7">
        <v>1532</v>
      </c>
      <c r="AC7">
        <v>1521</v>
      </c>
      <c r="AD7">
        <v>1564</v>
      </c>
      <c r="AE7" s="1">
        <v>1558</v>
      </c>
      <c r="AF7" s="1">
        <v>1677</v>
      </c>
      <c r="AG7" s="1">
        <v>1779</v>
      </c>
      <c r="AH7" s="1">
        <v>1799</v>
      </c>
      <c r="AI7" s="133">
        <v>1846</v>
      </c>
    </row>
    <row r="8" spans="1:35">
      <c r="A8" s="42" t="s">
        <v>20</v>
      </c>
      <c r="B8" s="46">
        <v>343</v>
      </c>
      <c r="C8" s="46">
        <v>379</v>
      </c>
      <c r="D8" s="46">
        <v>392</v>
      </c>
      <c r="E8" s="46">
        <v>391</v>
      </c>
      <c r="F8" s="46">
        <f>354+0</f>
        <v>354</v>
      </c>
      <c r="G8" s="46">
        <v>319</v>
      </c>
      <c r="H8" s="46">
        <f>229+114+0</f>
        <v>343</v>
      </c>
      <c r="I8" s="46">
        <f>220+104+0+0</f>
        <v>324</v>
      </c>
      <c r="J8" s="46">
        <v>363</v>
      </c>
      <c r="K8" s="46">
        <v>449</v>
      </c>
      <c r="L8" s="46">
        <v>440</v>
      </c>
      <c r="M8" s="46">
        <v>482</v>
      </c>
      <c r="N8" s="46">
        <v>495</v>
      </c>
      <c r="O8" s="46">
        <v>468</v>
      </c>
      <c r="P8" s="46">
        <v>460</v>
      </c>
      <c r="Q8" s="46">
        <v>493</v>
      </c>
      <c r="R8" s="46">
        <v>473</v>
      </c>
      <c r="S8" s="46">
        <v>461</v>
      </c>
      <c r="T8" s="46">
        <v>499</v>
      </c>
      <c r="U8" s="46">
        <v>520</v>
      </c>
      <c r="V8" s="46">
        <v>509</v>
      </c>
      <c r="W8" s="46">
        <v>517</v>
      </c>
      <c r="X8" s="46">
        <v>506</v>
      </c>
      <c r="Y8" s="46">
        <v>514</v>
      </c>
      <c r="Z8" s="46">
        <v>517</v>
      </c>
      <c r="AA8">
        <v>649</v>
      </c>
      <c r="AB8">
        <v>673</v>
      </c>
      <c r="AC8">
        <v>703</v>
      </c>
      <c r="AD8">
        <v>667</v>
      </c>
      <c r="AE8" s="1">
        <v>723</v>
      </c>
      <c r="AF8" s="1">
        <v>721</v>
      </c>
      <c r="AG8" s="1">
        <v>693</v>
      </c>
      <c r="AH8" s="1">
        <v>729</v>
      </c>
      <c r="AI8" s="133">
        <v>764</v>
      </c>
    </row>
    <row r="9" spans="1:35">
      <c r="A9" s="42" t="s">
        <v>21</v>
      </c>
      <c r="B9" s="46"/>
      <c r="C9" s="46"/>
      <c r="D9" s="46"/>
      <c r="E9" s="46"/>
      <c r="F9" s="46"/>
      <c r="G9" s="46">
        <v>245</v>
      </c>
      <c r="H9" s="46"/>
      <c r="I9" s="46"/>
      <c r="J9" s="46">
        <v>578</v>
      </c>
      <c r="K9" s="46">
        <v>548</v>
      </c>
      <c r="L9" s="46">
        <v>456</v>
      </c>
      <c r="M9" s="46">
        <v>415</v>
      </c>
      <c r="N9" s="46">
        <v>387</v>
      </c>
      <c r="O9" s="46">
        <v>364</v>
      </c>
      <c r="P9" s="46">
        <v>343</v>
      </c>
      <c r="Q9" s="46">
        <v>302</v>
      </c>
      <c r="R9" s="46">
        <v>243</v>
      </c>
      <c r="S9" s="46">
        <v>180</v>
      </c>
      <c r="T9" s="46">
        <v>266</v>
      </c>
      <c r="U9" s="46">
        <v>273</v>
      </c>
      <c r="V9" s="46">
        <v>246</v>
      </c>
      <c r="W9" s="46">
        <v>261</v>
      </c>
      <c r="X9" s="46">
        <v>221</v>
      </c>
      <c r="Y9" s="46">
        <v>245</v>
      </c>
      <c r="Z9" s="46">
        <v>275</v>
      </c>
      <c r="AA9">
        <v>298</v>
      </c>
      <c r="AB9">
        <v>293</v>
      </c>
      <c r="AC9">
        <v>255</v>
      </c>
      <c r="AD9">
        <v>203</v>
      </c>
      <c r="AE9" s="1">
        <v>30</v>
      </c>
      <c r="AF9" s="1">
        <v>54</v>
      </c>
      <c r="AG9" s="1">
        <v>55</v>
      </c>
      <c r="AH9" s="1">
        <v>53</v>
      </c>
      <c r="AI9" s="133">
        <v>64</v>
      </c>
    </row>
    <row r="10" spans="1:35">
      <c r="A10" s="42" t="s">
        <v>22</v>
      </c>
      <c r="B10" s="46">
        <v>1699</v>
      </c>
      <c r="C10" s="46">
        <v>1702</v>
      </c>
      <c r="D10" s="46">
        <v>1804</v>
      </c>
      <c r="E10" s="46">
        <v>1762</v>
      </c>
      <c r="F10" s="46">
        <f>906+917</f>
        <v>1823</v>
      </c>
      <c r="G10" s="46">
        <v>2093</v>
      </c>
      <c r="H10" s="46">
        <f>589+353+636+482</f>
        <v>2060</v>
      </c>
      <c r="I10" s="46">
        <f>550+388+682+518</f>
        <v>2138</v>
      </c>
      <c r="J10" s="46">
        <v>1961</v>
      </c>
      <c r="K10" s="46">
        <v>2281</v>
      </c>
      <c r="L10" s="46">
        <v>2343</v>
      </c>
      <c r="M10" s="46">
        <v>2414</v>
      </c>
      <c r="N10" s="46">
        <v>2421</v>
      </c>
      <c r="O10" s="46">
        <v>2591</v>
      </c>
      <c r="P10" s="46">
        <v>2694</v>
      </c>
      <c r="Q10" s="46">
        <v>3031</v>
      </c>
      <c r="R10" s="46">
        <v>3088</v>
      </c>
      <c r="S10" s="46">
        <v>3279</v>
      </c>
      <c r="T10" s="46">
        <v>3488</v>
      </c>
      <c r="U10" s="46">
        <v>3725</v>
      </c>
      <c r="V10" s="46">
        <v>4209</v>
      </c>
      <c r="W10" s="46">
        <v>4309</v>
      </c>
      <c r="X10" s="46">
        <v>4440</v>
      </c>
      <c r="Y10" s="46">
        <v>5664</v>
      </c>
      <c r="Z10" s="46">
        <v>5667</v>
      </c>
      <c r="AA10">
        <v>5799</v>
      </c>
      <c r="AB10">
        <v>5531</v>
      </c>
      <c r="AC10">
        <v>5448</v>
      </c>
      <c r="AD10">
        <v>5449</v>
      </c>
      <c r="AE10" s="1">
        <v>5388</v>
      </c>
      <c r="AF10" s="1">
        <v>5358</v>
      </c>
      <c r="AG10" s="1">
        <v>5355</v>
      </c>
      <c r="AH10" s="1">
        <v>5364</v>
      </c>
      <c r="AI10" s="133">
        <v>5407</v>
      </c>
    </row>
    <row r="11" spans="1:35">
      <c r="A11" s="42" t="s">
        <v>23</v>
      </c>
      <c r="B11" s="46">
        <v>1193</v>
      </c>
      <c r="C11" s="46">
        <v>1355</v>
      </c>
      <c r="D11" s="46">
        <v>1540</v>
      </c>
      <c r="E11" s="46">
        <v>1812</v>
      </c>
      <c r="F11" s="46">
        <f>613+1333</f>
        <v>1946</v>
      </c>
      <c r="G11" s="46">
        <v>1951</v>
      </c>
      <c r="H11" s="46">
        <f>382+256+825+383</f>
        <v>1846</v>
      </c>
      <c r="I11" s="46">
        <f>369+263+762+441</f>
        <v>1835</v>
      </c>
      <c r="J11" s="46">
        <v>1799</v>
      </c>
      <c r="K11" s="46">
        <v>1917</v>
      </c>
      <c r="L11" s="46">
        <v>1959</v>
      </c>
      <c r="M11" s="46">
        <v>2024</v>
      </c>
      <c r="N11" s="46">
        <v>2331</v>
      </c>
      <c r="O11" s="46">
        <v>2487</v>
      </c>
      <c r="P11" s="46">
        <v>2458</v>
      </c>
      <c r="Q11" s="46">
        <v>2340</v>
      </c>
      <c r="R11" s="46">
        <v>2039</v>
      </c>
      <c r="S11" s="46">
        <v>2059</v>
      </c>
      <c r="T11" s="46">
        <v>1949</v>
      </c>
      <c r="U11" s="46">
        <v>1990</v>
      </c>
      <c r="V11" s="46">
        <v>2017</v>
      </c>
      <c r="W11" s="46">
        <v>1942</v>
      </c>
      <c r="X11" s="46">
        <v>2044</v>
      </c>
      <c r="Y11" s="46">
        <v>2154</v>
      </c>
      <c r="Z11" s="46">
        <v>2151</v>
      </c>
      <c r="AA11">
        <v>2355</v>
      </c>
      <c r="AB11">
        <v>2533</v>
      </c>
      <c r="AC11">
        <v>2559</v>
      </c>
      <c r="AD11">
        <v>2529</v>
      </c>
      <c r="AE11" s="1">
        <v>2638</v>
      </c>
      <c r="AF11" s="1">
        <v>2611</v>
      </c>
      <c r="AG11" s="1">
        <v>2658</v>
      </c>
      <c r="AH11" s="1">
        <v>2733</v>
      </c>
      <c r="AI11" s="133">
        <v>2667</v>
      </c>
    </row>
    <row r="12" spans="1:35">
      <c r="A12" s="42" t="s">
        <v>24</v>
      </c>
      <c r="B12" s="46">
        <v>1196</v>
      </c>
      <c r="C12" s="46">
        <v>1352</v>
      </c>
      <c r="D12" s="46">
        <v>1319</v>
      </c>
      <c r="E12" s="46">
        <v>1283</v>
      </c>
      <c r="F12" s="46">
        <f>755+526</f>
        <v>1281</v>
      </c>
      <c r="G12" s="46">
        <v>1101</v>
      </c>
      <c r="H12" s="46">
        <f>436+253+389+89</f>
        <v>1167</v>
      </c>
      <c r="I12" s="46">
        <f>417+274+345+91</f>
        <v>1127</v>
      </c>
      <c r="J12" s="46">
        <v>884</v>
      </c>
      <c r="K12" s="46">
        <v>970</v>
      </c>
      <c r="L12" s="46">
        <v>1102</v>
      </c>
      <c r="M12" s="46">
        <v>1106</v>
      </c>
      <c r="N12" s="46">
        <v>1123</v>
      </c>
      <c r="O12" s="46">
        <v>1188</v>
      </c>
      <c r="P12" s="46">
        <v>1166</v>
      </c>
      <c r="Q12" s="46">
        <v>1097</v>
      </c>
      <c r="R12" s="46">
        <v>1003</v>
      </c>
      <c r="S12" s="46">
        <v>1015</v>
      </c>
      <c r="T12" s="46">
        <v>1104</v>
      </c>
      <c r="U12" s="46">
        <v>1061</v>
      </c>
      <c r="V12" s="46">
        <v>1046</v>
      </c>
      <c r="W12" s="46">
        <v>1033</v>
      </c>
      <c r="X12" s="46">
        <v>1066</v>
      </c>
      <c r="Y12" s="46">
        <v>1035</v>
      </c>
      <c r="Z12" s="46">
        <v>1209</v>
      </c>
      <c r="AA12">
        <v>1239</v>
      </c>
      <c r="AB12">
        <v>1240</v>
      </c>
      <c r="AC12">
        <v>1296</v>
      </c>
      <c r="AD12">
        <v>1276</v>
      </c>
      <c r="AE12" s="1">
        <v>1365</v>
      </c>
      <c r="AF12" s="1">
        <v>1316</v>
      </c>
      <c r="AG12" s="1">
        <v>1348</v>
      </c>
      <c r="AH12" s="1">
        <v>1474</v>
      </c>
      <c r="AI12" s="133">
        <v>1601</v>
      </c>
    </row>
    <row r="13" spans="1:35">
      <c r="A13" s="42" t="s">
        <v>25</v>
      </c>
      <c r="B13" s="46">
        <v>1277</v>
      </c>
      <c r="C13" s="46">
        <v>1377</v>
      </c>
      <c r="D13" s="46">
        <v>1427</v>
      </c>
      <c r="E13" s="46">
        <v>1559</v>
      </c>
      <c r="F13" s="46">
        <f>741+781</f>
        <v>1522</v>
      </c>
      <c r="G13" s="46">
        <v>1382</v>
      </c>
      <c r="H13" s="46">
        <f>487+234+540+236</f>
        <v>1497</v>
      </c>
      <c r="I13" s="46">
        <f>453+217+542+247</f>
        <v>1459</v>
      </c>
      <c r="J13" s="46">
        <v>1538</v>
      </c>
      <c r="K13" s="46">
        <v>1461</v>
      </c>
      <c r="L13" s="46">
        <v>1536</v>
      </c>
      <c r="M13" s="46">
        <v>1632</v>
      </c>
      <c r="N13" s="46">
        <v>1471</v>
      </c>
      <c r="O13" s="46">
        <v>1575</v>
      </c>
      <c r="P13" s="46">
        <v>1632</v>
      </c>
      <c r="Q13" s="46">
        <v>1447</v>
      </c>
      <c r="R13" s="46">
        <v>1510</v>
      </c>
      <c r="S13" s="46">
        <v>1651</v>
      </c>
      <c r="T13" s="46">
        <v>1590</v>
      </c>
      <c r="U13" s="46">
        <v>1563</v>
      </c>
      <c r="V13" s="46">
        <v>1507</v>
      </c>
      <c r="W13" s="46">
        <v>1534</v>
      </c>
      <c r="X13" s="46">
        <v>1537</v>
      </c>
      <c r="Y13" s="46">
        <v>1657</v>
      </c>
      <c r="Z13" s="46">
        <v>1601</v>
      </c>
      <c r="AA13">
        <v>1795</v>
      </c>
      <c r="AB13">
        <v>1761</v>
      </c>
      <c r="AC13">
        <v>1740</v>
      </c>
      <c r="AD13">
        <v>1752</v>
      </c>
      <c r="AE13" s="1">
        <v>1647</v>
      </c>
      <c r="AF13" s="1">
        <v>1678</v>
      </c>
      <c r="AG13" s="1">
        <v>1632</v>
      </c>
      <c r="AH13" s="1">
        <v>1560</v>
      </c>
      <c r="AI13" s="133">
        <v>1760</v>
      </c>
    </row>
    <row r="14" spans="1:35">
      <c r="A14" s="42" t="s">
        <v>26</v>
      </c>
      <c r="B14" s="46">
        <v>918</v>
      </c>
      <c r="C14" s="46">
        <v>921</v>
      </c>
      <c r="D14" s="46">
        <v>961</v>
      </c>
      <c r="E14" s="46">
        <v>905</v>
      </c>
      <c r="F14" s="46">
        <f>495+129</f>
        <v>624</v>
      </c>
      <c r="G14" s="46">
        <v>962</v>
      </c>
      <c r="H14" s="46">
        <f>452+302+174+45</f>
        <v>973</v>
      </c>
      <c r="I14" s="46">
        <f>433+338+165+35</f>
        <v>971</v>
      </c>
      <c r="J14" s="46">
        <v>938</v>
      </c>
      <c r="K14" s="46">
        <v>1039</v>
      </c>
      <c r="L14" s="46">
        <v>962</v>
      </c>
      <c r="M14" s="46">
        <v>980</v>
      </c>
      <c r="N14" s="46">
        <v>900</v>
      </c>
      <c r="O14" s="46">
        <v>1077</v>
      </c>
      <c r="P14" s="46">
        <v>1086</v>
      </c>
      <c r="Q14" s="46">
        <v>1011</v>
      </c>
      <c r="R14" s="46">
        <v>993</v>
      </c>
      <c r="S14" s="46">
        <v>1098</v>
      </c>
      <c r="T14" s="46">
        <v>1032</v>
      </c>
      <c r="U14" s="46">
        <v>1066</v>
      </c>
      <c r="V14" s="46">
        <v>1064</v>
      </c>
      <c r="W14" s="46">
        <v>1015</v>
      </c>
      <c r="X14" s="46">
        <v>1120</v>
      </c>
      <c r="Y14" s="46">
        <v>1252</v>
      </c>
      <c r="Z14" s="46">
        <v>1261</v>
      </c>
      <c r="AA14">
        <v>1372</v>
      </c>
      <c r="AB14">
        <v>1434</v>
      </c>
      <c r="AC14">
        <v>1460</v>
      </c>
      <c r="AD14">
        <v>1389</v>
      </c>
      <c r="AE14" s="1">
        <v>1324</v>
      </c>
      <c r="AF14" s="1">
        <v>1307</v>
      </c>
      <c r="AG14" s="1">
        <v>1387</v>
      </c>
      <c r="AH14" s="1">
        <v>1397</v>
      </c>
      <c r="AI14" s="133">
        <v>1341</v>
      </c>
    </row>
    <row r="15" spans="1:35">
      <c r="A15" s="42" t="s">
        <v>27</v>
      </c>
      <c r="B15" s="46">
        <v>421</v>
      </c>
      <c r="C15" s="46">
        <v>461</v>
      </c>
      <c r="D15" s="46">
        <v>685</v>
      </c>
      <c r="E15" s="46">
        <v>383</v>
      </c>
      <c r="F15" s="46">
        <f>347+153</f>
        <v>500</v>
      </c>
      <c r="G15" s="46">
        <v>457</v>
      </c>
      <c r="H15" s="46">
        <f>219+72+99+24</f>
        <v>414</v>
      </c>
      <c r="I15" s="46">
        <f>250+93+94+40</f>
        <v>477</v>
      </c>
      <c r="J15" s="46">
        <v>506</v>
      </c>
      <c r="K15" s="46">
        <v>463</v>
      </c>
      <c r="L15" s="46">
        <v>474</v>
      </c>
      <c r="M15" s="46">
        <v>483</v>
      </c>
      <c r="N15" s="46">
        <v>441</v>
      </c>
      <c r="O15" s="46">
        <v>463</v>
      </c>
      <c r="P15" s="46">
        <v>492</v>
      </c>
      <c r="Q15" s="46">
        <v>503</v>
      </c>
      <c r="R15" s="46">
        <v>516</v>
      </c>
      <c r="S15" s="46">
        <v>525</v>
      </c>
      <c r="T15" s="46">
        <v>604</v>
      </c>
      <c r="U15" s="46">
        <v>567</v>
      </c>
      <c r="V15" s="46">
        <v>578</v>
      </c>
      <c r="W15" s="46">
        <v>605</v>
      </c>
      <c r="X15" s="46">
        <v>659</v>
      </c>
      <c r="Y15" s="46">
        <v>677</v>
      </c>
      <c r="Z15" s="46">
        <v>678</v>
      </c>
      <c r="AA15">
        <v>701</v>
      </c>
      <c r="AB15">
        <v>765</v>
      </c>
      <c r="AC15">
        <v>773</v>
      </c>
      <c r="AD15">
        <v>698</v>
      </c>
      <c r="AE15" s="1">
        <v>720</v>
      </c>
      <c r="AF15" s="1">
        <v>764</v>
      </c>
      <c r="AG15" s="1">
        <v>728</v>
      </c>
      <c r="AH15" s="1">
        <v>745</v>
      </c>
      <c r="AI15" s="133">
        <v>769</v>
      </c>
    </row>
    <row r="16" spans="1:35">
      <c r="A16" s="42" t="s">
        <v>28</v>
      </c>
      <c r="B16" s="46">
        <v>1218</v>
      </c>
      <c r="C16" s="46">
        <v>1384</v>
      </c>
      <c r="D16" s="46">
        <v>1508</v>
      </c>
      <c r="E16" s="46">
        <v>1582</v>
      </c>
      <c r="F16" s="46">
        <f>682+980</f>
        <v>1662</v>
      </c>
      <c r="G16" s="46">
        <v>1613</v>
      </c>
      <c r="H16" s="46">
        <f>387+280+657+308</f>
        <v>1632</v>
      </c>
      <c r="I16" s="46">
        <f>356+290+617+334</f>
        <v>1597</v>
      </c>
      <c r="J16" s="46">
        <v>1483</v>
      </c>
      <c r="K16" s="46">
        <v>1658</v>
      </c>
      <c r="L16" s="46">
        <v>1620</v>
      </c>
      <c r="M16" s="46">
        <v>1648</v>
      </c>
      <c r="N16" s="46">
        <v>1697</v>
      </c>
      <c r="O16" s="46">
        <v>1690</v>
      </c>
      <c r="P16" s="46">
        <v>1837</v>
      </c>
      <c r="Q16" s="46">
        <v>1869</v>
      </c>
      <c r="R16" s="46">
        <v>1804</v>
      </c>
      <c r="S16" s="46">
        <v>1841</v>
      </c>
      <c r="T16" s="46">
        <v>1864</v>
      </c>
      <c r="U16" s="46">
        <v>1777</v>
      </c>
      <c r="V16" s="46">
        <v>1929</v>
      </c>
      <c r="W16" s="46">
        <v>1853</v>
      </c>
      <c r="X16" s="46">
        <v>1978</v>
      </c>
      <c r="Y16" s="46">
        <v>2037</v>
      </c>
      <c r="Z16" s="46">
        <v>2214</v>
      </c>
      <c r="AA16">
        <v>2359</v>
      </c>
      <c r="AB16">
        <v>2529</v>
      </c>
      <c r="AC16">
        <v>2553</v>
      </c>
      <c r="AD16">
        <v>2512</v>
      </c>
      <c r="AE16" s="1">
        <v>2160</v>
      </c>
      <c r="AF16" s="1">
        <v>2388</v>
      </c>
      <c r="AG16" s="1">
        <v>2398</v>
      </c>
      <c r="AH16" s="1">
        <v>2488</v>
      </c>
      <c r="AI16" s="133">
        <v>2529</v>
      </c>
    </row>
    <row r="17" spans="1:35">
      <c r="A17" s="42" t="s">
        <v>29</v>
      </c>
      <c r="B17" s="46"/>
      <c r="C17" s="46"/>
      <c r="D17" s="46"/>
      <c r="E17" s="46">
        <v>992</v>
      </c>
      <c r="F17" s="46">
        <f>588+432</f>
        <v>1020</v>
      </c>
      <c r="G17" s="46">
        <v>995</v>
      </c>
      <c r="H17" s="46">
        <f>386+191+247+126</f>
        <v>950</v>
      </c>
      <c r="I17" s="46">
        <f>343+194+259+127</f>
        <v>923</v>
      </c>
      <c r="J17" s="46">
        <v>987</v>
      </c>
      <c r="K17" s="46">
        <v>923</v>
      </c>
      <c r="L17" s="46">
        <v>840</v>
      </c>
      <c r="M17" s="46">
        <v>774</v>
      </c>
      <c r="N17" s="46">
        <v>698</v>
      </c>
      <c r="O17" s="46">
        <v>802</v>
      </c>
      <c r="P17" s="46">
        <v>992</v>
      </c>
      <c r="Q17" s="46">
        <v>974</v>
      </c>
      <c r="R17" s="46">
        <v>1048</v>
      </c>
      <c r="S17" s="46">
        <v>1076</v>
      </c>
      <c r="T17" s="46">
        <v>1069</v>
      </c>
      <c r="U17" s="46">
        <v>1162</v>
      </c>
      <c r="V17" s="46">
        <v>1117</v>
      </c>
      <c r="W17" s="46">
        <v>1072</v>
      </c>
      <c r="X17" s="46">
        <v>1103</v>
      </c>
      <c r="Y17" s="46">
        <v>1053</v>
      </c>
      <c r="Z17" s="46">
        <v>1108</v>
      </c>
      <c r="AA17">
        <v>1140</v>
      </c>
      <c r="AB17">
        <v>1066</v>
      </c>
      <c r="AC17">
        <v>1071</v>
      </c>
      <c r="AD17">
        <v>1010</v>
      </c>
      <c r="AE17" s="1">
        <v>1011</v>
      </c>
      <c r="AF17" s="1">
        <v>1034</v>
      </c>
      <c r="AG17" s="1">
        <v>911</v>
      </c>
      <c r="AH17" s="1">
        <v>997</v>
      </c>
      <c r="AI17" s="133">
        <v>1005</v>
      </c>
    </row>
    <row r="18" spans="1:35">
      <c r="A18" s="42" t="s">
        <v>30</v>
      </c>
      <c r="B18" s="46">
        <v>559</v>
      </c>
      <c r="C18" s="46">
        <v>581</v>
      </c>
      <c r="D18" s="46">
        <v>696</v>
      </c>
      <c r="E18" s="46">
        <v>658</v>
      </c>
      <c r="F18" s="46">
        <f>276+177</f>
        <v>453</v>
      </c>
      <c r="G18" s="46">
        <v>723</v>
      </c>
      <c r="H18" s="46">
        <f>363+151+190+34</f>
        <v>738</v>
      </c>
      <c r="I18" s="46">
        <f>328+181+54+24</f>
        <v>587</v>
      </c>
      <c r="J18" s="46">
        <v>611</v>
      </c>
      <c r="K18" s="46">
        <v>593</v>
      </c>
      <c r="L18" s="46">
        <v>615</v>
      </c>
      <c r="M18" s="46">
        <v>607</v>
      </c>
      <c r="N18" s="46">
        <v>689</v>
      </c>
      <c r="O18" s="46">
        <v>712</v>
      </c>
      <c r="P18" s="46">
        <v>723</v>
      </c>
      <c r="Q18" s="46">
        <v>833</v>
      </c>
      <c r="R18" s="46">
        <v>721</v>
      </c>
      <c r="S18" s="46">
        <v>801</v>
      </c>
      <c r="T18" s="46">
        <v>835</v>
      </c>
      <c r="U18" s="46">
        <v>821</v>
      </c>
      <c r="V18" s="46">
        <v>825</v>
      </c>
      <c r="W18" s="46">
        <v>960</v>
      </c>
      <c r="X18" s="46">
        <v>984</v>
      </c>
      <c r="Y18" s="46">
        <v>883</v>
      </c>
      <c r="Z18" s="46">
        <v>934</v>
      </c>
      <c r="AA18">
        <v>919</v>
      </c>
      <c r="AB18">
        <v>984</v>
      </c>
      <c r="AC18">
        <v>1064</v>
      </c>
      <c r="AD18">
        <v>996</v>
      </c>
      <c r="AE18" s="1">
        <v>1062</v>
      </c>
      <c r="AF18" s="1">
        <v>1040</v>
      </c>
      <c r="AG18" s="1">
        <v>1025</v>
      </c>
      <c r="AH18" s="1">
        <v>1183</v>
      </c>
      <c r="AI18" s="133">
        <v>1195</v>
      </c>
    </row>
    <row r="19" spans="1:35">
      <c r="A19" s="42" t="s">
        <v>31</v>
      </c>
      <c r="B19" s="46">
        <v>1304</v>
      </c>
      <c r="C19" s="46">
        <v>1409</v>
      </c>
      <c r="D19" s="46">
        <v>1523</v>
      </c>
      <c r="E19" s="46">
        <v>1538</v>
      </c>
      <c r="F19" s="46">
        <f>761+721</f>
        <v>1482</v>
      </c>
      <c r="G19" s="46">
        <v>1296</v>
      </c>
      <c r="H19" s="46">
        <f>452+218+503+170</f>
        <v>1343</v>
      </c>
      <c r="I19" s="46">
        <f>390+243+437+180</f>
        <v>1250</v>
      </c>
      <c r="J19" s="46">
        <v>1336</v>
      </c>
      <c r="K19" s="46">
        <v>1297</v>
      </c>
      <c r="L19" s="46">
        <v>1272</v>
      </c>
      <c r="M19" s="46">
        <v>1403</v>
      </c>
      <c r="N19" s="46">
        <v>1305</v>
      </c>
      <c r="O19" s="46">
        <v>1353</v>
      </c>
      <c r="P19" s="46">
        <v>1428</v>
      </c>
      <c r="Q19" s="46">
        <v>1478</v>
      </c>
      <c r="R19" s="46">
        <v>1361</v>
      </c>
      <c r="S19" s="46">
        <v>1388</v>
      </c>
      <c r="T19" s="46">
        <v>1349</v>
      </c>
      <c r="U19" s="46">
        <v>1373</v>
      </c>
      <c r="V19" s="46">
        <v>1373</v>
      </c>
      <c r="W19" s="46">
        <v>1429</v>
      </c>
      <c r="X19" s="46">
        <v>1393</v>
      </c>
      <c r="Y19" s="46">
        <v>1529</v>
      </c>
      <c r="Z19" s="46">
        <v>1642</v>
      </c>
      <c r="AA19">
        <v>1889</v>
      </c>
      <c r="AB19">
        <v>1920</v>
      </c>
      <c r="AC19">
        <v>1988</v>
      </c>
      <c r="AD19">
        <v>2140</v>
      </c>
      <c r="AE19" s="1">
        <v>2062</v>
      </c>
      <c r="AF19" s="1">
        <v>2157</v>
      </c>
      <c r="AG19" s="1">
        <v>2262</v>
      </c>
      <c r="AH19" s="1">
        <v>2386</v>
      </c>
      <c r="AI19" s="133">
        <v>2422</v>
      </c>
    </row>
    <row r="20" spans="1:35">
      <c r="A20" s="42" t="s">
        <v>32</v>
      </c>
      <c r="B20" s="46">
        <v>3691</v>
      </c>
      <c r="C20" s="46">
        <v>3596</v>
      </c>
      <c r="D20" s="46">
        <v>4207</v>
      </c>
      <c r="E20" s="46">
        <v>4331</v>
      </c>
      <c r="F20" s="46">
        <f>2698+1506</f>
        <v>4204</v>
      </c>
      <c r="G20" s="46">
        <v>3974</v>
      </c>
      <c r="H20" s="46">
        <f>1500+929+1017+550</f>
        <v>3996</v>
      </c>
      <c r="I20" s="46">
        <f>1442+904+995+563</f>
        <v>3904</v>
      </c>
      <c r="J20" s="46">
        <v>4711</v>
      </c>
      <c r="K20" s="46">
        <v>4770</v>
      </c>
      <c r="L20" s="46">
        <v>4663</v>
      </c>
      <c r="M20" s="46">
        <v>4654</v>
      </c>
      <c r="N20" s="46">
        <v>4963</v>
      </c>
      <c r="O20" s="46">
        <v>4956</v>
      </c>
      <c r="P20" s="46">
        <v>4696</v>
      </c>
      <c r="Q20" s="46">
        <v>5160</v>
      </c>
      <c r="R20" s="46">
        <v>4752</v>
      </c>
      <c r="S20" s="46">
        <v>4941</v>
      </c>
      <c r="T20" s="46">
        <v>5194</v>
      </c>
      <c r="U20" s="46">
        <v>5145</v>
      </c>
      <c r="V20" s="46">
        <v>4946</v>
      </c>
      <c r="W20" s="46">
        <v>5166</v>
      </c>
      <c r="X20" s="46">
        <v>5169</v>
      </c>
      <c r="Y20" s="46">
        <v>5399</v>
      </c>
      <c r="Z20" s="46">
        <v>5603</v>
      </c>
      <c r="AA20">
        <v>5636</v>
      </c>
      <c r="AB20">
        <v>5689</v>
      </c>
      <c r="AC20">
        <v>5769</v>
      </c>
      <c r="AD20">
        <v>5852</v>
      </c>
      <c r="AE20" s="1">
        <v>5768</v>
      </c>
      <c r="AF20" s="1">
        <v>5791</v>
      </c>
      <c r="AG20" s="1">
        <v>5912</v>
      </c>
      <c r="AH20" s="1">
        <v>6097</v>
      </c>
      <c r="AI20" s="133">
        <v>6259</v>
      </c>
    </row>
    <row r="21" spans="1:35">
      <c r="A21" s="42" t="s">
        <v>33</v>
      </c>
      <c r="B21" s="46">
        <v>1183</v>
      </c>
      <c r="C21" s="46">
        <v>1346</v>
      </c>
      <c r="D21" s="46">
        <v>1715</v>
      </c>
      <c r="E21" s="46">
        <v>1517</v>
      </c>
      <c r="F21" s="46">
        <f>1127+511</f>
        <v>1638</v>
      </c>
      <c r="G21" s="46">
        <v>1588</v>
      </c>
      <c r="H21" s="46">
        <f>754+417+320+204</f>
        <v>1695</v>
      </c>
      <c r="I21" s="46">
        <f>743+472+319+198</f>
        <v>1732</v>
      </c>
      <c r="J21" s="46">
        <v>1610</v>
      </c>
      <c r="K21" s="46">
        <v>1793</v>
      </c>
      <c r="L21" s="46">
        <v>1820</v>
      </c>
      <c r="M21" s="46">
        <v>1799</v>
      </c>
      <c r="N21" s="46">
        <v>1847</v>
      </c>
      <c r="O21" s="46">
        <v>1922</v>
      </c>
      <c r="P21" s="46">
        <v>1916</v>
      </c>
      <c r="Q21" s="46">
        <v>2115</v>
      </c>
      <c r="R21" s="46">
        <v>2016</v>
      </c>
      <c r="S21" s="46">
        <v>2278</v>
      </c>
      <c r="T21" s="46">
        <v>2366</v>
      </c>
      <c r="U21" s="46">
        <v>2329</v>
      </c>
      <c r="V21" s="46">
        <v>2371</v>
      </c>
      <c r="W21" s="46">
        <v>2523</v>
      </c>
      <c r="X21" s="46">
        <v>2722</v>
      </c>
      <c r="Y21" s="46">
        <v>2143</v>
      </c>
      <c r="Z21" s="46">
        <v>2292</v>
      </c>
      <c r="AA21">
        <v>2921</v>
      </c>
      <c r="AB21">
        <v>2705</v>
      </c>
      <c r="AC21">
        <v>2691</v>
      </c>
      <c r="AD21">
        <v>2797</v>
      </c>
      <c r="AE21" s="1">
        <v>2707</v>
      </c>
      <c r="AF21" s="1">
        <v>2660</v>
      </c>
      <c r="AG21" s="1">
        <v>2592</v>
      </c>
      <c r="AH21" s="1">
        <v>3031</v>
      </c>
      <c r="AI21" s="133">
        <v>3115</v>
      </c>
    </row>
    <row r="22" spans="1:35">
      <c r="A22" s="47" t="s">
        <v>34</v>
      </c>
      <c r="B22" s="48">
        <v>252</v>
      </c>
      <c r="C22" s="48">
        <v>335</v>
      </c>
      <c r="D22" s="48">
        <v>336</v>
      </c>
      <c r="E22" s="48">
        <v>396</v>
      </c>
      <c r="F22" s="48">
        <v>362</v>
      </c>
      <c r="G22" s="48">
        <v>328</v>
      </c>
      <c r="H22" s="48">
        <f>222+93</f>
        <v>315</v>
      </c>
      <c r="I22" s="48">
        <f>196+106</f>
        <v>302</v>
      </c>
      <c r="J22" s="48">
        <v>326</v>
      </c>
      <c r="K22" s="48">
        <v>318</v>
      </c>
      <c r="L22" s="48">
        <v>366</v>
      </c>
      <c r="M22" s="48">
        <v>356</v>
      </c>
      <c r="N22" s="48">
        <v>349</v>
      </c>
      <c r="O22" s="48">
        <v>353</v>
      </c>
      <c r="P22" s="48">
        <v>379</v>
      </c>
      <c r="Q22" s="48">
        <v>375</v>
      </c>
      <c r="R22" s="48">
        <v>470</v>
      </c>
      <c r="S22" s="48">
        <v>452</v>
      </c>
      <c r="T22" s="48">
        <v>445</v>
      </c>
      <c r="U22" s="48">
        <v>475</v>
      </c>
      <c r="V22" s="48">
        <v>540</v>
      </c>
      <c r="W22" s="48">
        <v>515</v>
      </c>
      <c r="X22" s="48">
        <v>519</v>
      </c>
      <c r="Y22" s="48">
        <v>742</v>
      </c>
      <c r="Z22" s="48">
        <v>793</v>
      </c>
      <c r="AA22">
        <v>772</v>
      </c>
      <c r="AB22">
        <v>792</v>
      </c>
      <c r="AC22">
        <v>793</v>
      </c>
      <c r="AD22">
        <v>809</v>
      </c>
      <c r="AE22" s="3">
        <v>872</v>
      </c>
      <c r="AF22" s="3">
        <v>913</v>
      </c>
      <c r="AG22" s="3">
        <v>881</v>
      </c>
      <c r="AH22" s="3">
        <v>860</v>
      </c>
      <c r="AI22" s="133">
        <v>915</v>
      </c>
    </row>
    <row r="23" spans="1:35">
      <c r="A23" s="42" t="s">
        <v>35</v>
      </c>
      <c r="B23" s="43">
        <f t="shared" ref="B23:X23" si="8">SUM(B25:B37)</f>
        <v>0</v>
      </c>
      <c r="C23" s="43">
        <f t="shared" si="8"/>
        <v>0</v>
      </c>
      <c r="D23" s="43">
        <f t="shared" si="8"/>
        <v>0</v>
      </c>
      <c r="E23" s="43">
        <f t="shared" si="8"/>
        <v>0</v>
      </c>
      <c r="F23" s="43">
        <f t="shared" si="8"/>
        <v>0</v>
      </c>
      <c r="G23" s="43">
        <f t="shared" si="8"/>
        <v>11197</v>
      </c>
      <c r="H23" s="43">
        <f t="shared" si="8"/>
        <v>0</v>
      </c>
      <c r="I23" s="43">
        <f t="shared" si="8"/>
        <v>0</v>
      </c>
      <c r="J23" s="43">
        <f t="shared" si="8"/>
        <v>12349</v>
      </c>
      <c r="K23" s="43">
        <f t="shared" si="8"/>
        <v>12618</v>
      </c>
      <c r="L23" s="43">
        <f t="shared" si="8"/>
        <v>12626</v>
      </c>
      <c r="M23" s="43">
        <f t="shared" si="8"/>
        <v>12110</v>
      </c>
      <c r="N23" s="43">
        <f t="shared" si="8"/>
        <v>11864</v>
      </c>
      <c r="O23" s="43">
        <f t="shared" si="8"/>
        <v>12663</v>
      </c>
      <c r="P23" s="43">
        <f t="shared" si="8"/>
        <v>11823</v>
      </c>
      <c r="Q23" s="43">
        <f t="shared" si="8"/>
        <v>11887</v>
      </c>
      <c r="R23" s="43">
        <f t="shared" si="8"/>
        <v>12650</v>
      </c>
      <c r="S23" s="43">
        <f t="shared" si="8"/>
        <v>12621</v>
      </c>
      <c r="T23" s="43">
        <f t="shared" si="8"/>
        <v>13484</v>
      </c>
      <c r="U23" s="43">
        <f t="shared" si="8"/>
        <v>13040</v>
      </c>
      <c r="V23" s="43">
        <f t="shared" si="8"/>
        <v>13294</v>
      </c>
      <c r="W23" s="43">
        <f t="shared" si="8"/>
        <v>13122</v>
      </c>
      <c r="X23" s="43">
        <f t="shared" si="8"/>
        <v>13465</v>
      </c>
      <c r="Y23" s="43">
        <f>SUM(Y25:Y37)</f>
        <v>13989</v>
      </c>
      <c r="Z23" s="43">
        <f>SUM(Z25:Z37)</f>
        <v>15041</v>
      </c>
      <c r="AA23" s="43">
        <f>SUM(AA25:AA37)</f>
        <v>15836</v>
      </c>
      <c r="AB23" s="43">
        <f>SUM(AB25:AB37)</f>
        <v>17210</v>
      </c>
      <c r="AC23" s="43">
        <f t="shared" ref="AC23:AF23" si="9">SUM(AC25:AC37)</f>
        <v>17313</v>
      </c>
      <c r="AD23" s="43">
        <f t="shared" si="9"/>
        <v>17433</v>
      </c>
      <c r="AE23" s="43">
        <f t="shared" si="9"/>
        <v>16988</v>
      </c>
      <c r="AF23" s="43">
        <f t="shared" si="9"/>
        <v>17576</v>
      </c>
      <c r="AG23" s="43">
        <f>SUM(AG25:AG37)</f>
        <v>17734</v>
      </c>
      <c r="AH23" s="43">
        <f>SUM(AH25:AH37)</f>
        <v>18001</v>
      </c>
      <c r="AI23" s="134">
        <f>SUM(AI25:AI37)</f>
        <v>18790</v>
      </c>
    </row>
    <row r="24" spans="1:35">
      <c r="A24" s="44" t="s">
        <v>131</v>
      </c>
      <c r="B24" s="45">
        <f t="shared" ref="B24:X24" si="10">(B23/B4)*100</f>
        <v>0</v>
      </c>
      <c r="C24" s="45">
        <f t="shared" si="10"/>
        <v>0</v>
      </c>
      <c r="D24" s="45">
        <f t="shared" si="10"/>
        <v>0</v>
      </c>
      <c r="E24" s="45">
        <f t="shared" si="10"/>
        <v>0</v>
      </c>
      <c r="F24" s="45">
        <f t="shared" si="10"/>
        <v>0</v>
      </c>
      <c r="G24" s="45">
        <f t="shared" si="10"/>
        <v>16.230829443655235</v>
      </c>
      <c r="H24" s="45">
        <f t="shared" si="10"/>
        <v>0</v>
      </c>
      <c r="I24" s="45">
        <f t="shared" si="10"/>
        <v>0</v>
      </c>
      <c r="J24" s="45">
        <f t="shared" si="10"/>
        <v>17.362146050670642</v>
      </c>
      <c r="K24" s="45">
        <f t="shared" si="10"/>
        <v>17.360079247152054</v>
      </c>
      <c r="L24" s="45">
        <f t="shared" si="10"/>
        <v>17.582019718152957</v>
      </c>
      <c r="M24" s="45">
        <f t="shared" si="10"/>
        <v>16.723747445174833</v>
      </c>
      <c r="N24" s="45">
        <f t="shared" si="10"/>
        <v>16.19327100252508</v>
      </c>
      <c r="O24" s="45">
        <f t="shared" si="10"/>
        <v>16.827906976744185</v>
      </c>
      <c r="P24" s="45">
        <f t="shared" si="10"/>
        <v>15.81883864062082</v>
      </c>
      <c r="Q24" s="45">
        <f t="shared" si="10"/>
        <v>15.856733142132995</v>
      </c>
      <c r="R24" s="45">
        <f t="shared" si="10"/>
        <v>16.932364239917547</v>
      </c>
      <c r="S24" s="45">
        <f t="shared" si="10"/>
        <v>16.403904391790899</v>
      </c>
      <c r="T24" s="45">
        <f t="shared" si="10"/>
        <v>16.710040399534044</v>
      </c>
      <c r="U24" s="45">
        <f t="shared" si="10"/>
        <v>16.231422241031641</v>
      </c>
      <c r="V24" s="45">
        <f t="shared" si="10"/>
        <v>16.217535042026032</v>
      </c>
      <c r="W24" s="45">
        <f t="shared" si="10"/>
        <v>15.859893397150005</v>
      </c>
      <c r="X24" s="45">
        <f t="shared" si="10"/>
        <v>15.834656317986711</v>
      </c>
      <c r="Y24" s="45">
        <f>(Y23/Y4)*100</f>
        <v>15.731588003103807</v>
      </c>
      <c r="Z24" s="45">
        <f>(Z23/Z4)*100</f>
        <v>16.241928168801156</v>
      </c>
      <c r="AA24" s="45">
        <f>(AA23/AA4)*100</f>
        <v>16.403733206268971</v>
      </c>
      <c r="AB24" s="45">
        <f>(AB23/AB4)*100</f>
        <v>17.399832168963393</v>
      </c>
      <c r="AC24" s="45">
        <f t="shared" ref="AC24:AF24" si="11">(AC23/AC4)*100</f>
        <v>17.533039647577091</v>
      </c>
      <c r="AD24" s="45">
        <f t="shared" si="11"/>
        <v>17.757247336361971</v>
      </c>
      <c r="AE24" s="45">
        <f t="shared" si="11"/>
        <v>17.524422575021408</v>
      </c>
      <c r="AF24" s="45">
        <f t="shared" si="11"/>
        <v>17.781194990186755</v>
      </c>
      <c r="AG24" s="45">
        <f>(AG23/AG4)*100</f>
        <v>17.752640272285898</v>
      </c>
      <c r="AH24" s="45">
        <f>(AH23/AH4)*100</f>
        <v>17.627128602344278</v>
      </c>
      <c r="AI24" s="135">
        <f>(AI23/AI4)*100</f>
        <v>17.961782221754881</v>
      </c>
    </row>
    <row r="25" spans="1:35">
      <c r="A25" s="42" t="s">
        <v>36</v>
      </c>
      <c r="B25" s="46"/>
      <c r="C25" s="46"/>
      <c r="D25" s="46"/>
      <c r="E25" s="46"/>
      <c r="F25" s="46"/>
      <c r="G25" s="46">
        <v>0</v>
      </c>
      <c r="H25" s="46"/>
      <c r="I25" s="46"/>
      <c r="J25" s="46">
        <v>0</v>
      </c>
      <c r="K25" s="46">
        <v>0</v>
      </c>
      <c r="L25" s="46">
        <v>0</v>
      </c>
      <c r="M25" s="46">
        <v>0</v>
      </c>
      <c r="N25" s="46">
        <v>0</v>
      </c>
      <c r="O25" s="46">
        <v>0</v>
      </c>
      <c r="P25" s="46">
        <v>0</v>
      </c>
      <c r="Q25" s="46">
        <v>0</v>
      </c>
      <c r="R25" s="46">
        <v>0</v>
      </c>
      <c r="S25" s="46">
        <v>0</v>
      </c>
      <c r="T25" s="46">
        <v>0</v>
      </c>
      <c r="U25" s="46"/>
      <c r="V25" s="46">
        <v>0</v>
      </c>
      <c r="W25" s="46"/>
      <c r="X25" s="46"/>
      <c r="Y25" s="46">
        <v>0</v>
      </c>
      <c r="Z25" s="46">
        <v>0</v>
      </c>
      <c r="AA25">
        <v>0</v>
      </c>
      <c r="AB25">
        <v>0</v>
      </c>
      <c r="AC25">
        <v>6</v>
      </c>
      <c r="AD25">
        <v>8</v>
      </c>
      <c r="AE25" s="1">
        <v>4</v>
      </c>
      <c r="AF25" s="1">
        <v>3</v>
      </c>
      <c r="AG25" s="1">
        <v>4</v>
      </c>
      <c r="AH25" s="1">
        <v>5</v>
      </c>
      <c r="AI25" s="133">
        <v>2</v>
      </c>
    </row>
    <row r="26" spans="1:35">
      <c r="A26" s="42" t="s">
        <v>38</v>
      </c>
      <c r="B26" s="46"/>
      <c r="C26" s="46"/>
      <c r="D26" s="46"/>
      <c r="E26" s="46"/>
      <c r="F26" s="46"/>
      <c r="G26" s="46">
        <v>289</v>
      </c>
      <c r="H26" s="46"/>
      <c r="I26" s="46"/>
      <c r="J26" s="46">
        <v>422</v>
      </c>
      <c r="K26" s="46">
        <v>430</v>
      </c>
      <c r="L26" s="46">
        <v>442</v>
      </c>
      <c r="M26" s="46">
        <v>421</v>
      </c>
      <c r="N26" s="46">
        <v>414</v>
      </c>
      <c r="O26" s="46">
        <v>448</v>
      </c>
      <c r="P26" s="46">
        <v>428</v>
      </c>
      <c r="Q26" s="46">
        <v>574</v>
      </c>
      <c r="R26" s="46">
        <v>725</v>
      </c>
      <c r="S26" s="46">
        <v>721</v>
      </c>
      <c r="T26" s="46">
        <v>753</v>
      </c>
      <c r="U26" s="46">
        <v>781</v>
      </c>
      <c r="V26" s="46">
        <v>859</v>
      </c>
      <c r="W26" s="46">
        <v>852</v>
      </c>
      <c r="X26" s="46">
        <v>874</v>
      </c>
      <c r="Y26" s="46">
        <v>967</v>
      </c>
      <c r="Z26" s="46">
        <v>1030</v>
      </c>
      <c r="AA26">
        <v>1335</v>
      </c>
      <c r="AB26">
        <v>1538</v>
      </c>
      <c r="AC26">
        <v>1531</v>
      </c>
      <c r="AD26">
        <v>1684</v>
      </c>
      <c r="AE26" s="1">
        <v>1509</v>
      </c>
      <c r="AF26" s="1">
        <v>1550</v>
      </c>
      <c r="AG26" s="1">
        <v>1556</v>
      </c>
      <c r="AH26" s="1">
        <v>1636</v>
      </c>
      <c r="AI26" s="133">
        <v>1621</v>
      </c>
    </row>
    <row r="27" spans="1:35">
      <c r="A27" s="42" t="s">
        <v>39</v>
      </c>
      <c r="B27" s="46"/>
      <c r="C27" s="46"/>
      <c r="D27" s="46"/>
      <c r="E27" s="46"/>
      <c r="F27" s="46"/>
      <c r="G27" s="46">
        <v>7577</v>
      </c>
      <c r="H27" s="46"/>
      <c r="I27" s="46"/>
      <c r="J27" s="46">
        <v>8487</v>
      </c>
      <c r="K27" s="46">
        <v>8667</v>
      </c>
      <c r="L27" s="46">
        <v>8623</v>
      </c>
      <c r="M27" s="46">
        <v>8139</v>
      </c>
      <c r="N27" s="46">
        <v>7921</v>
      </c>
      <c r="O27" s="46">
        <v>8573</v>
      </c>
      <c r="P27" s="46">
        <v>7779</v>
      </c>
      <c r="Q27" s="46">
        <v>7392</v>
      </c>
      <c r="R27" s="46">
        <v>7665</v>
      </c>
      <c r="S27" s="46">
        <v>7599</v>
      </c>
      <c r="T27" s="46">
        <v>8126</v>
      </c>
      <c r="U27" s="46">
        <v>7526</v>
      </c>
      <c r="V27" s="46">
        <v>7572</v>
      </c>
      <c r="W27" s="46">
        <v>7602</v>
      </c>
      <c r="X27" s="46">
        <v>7649</v>
      </c>
      <c r="Y27" s="46">
        <v>7639</v>
      </c>
      <c r="Z27" s="46">
        <v>8297</v>
      </c>
      <c r="AA27">
        <v>8450</v>
      </c>
      <c r="AB27">
        <v>9378</v>
      </c>
      <c r="AC27">
        <v>9443</v>
      </c>
      <c r="AD27">
        <v>9399</v>
      </c>
      <c r="AE27" s="1">
        <v>9235</v>
      </c>
      <c r="AF27" s="1">
        <v>9610</v>
      </c>
      <c r="AG27" s="1">
        <v>9702</v>
      </c>
      <c r="AH27" s="1">
        <v>9688</v>
      </c>
      <c r="AI27" s="133">
        <v>10200</v>
      </c>
    </row>
    <row r="28" spans="1:35">
      <c r="A28" s="42" t="s">
        <v>40</v>
      </c>
      <c r="B28" s="46"/>
      <c r="C28" s="46"/>
      <c r="D28" s="46"/>
      <c r="E28" s="46"/>
      <c r="F28" s="46"/>
      <c r="G28" s="46">
        <v>853</v>
      </c>
      <c r="H28" s="46"/>
      <c r="I28" s="46"/>
      <c r="J28" s="46">
        <v>758</v>
      </c>
      <c r="K28" s="46">
        <v>793</v>
      </c>
      <c r="L28" s="46">
        <v>792</v>
      </c>
      <c r="M28" s="46">
        <v>816</v>
      </c>
      <c r="N28" s="46">
        <v>772</v>
      </c>
      <c r="O28" s="46">
        <v>810</v>
      </c>
      <c r="P28" s="46">
        <v>819</v>
      </c>
      <c r="Q28" s="46">
        <v>849</v>
      </c>
      <c r="R28" s="46">
        <v>947</v>
      </c>
      <c r="S28" s="46">
        <v>907</v>
      </c>
      <c r="T28" s="46">
        <v>1010</v>
      </c>
      <c r="U28" s="46">
        <v>1030</v>
      </c>
      <c r="V28" s="46">
        <v>1021</v>
      </c>
      <c r="W28" s="46">
        <v>1007</v>
      </c>
      <c r="X28" s="46">
        <v>937</v>
      </c>
      <c r="Y28" s="46">
        <v>1116</v>
      </c>
      <c r="Z28" s="46">
        <v>1058</v>
      </c>
      <c r="AA28">
        <v>1154</v>
      </c>
      <c r="AB28">
        <v>1349</v>
      </c>
      <c r="AC28">
        <v>1315</v>
      </c>
      <c r="AD28">
        <v>1245</v>
      </c>
      <c r="AE28" s="1">
        <v>1294</v>
      </c>
      <c r="AF28" s="1">
        <v>1223</v>
      </c>
      <c r="AG28" s="1">
        <v>1338</v>
      </c>
      <c r="AH28" s="1">
        <v>1386</v>
      </c>
      <c r="AI28" s="133">
        <v>1414</v>
      </c>
    </row>
    <row r="29" spans="1:35">
      <c r="A29" s="42" t="s">
        <v>41</v>
      </c>
      <c r="B29" s="46"/>
      <c r="C29" s="46"/>
      <c r="D29" s="46"/>
      <c r="E29" s="46"/>
      <c r="F29" s="46"/>
      <c r="G29" s="46">
        <v>0</v>
      </c>
      <c r="H29" s="46"/>
      <c r="I29" s="46"/>
      <c r="J29" s="46">
        <v>95</v>
      </c>
      <c r="K29" s="46">
        <v>96</v>
      </c>
      <c r="L29" s="46">
        <v>162</v>
      </c>
      <c r="M29" s="46">
        <v>156</v>
      </c>
      <c r="N29" s="46">
        <v>122</v>
      </c>
      <c r="O29" s="46">
        <v>129</v>
      </c>
      <c r="P29" s="46">
        <v>130</v>
      </c>
      <c r="Q29" s="46">
        <v>121</v>
      </c>
      <c r="R29" s="46">
        <v>121</v>
      </c>
      <c r="S29" s="46">
        <v>139</v>
      </c>
      <c r="T29" s="46">
        <v>141</v>
      </c>
      <c r="U29" s="46">
        <v>152</v>
      </c>
      <c r="V29" s="46">
        <v>147</v>
      </c>
      <c r="W29" s="46">
        <v>135</v>
      </c>
      <c r="X29" s="46">
        <v>157</v>
      </c>
      <c r="Y29" s="46">
        <v>184</v>
      </c>
      <c r="Z29" s="46">
        <v>259</v>
      </c>
      <c r="AA29">
        <v>314</v>
      </c>
      <c r="AB29">
        <v>292</v>
      </c>
      <c r="AC29">
        <v>281</v>
      </c>
      <c r="AD29">
        <v>350</v>
      </c>
      <c r="AE29" s="1">
        <v>281</v>
      </c>
      <c r="AF29" s="1">
        <v>314</v>
      </c>
      <c r="AG29" s="1">
        <v>296</v>
      </c>
      <c r="AH29" s="1">
        <v>264</v>
      </c>
      <c r="AI29" s="133">
        <v>292</v>
      </c>
    </row>
    <row r="30" spans="1:35">
      <c r="A30" s="42" t="s">
        <v>42</v>
      </c>
      <c r="B30" s="46"/>
      <c r="C30" s="46"/>
      <c r="D30" s="46"/>
      <c r="E30" s="46"/>
      <c r="F30" s="46"/>
      <c r="G30" s="46">
        <v>68</v>
      </c>
      <c r="H30" s="46"/>
      <c r="I30" s="46"/>
      <c r="J30" s="46">
        <v>129</v>
      </c>
      <c r="K30" s="46">
        <v>140</v>
      </c>
      <c r="L30" s="46">
        <v>141</v>
      </c>
      <c r="M30" s="46">
        <v>159</v>
      </c>
      <c r="N30" s="46">
        <v>150</v>
      </c>
      <c r="O30" s="46">
        <v>162</v>
      </c>
      <c r="P30" s="46">
        <v>144</v>
      </c>
      <c r="Q30" s="46">
        <v>168</v>
      </c>
      <c r="R30" s="46">
        <v>148</v>
      </c>
      <c r="S30" s="46">
        <v>154</v>
      </c>
      <c r="T30" s="46">
        <v>152</v>
      </c>
      <c r="U30" s="46">
        <v>138</v>
      </c>
      <c r="V30" s="46">
        <v>159</v>
      </c>
      <c r="W30" s="46">
        <v>150</v>
      </c>
      <c r="X30" s="46">
        <v>146</v>
      </c>
      <c r="Y30" s="46">
        <v>173</v>
      </c>
      <c r="Z30" s="46">
        <v>188</v>
      </c>
      <c r="AA30">
        <v>203</v>
      </c>
      <c r="AB30">
        <v>215</v>
      </c>
      <c r="AC30">
        <v>225</v>
      </c>
      <c r="AD30">
        <v>217</v>
      </c>
      <c r="AE30" s="1">
        <v>255</v>
      </c>
      <c r="AF30" s="1">
        <v>216</v>
      </c>
      <c r="AG30" s="1">
        <v>230</v>
      </c>
      <c r="AH30" s="1">
        <v>225</v>
      </c>
      <c r="AI30" s="133">
        <v>234</v>
      </c>
    </row>
    <row r="31" spans="1:35">
      <c r="A31" s="42" t="s">
        <v>43</v>
      </c>
      <c r="B31" s="46"/>
      <c r="C31" s="46"/>
      <c r="D31" s="46"/>
      <c r="E31" s="46"/>
      <c r="F31" s="46"/>
      <c r="G31" s="46">
        <v>74</v>
      </c>
      <c r="H31" s="46"/>
      <c r="I31" s="46"/>
      <c r="J31" s="46">
        <v>69</v>
      </c>
      <c r="K31" s="46">
        <v>68</v>
      </c>
      <c r="L31" s="46">
        <v>70</v>
      </c>
      <c r="M31" s="46">
        <v>75</v>
      </c>
      <c r="N31" s="46">
        <v>74</v>
      </c>
      <c r="O31" s="46">
        <v>74</v>
      </c>
      <c r="P31" s="46">
        <v>64</v>
      </c>
      <c r="Q31" s="46">
        <v>69</v>
      </c>
      <c r="R31" s="46">
        <v>103</v>
      </c>
      <c r="S31" s="46">
        <v>128</v>
      </c>
      <c r="T31" s="46">
        <v>119</v>
      </c>
      <c r="U31" s="46">
        <v>120</v>
      </c>
      <c r="V31" s="46">
        <v>115</v>
      </c>
      <c r="W31" s="46">
        <v>121</v>
      </c>
      <c r="X31" s="46">
        <v>128</v>
      </c>
      <c r="Y31" s="46">
        <v>200</v>
      </c>
      <c r="Z31" s="46">
        <v>251</v>
      </c>
      <c r="AA31">
        <v>270</v>
      </c>
      <c r="AB31">
        <v>292</v>
      </c>
      <c r="AC31">
        <v>274</v>
      </c>
      <c r="AD31">
        <v>276</v>
      </c>
      <c r="AE31" s="1">
        <v>279</v>
      </c>
      <c r="AF31" s="1">
        <v>316</v>
      </c>
      <c r="AG31" s="1">
        <v>286</v>
      </c>
      <c r="AH31" s="1">
        <v>314</v>
      </c>
      <c r="AI31" s="133">
        <v>365</v>
      </c>
    </row>
    <row r="32" spans="1:35">
      <c r="A32" s="42" t="s">
        <v>44</v>
      </c>
      <c r="B32" s="46"/>
      <c r="C32" s="46"/>
      <c r="D32" s="46"/>
      <c r="E32" s="46"/>
      <c r="F32" s="46"/>
      <c r="G32" s="46">
        <v>42</v>
      </c>
      <c r="H32" s="46"/>
      <c r="I32" s="46"/>
      <c r="J32" s="46">
        <v>43</v>
      </c>
      <c r="K32" s="46">
        <v>50</v>
      </c>
      <c r="L32" s="46">
        <v>37</v>
      </c>
      <c r="M32" s="46">
        <v>51</v>
      </c>
      <c r="N32" s="46">
        <v>55</v>
      </c>
      <c r="O32" s="46">
        <v>46</v>
      </c>
      <c r="P32" s="46">
        <v>47</v>
      </c>
      <c r="Q32" s="46">
        <v>50</v>
      </c>
      <c r="R32" s="46">
        <v>172</v>
      </c>
      <c r="S32" s="46">
        <v>163</v>
      </c>
      <c r="T32" s="46">
        <v>162</v>
      </c>
      <c r="U32" s="46">
        <v>251</v>
      </c>
      <c r="V32" s="46">
        <v>376</v>
      </c>
      <c r="W32" s="46">
        <v>345</v>
      </c>
      <c r="X32" s="46">
        <v>416</v>
      </c>
      <c r="Y32" s="46">
        <v>447</v>
      </c>
      <c r="Z32" s="46">
        <v>547</v>
      </c>
      <c r="AA32">
        <v>637</v>
      </c>
      <c r="AB32">
        <v>553</v>
      </c>
      <c r="AC32">
        <v>620</v>
      </c>
      <c r="AD32">
        <v>770</v>
      </c>
      <c r="AE32" s="1">
        <v>689</v>
      </c>
      <c r="AF32" s="1">
        <v>764</v>
      </c>
      <c r="AG32" s="1">
        <v>681</v>
      </c>
      <c r="AH32" s="1">
        <v>738</v>
      </c>
      <c r="AI32" s="133">
        <v>703</v>
      </c>
    </row>
    <row r="33" spans="1:35">
      <c r="A33" s="42" t="s">
        <v>45</v>
      </c>
      <c r="B33" s="46"/>
      <c r="C33" s="46"/>
      <c r="D33" s="46"/>
      <c r="E33" s="46"/>
      <c r="F33" s="46"/>
      <c r="G33" s="46">
        <v>172</v>
      </c>
      <c r="H33" s="46"/>
      <c r="I33" s="46"/>
      <c r="J33" s="46">
        <v>176</v>
      </c>
      <c r="K33" s="46">
        <v>178</v>
      </c>
      <c r="L33" s="46">
        <v>192</v>
      </c>
      <c r="M33" s="46">
        <v>171</v>
      </c>
      <c r="N33" s="46">
        <v>188</v>
      </c>
      <c r="O33" s="46">
        <v>171</v>
      </c>
      <c r="P33" s="46">
        <v>183</v>
      </c>
      <c r="Q33" s="46">
        <v>217</v>
      </c>
      <c r="R33" s="46">
        <v>240</v>
      </c>
      <c r="S33" s="46">
        <v>228</v>
      </c>
      <c r="T33" s="46">
        <v>243</v>
      </c>
      <c r="U33" s="46">
        <v>241</v>
      </c>
      <c r="V33" s="46">
        <v>253</v>
      </c>
      <c r="W33" s="46">
        <v>252</v>
      </c>
      <c r="X33" s="46">
        <v>261</v>
      </c>
      <c r="Y33" s="46">
        <v>267</v>
      </c>
      <c r="Z33" s="46">
        <v>291</v>
      </c>
      <c r="AA33">
        <v>276</v>
      </c>
      <c r="AB33">
        <v>273</v>
      </c>
      <c r="AC33">
        <v>279</v>
      </c>
      <c r="AD33">
        <v>314</v>
      </c>
      <c r="AE33" s="1">
        <v>326</v>
      </c>
      <c r="AF33" s="1">
        <v>329</v>
      </c>
      <c r="AG33" s="1">
        <v>317</v>
      </c>
      <c r="AH33" s="1">
        <v>327</v>
      </c>
      <c r="AI33" s="133">
        <v>453</v>
      </c>
    </row>
    <row r="34" spans="1:35">
      <c r="A34" s="42" t="s">
        <v>46</v>
      </c>
      <c r="B34" s="46"/>
      <c r="C34" s="46"/>
      <c r="D34" s="46"/>
      <c r="E34" s="46"/>
      <c r="F34" s="46"/>
      <c r="G34" s="46">
        <v>887</v>
      </c>
      <c r="H34" s="46"/>
      <c r="I34" s="46"/>
      <c r="J34" s="46">
        <v>1002</v>
      </c>
      <c r="K34" s="46">
        <v>945</v>
      </c>
      <c r="L34" s="46">
        <v>912</v>
      </c>
      <c r="M34" s="46">
        <v>850</v>
      </c>
      <c r="N34" s="46">
        <v>868</v>
      </c>
      <c r="O34" s="46">
        <v>948</v>
      </c>
      <c r="P34" s="46">
        <v>940</v>
      </c>
      <c r="Q34" s="46">
        <v>958</v>
      </c>
      <c r="R34" s="46">
        <v>957</v>
      </c>
      <c r="S34" s="46">
        <v>982</v>
      </c>
      <c r="T34" s="46">
        <v>1038</v>
      </c>
      <c r="U34" s="46">
        <v>1076</v>
      </c>
      <c r="V34" s="46">
        <v>1083</v>
      </c>
      <c r="W34" s="46">
        <v>958</v>
      </c>
      <c r="X34" s="46">
        <v>1127</v>
      </c>
      <c r="Y34" s="46">
        <v>1250</v>
      </c>
      <c r="Z34" s="46">
        <v>1263</v>
      </c>
      <c r="AA34">
        <v>1260</v>
      </c>
      <c r="AB34">
        <v>1326</v>
      </c>
      <c r="AC34">
        <v>1351</v>
      </c>
      <c r="AD34">
        <v>1278</v>
      </c>
      <c r="AE34" s="1">
        <v>1287</v>
      </c>
      <c r="AF34" s="1">
        <v>1292</v>
      </c>
      <c r="AG34" s="1">
        <v>1329</v>
      </c>
      <c r="AH34" s="1">
        <v>1292</v>
      </c>
      <c r="AI34" s="133">
        <v>1265</v>
      </c>
    </row>
    <row r="35" spans="1:35">
      <c r="A35" s="42" t="s">
        <v>47</v>
      </c>
      <c r="B35" s="46"/>
      <c r="C35" s="46"/>
      <c r="D35" s="46"/>
      <c r="E35" s="46"/>
      <c r="F35" s="46"/>
      <c r="G35" s="46">
        <v>336</v>
      </c>
      <c r="H35" s="46"/>
      <c r="I35" s="46"/>
      <c r="J35" s="46">
        <v>238</v>
      </c>
      <c r="K35" s="46">
        <v>284</v>
      </c>
      <c r="L35" s="46">
        <v>295</v>
      </c>
      <c r="M35" s="46">
        <v>319</v>
      </c>
      <c r="N35" s="46">
        <v>344</v>
      </c>
      <c r="O35" s="46">
        <v>346</v>
      </c>
      <c r="P35" s="46">
        <v>321</v>
      </c>
      <c r="Q35" s="46">
        <v>370</v>
      </c>
      <c r="R35" s="46">
        <v>381</v>
      </c>
      <c r="S35" s="46">
        <v>385</v>
      </c>
      <c r="T35" s="46">
        <v>388</v>
      </c>
      <c r="U35" s="46">
        <v>402</v>
      </c>
      <c r="V35" s="46">
        <v>376</v>
      </c>
      <c r="W35" s="46">
        <v>382</v>
      </c>
      <c r="X35" s="46">
        <v>482</v>
      </c>
      <c r="Y35" s="46">
        <v>430</v>
      </c>
      <c r="Z35" s="46">
        <v>522</v>
      </c>
      <c r="AA35">
        <v>496</v>
      </c>
      <c r="AB35">
        <v>565</v>
      </c>
      <c r="AC35">
        <v>557</v>
      </c>
      <c r="AD35">
        <v>545</v>
      </c>
      <c r="AE35" s="1">
        <v>562</v>
      </c>
      <c r="AF35" s="1">
        <v>615</v>
      </c>
      <c r="AG35" s="1">
        <v>588</v>
      </c>
      <c r="AH35" s="1">
        <v>658</v>
      </c>
      <c r="AI35" s="133">
        <v>703</v>
      </c>
    </row>
    <row r="36" spans="1:35">
      <c r="A36" s="42" t="s">
        <v>48</v>
      </c>
      <c r="B36" s="46"/>
      <c r="C36" s="46"/>
      <c r="D36" s="46"/>
      <c r="E36" s="46"/>
      <c r="F36" s="46"/>
      <c r="G36" s="46">
        <v>899</v>
      </c>
      <c r="H36" s="46"/>
      <c r="I36" s="46"/>
      <c r="J36" s="46">
        <v>869</v>
      </c>
      <c r="K36" s="46">
        <v>903</v>
      </c>
      <c r="L36" s="46">
        <v>897</v>
      </c>
      <c r="M36" s="46">
        <v>888</v>
      </c>
      <c r="N36" s="46">
        <v>887</v>
      </c>
      <c r="O36" s="46">
        <v>897</v>
      </c>
      <c r="P36" s="46">
        <v>911</v>
      </c>
      <c r="Q36" s="46">
        <v>1012</v>
      </c>
      <c r="R36" s="46">
        <v>1096</v>
      </c>
      <c r="S36" s="46">
        <v>1096</v>
      </c>
      <c r="T36" s="46">
        <v>1239</v>
      </c>
      <c r="U36" s="46">
        <v>1221</v>
      </c>
      <c r="V36" s="46">
        <v>1227</v>
      </c>
      <c r="W36" s="46">
        <v>1214</v>
      </c>
      <c r="X36" s="46">
        <v>1179</v>
      </c>
      <c r="Y36" s="46">
        <v>1217</v>
      </c>
      <c r="Z36" s="46">
        <v>1234</v>
      </c>
      <c r="AA36">
        <v>1336</v>
      </c>
      <c r="AB36">
        <v>1334</v>
      </c>
      <c r="AC36">
        <v>1353</v>
      </c>
      <c r="AD36">
        <v>1265</v>
      </c>
      <c r="AE36" s="1">
        <v>1207</v>
      </c>
      <c r="AF36" s="1">
        <v>1262</v>
      </c>
      <c r="AG36" s="1">
        <v>1271</v>
      </c>
      <c r="AH36" s="1">
        <v>1343</v>
      </c>
      <c r="AI36" s="133">
        <v>1432</v>
      </c>
    </row>
    <row r="37" spans="1:35">
      <c r="A37" s="47" t="s">
        <v>49</v>
      </c>
      <c r="B37" s="48"/>
      <c r="C37" s="48"/>
      <c r="D37" s="48"/>
      <c r="E37" s="48"/>
      <c r="F37" s="48"/>
      <c r="G37" s="48">
        <v>0</v>
      </c>
      <c r="H37" s="48"/>
      <c r="I37" s="48"/>
      <c r="J37" s="48">
        <v>61</v>
      </c>
      <c r="K37" s="48">
        <v>64</v>
      </c>
      <c r="L37" s="48">
        <v>63</v>
      </c>
      <c r="M37" s="48">
        <v>65</v>
      </c>
      <c r="N37" s="48">
        <v>69</v>
      </c>
      <c r="O37" s="48">
        <v>59</v>
      </c>
      <c r="P37" s="48">
        <v>57</v>
      </c>
      <c r="Q37" s="48">
        <v>107</v>
      </c>
      <c r="R37" s="48">
        <v>95</v>
      </c>
      <c r="S37" s="48">
        <v>119</v>
      </c>
      <c r="T37" s="48">
        <v>113</v>
      </c>
      <c r="U37" s="48">
        <v>102</v>
      </c>
      <c r="V37" s="48">
        <v>106</v>
      </c>
      <c r="W37" s="48">
        <v>104</v>
      </c>
      <c r="X37" s="48">
        <v>109</v>
      </c>
      <c r="Y37" s="48">
        <v>99</v>
      </c>
      <c r="Z37" s="48">
        <v>101</v>
      </c>
      <c r="AA37">
        <v>105</v>
      </c>
      <c r="AB37">
        <v>95</v>
      </c>
      <c r="AC37">
        <v>78</v>
      </c>
      <c r="AD37">
        <v>82</v>
      </c>
      <c r="AE37" s="1">
        <v>60</v>
      </c>
      <c r="AF37" s="1">
        <v>82</v>
      </c>
      <c r="AG37" s="1">
        <v>136</v>
      </c>
      <c r="AH37" s="1">
        <v>125</v>
      </c>
      <c r="AI37" s="133">
        <v>106</v>
      </c>
    </row>
    <row r="38" spans="1:35">
      <c r="A38" s="42" t="s">
        <v>50</v>
      </c>
      <c r="B38" s="43">
        <f t="shared" ref="B38:X38" si="12">SUM(B40:B51)</f>
        <v>0</v>
      </c>
      <c r="C38" s="43">
        <f t="shared" si="12"/>
        <v>0</v>
      </c>
      <c r="D38" s="43">
        <f t="shared" si="12"/>
        <v>0</v>
      </c>
      <c r="E38" s="43">
        <f t="shared" si="12"/>
        <v>0</v>
      </c>
      <c r="F38" s="43">
        <f t="shared" si="12"/>
        <v>0</v>
      </c>
      <c r="G38" s="43">
        <f t="shared" si="12"/>
        <v>19142</v>
      </c>
      <c r="H38" s="43">
        <f t="shared" si="12"/>
        <v>0</v>
      </c>
      <c r="I38" s="43">
        <f t="shared" si="12"/>
        <v>0</v>
      </c>
      <c r="J38" s="43">
        <f t="shared" si="12"/>
        <v>19079</v>
      </c>
      <c r="K38" s="43">
        <f t="shared" si="12"/>
        <v>19286</v>
      </c>
      <c r="L38" s="43">
        <f t="shared" si="12"/>
        <v>18993</v>
      </c>
      <c r="M38" s="43">
        <f t="shared" si="12"/>
        <v>18839</v>
      </c>
      <c r="N38" s="43">
        <f t="shared" si="12"/>
        <v>19493</v>
      </c>
      <c r="O38" s="43">
        <f t="shared" si="12"/>
        <v>19240</v>
      </c>
      <c r="P38" s="43">
        <f t="shared" si="12"/>
        <v>19236</v>
      </c>
      <c r="Q38" s="43">
        <f t="shared" si="12"/>
        <v>19067</v>
      </c>
      <c r="R38" s="43">
        <f t="shared" si="12"/>
        <v>18912</v>
      </c>
      <c r="S38" s="43">
        <f t="shared" si="12"/>
        <v>19384</v>
      </c>
      <c r="T38" s="43">
        <f t="shared" si="12"/>
        <v>20494</v>
      </c>
      <c r="U38" s="43">
        <f t="shared" si="12"/>
        <v>20925</v>
      </c>
      <c r="V38" s="43">
        <f t="shared" si="12"/>
        <v>21637</v>
      </c>
      <c r="W38" s="43">
        <f t="shared" si="12"/>
        <v>21851</v>
      </c>
      <c r="X38" s="43">
        <f t="shared" si="12"/>
        <v>22169</v>
      </c>
      <c r="Y38" s="43">
        <f>SUM(Y40:Y51)</f>
        <v>22895</v>
      </c>
      <c r="Z38" s="43">
        <f>SUM(Z40:Z51)</f>
        <v>24005</v>
      </c>
      <c r="AA38" s="43">
        <f>SUM(AA40:AA51)</f>
        <v>23993</v>
      </c>
      <c r="AB38" s="43">
        <f>SUM(AB40:AB51)</f>
        <v>24506</v>
      </c>
      <c r="AC38" s="43">
        <f t="shared" ref="AC38:AF38" si="13">SUM(AC40:AC51)</f>
        <v>24421</v>
      </c>
      <c r="AD38" s="43">
        <f t="shared" si="13"/>
        <v>24332</v>
      </c>
      <c r="AE38" s="43">
        <f t="shared" si="13"/>
        <v>23927</v>
      </c>
      <c r="AF38" s="43">
        <f t="shared" si="13"/>
        <v>24403</v>
      </c>
      <c r="AG38" s="43">
        <f>SUM(AG40:AG51)</f>
        <v>24720</v>
      </c>
      <c r="AH38" s="43">
        <f>SUM(AH40:AH51)</f>
        <v>25207</v>
      </c>
      <c r="AI38" s="134">
        <f>SUM(AI40:AI51)</f>
        <v>25456</v>
      </c>
    </row>
    <row r="39" spans="1:35">
      <c r="A39" s="44" t="s">
        <v>131</v>
      </c>
      <c r="B39" s="45">
        <f t="shared" ref="B39:X39" si="14">(B38/B4)*100</f>
        <v>0</v>
      </c>
      <c r="C39" s="45">
        <f t="shared" si="14"/>
        <v>0</v>
      </c>
      <c r="D39" s="45">
        <f t="shared" si="14"/>
        <v>0</v>
      </c>
      <c r="E39" s="45">
        <f t="shared" si="14"/>
        <v>0</v>
      </c>
      <c r="F39" s="45">
        <f t="shared" si="14"/>
        <v>0</v>
      </c>
      <c r="G39" s="45">
        <f t="shared" si="14"/>
        <v>27.747658945293246</v>
      </c>
      <c r="H39" s="45">
        <f t="shared" si="14"/>
        <v>0</v>
      </c>
      <c r="I39" s="45">
        <f t="shared" si="14"/>
        <v>0</v>
      </c>
      <c r="J39" s="45">
        <f t="shared" si="14"/>
        <v>26.82422742738239</v>
      </c>
      <c r="K39" s="45">
        <f t="shared" si="14"/>
        <v>26.534037752462712</v>
      </c>
      <c r="L39" s="45">
        <f t="shared" si="14"/>
        <v>26.448225923244028</v>
      </c>
      <c r="M39" s="45">
        <f t="shared" si="14"/>
        <v>26.016406120532508</v>
      </c>
      <c r="N39" s="45">
        <f t="shared" si="14"/>
        <v>26.606155736026754</v>
      </c>
      <c r="O39" s="45">
        <f t="shared" si="14"/>
        <v>25.568106312292361</v>
      </c>
      <c r="P39" s="45">
        <f t="shared" si="14"/>
        <v>25.737222370885739</v>
      </c>
      <c r="Q39" s="45">
        <f t="shared" si="14"/>
        <v>25.434536116854535</v>
      </c>
      <c r="R39" s="45">
        <f t="shared" si="14"/>
        <v>25.314219170381079</v>
      </c>
      <c r="S39" s="45">
        <f t="shared" si="14"/>
        <v>25.193984845137056</v>
      </c>
      <c r="T39" s="45">
        <f t="shared" si="14"/>
        <v>25.397179468114111</v>
      </c>
      <c r="U39" s="45">
        <f t="shared" si="14"/>
        <v>26.046204784784287</v>
      </c>
      <c r="V39" s="45">
        <f t="shared" si="14"/>
        <v>26.395276493479557</v>
      </c>
      <c r="W39" s="45">
        <f t="shared" si="14"/>
        <v>26.410191329151406</v>
      </c>
      <c r="X39" s="45">
        <f t="shared" si="14"/>
        <v>26.070441582877642</v>
      </c>
      <c r="Y39" s="45">
        <f>(Y38/Y4)*100</f>
        <v>25.746994590825771</v>
      </c>
      <c r="Z39" s="45">
        <f>(Z38/Z4)*100</f>
        <v>25.921646545580202</v>
      </c>
      <c r="AA39" s="45">
        <f>(AA38/AA4)*100</f>
        <v>24.853168149659723</v>
      </c>
      <c r="AB39" s="45">
        <f>(AB38/AB4)*100</f>
        <v>24.776309537049208</v>
      </c>
      <c r="AC39" s="45">
        <f t="shared" ref="AC39:AF39" si="15">(AC38/AC4)*100</f>
        <v>24.731378803990076</v>
      </c>
      <c r="AD39" s="45">
        <f t="shared" si="15"/>
        <v>24.784566178417911</v>
      </c>
      <c r="AE39" s="45">
        <f t="shared" si="15"/>
        <v>24.682532314135695</v>
      </c>
      <c r="AF39" s="45">
        <f t="shared" si="15"/>
        <v>24.687898346923497</v>
      </c>
      <c r="AG39" s="45">
        <f>(AG38/AG4)*100</f>
        <v>24.745983282446566</v>
      </c>
      <c r="AH39" s="45">
        <f>(AH38/AH4)*100</f>
        <v>24.683463734197666</v>
      </c>
      <c r="AI39" s="135">
        <f>(AI38/AI4)*100</f>
        <v>24.333961055720717</v>
      </c>
    </row>
    <row r="40" spans="1:35">
      <c r="A40" s="42" t="s">
        <v>51</v>
      </c>
      <c r="B40" s="46"/>
      <c r="C40" s="46"/>
      <c r="D40" s="46"/>
      <c r="E40" s="46"/>
      <c r="F40" s="46"/>
      <c r="G40" s="46">
        <v>4377</v>
      </c>
      <c r="H40" s="46"/>
      <c r="I40" s="46"/>
      <c r="J40" s="46">
        <v>4260</v>
      </c>
      <c r="K40" s="46">
        <v>4283</v>
      </c>
      <c r="L40" s="46">
        <v>4201</v>
      </c>
      <c r="M40" s="46">
        <v>4214</v>
      </c>
      <c r="N40" s="46">
        <v>4487</v>
      </c>
      <c r="O40" s="46">
        <v>4234</v>
      </c>
      <c r="P40" s="46">
        <v>4233</v>
      </c>
      <c r="Q40" s="46">
        <v>4198</v>
      </c>
      <c r="R40" s="46">
        <v>4026</v>
      </c>
      <c r="S40" s="46">
        <v>3979</v>
      </c>
      <c r="T40" s="46">
        <v>4215</v>
      </c>
      <c r="U40" s="46">
        <v>4267</v>
      </c>
      <c r="V40" s="46">
        <v>4425</v>
      </c>
      <c r="W40" s="46">
        <v>4499</v>
      </c>
      <c r="X40" s="46">
        <v>4507</v>
      </c>
      <c r="Y40" s="46">
        <v>4533</v>
      </c>
      <c r="Z40" s="46">
        <v>4473</v>
      </c>
      <c r="AA40">
        <v>4628</v>
      </c>
      <c r="AB40">
        <v>4921</v>
      </c>
      <c r="AC40">
        <v>4930</v>
      </c>
      <c r="AD40">
        <v>5085</v>
      </c>
      <c r="AE40" s="1">
        <v>5253</v>
      </c>
      <c r="AF40" s="1">
        <v>5186</v>
      </c>
      <c r="AG40" s="1">
        <v>5150</v>
      </c>
      <c r="AH40" s="1">
        <v>5255</v>
      </c>
      <c r="AI40" s="133">
        <v>5407</v>
      </c>
    </row>
    <row r="41" spans="1:35">
      <c r="A41" s="42" t="s">
        <v>52</v>
      </c>
      <c r="B41" s="46"/>
      <c r="C41" s="46"/>
      <c r="D41" s="46"/>
      <c r="E41" s="46"/>
      <c r="F41" s="46"/>
      <c r="G41" s="46">
        <v>1501</v>
      </c>
      <c r="H41" s="46"/>
      <c r="I41" s="46"/>
      <c r="J41" s="46">
        <v>1475</v>
      </c>
      <c r="K41" s="46">
        <v>1447</v>
      </c>
      <c r="L41" s="46">
        <v>1411</v>
      </c>
      <c r="M41" s="46">
        <v>1442</v>
      </c>
      <c r="N41" s="46">
        <v>1444</v>
      </c>
      <c r="O41" s="46">
        <v>1401</v>
      </c>
      <c r="P41" s="46">
        <v>1432</v>
      </c>
      <c r="Q41" s="46">
        <v>1470</v>
      </c>
      <c r="R41" s="46">
        <v>1550</v>
      </c>
      <c r="S41" s="46">
        <v>1607</v>
      </c>
      <c r="T41" s="46">
        <v>1679</v>
      </c>
      <c r="U41" s="46">
        <v>1622</v>
      </c>
      <c r="V41" s="46">
        <v>1689</v>
      </c>
      <c r="W41" s="46">
        <v>1735</v>
      </c>
      <c r="X41" s="46">
        <v>1695</v>
      </c>
      <c r="Y41" s="46">
        <v>1559</v>
      </c>
      <c r="Z41" s="46">
        <v>1679</v>
      </c>
      <c r="AA41">
        <v>1668</v>
      </c>
      <c r="AB41">
        <v>1646</v>
      </c>
      <c r="AC41">
        <v>1717</v>
      </c>
      <c r="AD41">
        <v>1784</v>
      </c>
      <c r="AE41" s="1">
        <v>1802</v>
      </c>
      <c r="AF41" s="1">
        <v>2026</v>
      </c>
      <c r="AG41" s="1">
        <v>2101</v>
      </c>
      <c r="AH41" s="1">
        <v>2120</v>
      </c>
      <c r="AI41" s="133">
        <v>2038</v>
      </c>
    </row>
    <row r="42" spans="1:35">
      <c r="A42" s="42" t="s">
        <v>53</v>
      </c>
      <c r="B42" s="46"/>
      <c r="C42" s="46"/>
      <c r="D42" s="46"/>
      <c r="E42" s="46"/>
      <c r="F42" s="46"/>
      <c r="G42" s="46">
        <v>1271</v>
      </c>
      <c r="H42" s="46"/>
      <c r="I42" s="46"/>
      <c r="J42" s="46">
        <v>1433</v>
      </c>
      <c r="K42" s="46">
        <v>1482</v>
      </c>
      <c r="L42" s="46">
        <v>1390</v>
      </c>
      <c r="M42" s="46">
        <v>1468</v>
      </c>
      <c r="N42" s="46">
        <v>1545</v>
      </c>
      <c r="O42" s="46">
        <v>1619</v>
      </c>
      <c r="P42" s="46">
        <v>1528</v>
      </c>
      <c r="Q42" s="46">
        <v>1460</v>
      </c>
      <c r="R42" s="46">
        <v>1505</v>
      </c>
      <c r="S42" s="46">
        <v>1467</v>
      </c>
      <c r="T42" s="46">
        <v>1592</v>
      </c>
      <c r="U42" s="46">
        <v>1668</v>
      </c>
      <c r="V42" s="46">
        <v>1712</v>
      </c>
      <c r="W42" s="46">
        <v>1642</v>
      </c>
      <c r="X42" s="46">
        <v>1658</v>
      </c>
      <c r="Y42" s="46">
        <v>1804</v>
      </c>
      <c r="Z42" s="46">
        <v>2028</v>
      </c>
      <c r="AA42">
        <v>1868</v>
      </c>
      <c r="AB42">
        <v>1833</v>
      </c>
      <c r="AC42">
        <v>1869</v>
      </c>
      <c r="AD42">
        <v>1849</v>
      </c>
      <c r="AE42" s="1">
        <v>1695</v>
      </c>
      <c r="AF42" s="1">
        <v>1871</v>
      </c>
      <c r="AG42" s="1">
        <v>1885</v>
      </c>
      <c r="AH42" s="1">
        <v>1918</v>
      </c>
      <c r="AI42" s="133">
        <v>1803</v>
      </c>
    </row>
    <row r="43" spans="1:35">
      <c r="A43" s="42" t="s">
        <v>54</v>
      </c>
      <c r="B43" s="46"/>
      <c r="C43" s="46"/>
      <c r="D43" s="46"/>
      <c r="E43" s="46"/>
      <c r="F43" s="46"/>
      <c r="G43" s="46">
        <v>654</v>
      </c>
      <c r="H43" s="46"/>
      <c r="I43" s="46"/>
      <c r="J43" s="46">
        <v>601</v>
      </c>
      <c r="K43" s="46">
        <v>587</v>
      </c>
      <c r="L43" s="46">
        <v>594</v>
      </c>
      <c r="M43" s="46">
        <v>578</v>
      </c>
      <c r="N43" s="46">
        <v>582</v>
      </c>
      <c r="O43" s="46">
        <v>553</v>
      </c>
      <c r="P43" s="46">
        <v>556</v>
      </c>
      <c r="Q43" s="46">
        <v>646</v>
      </c>
      <c r="R43" s="46">
        <v>635</v>
      </c>
      <c r="S43" s="46">
        <v>710</v>
      </c>
      <c r="T43" s="46">
        <v>738</v>
      </c>
      <c r="U43" s="46">
        <v>709</v>
      </c>
      <c r="V43" s="46">
        <v>772</v>
      </c>
      <c r="W43" s="46">
        <v>740</v>
      </c>
      <c r="X43" s="46">
        <v>718</v>
      </c>
      <c r="Y43" s="46">
        <v>806</v>
      </c>
      <c r="Z43" s="46">
        <v>888</v>
      </c>
      <c r="AA43">
        <v>844</v>
      </c>
      <c r="AB43">
        <v>821</v>
      </c>
      <c r="AC43">
        <v>838</v>
      </c>
      <c r="AD43">
        <v>909</v>
      </c>
      <c r="AE43" s="1">
        <v>897</v>
      </c>
      <c r="AF43" s="1">
        <v>942</v>
      </c>
      <c r="AG43" s="1">
        <v>992</v>
      </c>
      <c r="AH43" s="1">
        <v>978</v>
      </c>
      <c r="AI43" s="133">
        <v>1036</v>
      </c>
    </row>
    <row r="44" spans="1:35">
      <c r="A44" s="42" t="s">
        <v>55</v>
      </c>
      <c r="B44" s="46"/>
      <c r="C44" s="46"/>
      <c r="D44" s="46"/>
      <c r="E44" s="46"/>
      <c r="F44" s="46"/>
      <c r="G44" s="46">
        <v>2474</v>
      </c>
      <c r="H44" s="46"/>
      <c r="I44" s="46"/>
      <c r="J44" s="46">
        <v>2495</v>
      </c>
      <c r="K44" s="46">
        <v>2484</v>
      </c>
      <c r="L44" s="46">
        <v>2627</v>
      </c>
      <c r="M44" s="46">
        <v>2354</v>
      </c>
      <c r="N44" s="46">
        <v>2417</v>
      </c>
      <c r="O44" s="46">
        <v>2423</v>
      </c>
      <c r="P44" s="46">
        <v>2372</v>
      </c>
      <c r="Q44" s="46">
        <v>2166</v>
      </c>
      <c r="R44" s="46">
        <v>2159</v>
      </c>
      <c r="S44" s="46">
        <v>2489</v>
      </c>
      <c r="T44" s="46">
        <v>2691</v>
      </c>
      <c r="U44" s="46">
        <v>2974</v>
      </c>
      <c r="V44" s="46">
        <v>3112</v>
      </c>
      <c r="W44" s="46">
        <v>3333</v>
      </c>
      <c r="X44" s="46">
        <v>3317</v>
      </c>
      <c r="Y44" s="46">
        <v>3378</v>
      </c>
      <c r="Z44" s="46">
        <v>3574</v>
      </c>
      <c r="AA44">
        <v>3522</v>
      </c>
      <c r="AB44">
        <v>3627</v>
      </c>
      <c r="AC44">
        <v>3523</v>
      </c>
      <c r="AD44">
        <v>3299</v>
      </c>
      <c r="AE44" s="1">
        <v>3030</v>
      </c>
      <c r="AF44" s="1">
        <v>3008</v>
      </c>
      <c r="AG44" s="1">
        <v>3045</v>
      </c>
      <c r="AH44" s="1">
        <v>2953</v>
      </c>
      <c r="AI44" s="133">
        <v>3155</v>
      </c>
    </row>
    <row r="45" spans="1:35">
      <c r="A45" s="42" t="s">
        <v>56</v>
      </c>
      <c r="B45" s="46"/>
      <c r="C45" s="46"/>
      <c r="D45" s="46"/>
      <c r="E45" s="46"/>
      <c r="F45" s="46"/>
      <c r="G45" s="46">
        <v>1518</v>
      </c>
      <c r="H45" s="46"/>
      <c r="I45" s="46"/>
      <c r="J45" s="46">
        <v>1691</v>
      </c>
      <c r="K45" s="46">
        <v>1730</v>
      </c>
      <c r="L45" s="46">
        <v>1483</v>
      </c>
      <c r="M45" s="46">
        <v>1492</v>
      </c>
      <c r="N45" s="46">
        <v>1466</v>
      </c>
      <c r="O45" s="46">
        <v>1530</v>
      </c>
      <c r="P45" s="46">
        <v>1582</v>
      </c>
      <c r="Q45" s="46">
        <v>1473</v>
      </c>
      <c r="R45" s="46">
        <v>1509</v>
      </c>
      <c r="S45" s="46">
        <v>1545</v>
      </c>
      <c r="T45" s="46">
        <v>1662</v>
      </c>
      <c r="U45" s="46">
        <v>1639</v>
      </c>
      <c r="V45" s="46">
        <v>1735</v>
      </c>
      <c r="W45" s="46">
        <v>1675</v>
      </c>
      <c r="X45" s="46">
        <v>1837</v>
      </c>
      <c r="Y45" s="46">
        <v>1767</v>
      </c>
      <c r="Z45" s="46">
        <v>1814</v>
      </c>
      <c r="AA45">
        <v>1808</v>
      </c>
      <c r="AB45">
        <v>1920</v>
      </c>
      <c r="AC45">
        <v>1816</v>
      </c>
      <c r="AD45">
        <v>1764</v>
      </c>
      <c r="AE45" s="1">
        <v>1694</v>
      </c>
      <c r="AF45" s="1">
        <v>1685</v>
      </c>
      <c r="AG45" s="1">
        <v>1652</v>
      </c>
      <c r="AH45" s="1">
        <v>1609</v>
      </c>
      <c r="AI45" s="133">
        <v>1843</v>
      </c>
    </row>
    <row r="46" spans="1:35">
      <c r="A46" s="42" t="s">
        <v>57</v>
      </c>
      <c r="B46" s="46"/>
      <c r="C46" s="46"/>
      <c r="D46" s="46"/>
      <c r="E46" s="46"/>
      <c r="F46" s="46"/>
      <c r="G46" s="46">
        <v>2241</v>
      </c>
      <c r="H46" s="46"/>
      <c r="I46" s="46"/>
      <c r="J46" s="46">
        <v>2107</v>
      </c>
      <c r="K46" s="46">
        <v>2107</v>
      </c>
      <c r="L46" s="46">
        <v>2160</v>
      </c>
      <c r="M46" s="46">
        <v>2201</v>
      </c>
      <c r="N46" s="46">
        <v>2286</v>
      </c>
      <c r="O46" s="46">
        <v>2280</v>
      </c>
      <c r="P46" s="46">
        <v>2262</v>
      </c>
      <c r="Q46" s="46">
        <v>2454</v>
      </c>
      <c r="R46" s="46">
        <v>2355</v>
      </c>
      <c r="S46" s="46">
        <v>2379</v>
      </c>
      <c r="T46" s="46">
        <v>2436</v>
      </c>
      <c r="U46" s="46">
        <v>2495</v>
      </c>
      <c r="V46" s="46">
        <v>2594</v>
      </c>
      <c r="W46" s="46">
        <v>2449</v>
      </c>
      <c r="X46" s="46">
        <v>2486</v>
      </c>
      <c r="Y46" s="46">
        <v>3060</v>
      </c>
      <c r="Z46" s="46">
        <v>3131</v>
      </c>
      <c r="AA46">
        <v>3056</v>
      </c>
      <c r="AB46">
        <v>3125</v>
      </c>
      <c r="AC46">
        <v>3029</v>
      </c>
      <c r="AD46">
        <v>2972</v>
      </c>
      <c r="AE46" s="1">
        <v>2871</v>
      </c>
      <c r="AF46" s="1">
        <v>3021</v>
      </c>
      <c r="AG46" s="1">
        <v>2991</v>
      </c>
      <c r="AH46" s="1">
        <v>3142</v>
      </c>
      <c r="AI46" s="133">
        <v>2951</v>
      </c>
    </row>
    <row r="47" spans="1:35">
      <c r="A47" s="42" t="s">
        <v>58</v>
      </c>
      <c r="B47" s="46"/>
      <c r="C47" s="46"/>
      <c r="D47" s="46"/>
      <c r="E47" s="46"/>
      <c r="F47" s="46"/>
      <c r="G47" s="46">
        <v>746</v>
      </c>
      <c r="H47" s="46"/>
      <c r="I47" s="46"/>
      <c r="J47" s="46">
        <v>716</v>
      </c>
      <c r="K47" s="46">
        <v>795</v>
      </c>
      <c r="L47" s="46">
        <v>804</v>
      </c>
      <c r="M47" s="46">
        <v>807</v>
      </c>
      <c r="N47" s="46">
        <v>810</v>
      </c>
      <c r="O47" s="46">
        <v>770</v>
      </c>
      <c r="P47" s="46">
        <v>750</v>
      </c>
      <c r="Q47" s="46">
        <v>789</v>
      </c>
      <c r="R47" s="46">
        <v>789</v>
      </c>
      <c r="S47" s="46">
        <v>793</v>
      </c>
      <c r="T47" s="46">
        <v>842</v>
      </c>
      <c r="U47" s="46">
        <v>819</v>
      </c>
      <c r="V47" s="46">
        <v>833</v>
      </c>
      <c r="W47" s="46">
        <v>912</v>
      </c>
      <c r="X47" s="46">
        <v>954</v>
      </c>
      <c r="Y47" s="46">
        <v>986</v>
      </c>
      <c r="Z47" s="46">
        <v>918</v>
      </c>
      <c r="AA47">
        <v>998</v>
      </c>
      <c r="AB47">
        <v>1016</v>
      </c>
      <c r="AC47">
        <v>1049</v>
      </c>
      <c r="AD47">
        <v>1086</v>
      </c>
      <c r="AE47" s="1">
        <v>1201</v>
      </c>
      <c r="AF47" s="1">
        <v>1101</v>
      </c>
      <c r="AG47" s="1">
        <v>1102</v>
      </c>
      <c r="AH47" s="1">
        <v>1209</v>
      </c>
      <c r="AI47" s="133">
        <v>1126</v>
      </c>
    </row>
    <row r="48" spans="1:35">
      <c r="A48" s="42" t="s">
        <v>59</v>
      </c>
      <c r="B48" s="46"/>
      <c r="C48" s="46"/>
      <c r="D48" s="46"/>
      <c r="E48" s="46"/>
      <c r="F48" s="46"/>
      <c r="G48" s="46">
        <v>117</v>
      </c>
      <c r="H48" s="46"/>
      <c r="I48" s="46"/>
      <c r="J48" s="46">
        <v>124</v>
      </c>
      <c r="K48" s="46">
        <v>140</v>
      </c>
      <c r="L48" s="46">
        <v>181</v>
      </c>
      <c r="M48" s="46">
        <v>181</v>
      </c>
      <c r="N48" s="46">
        <v>167</v>
      </c>
      <c r="O48" s="46">
        <v>184</v>
      </c>
      <c r="P48" s="46">
        <v>177</v>
      </c>
      <c r="Q48" s="46">
        <v>187</v>
      </c>
      <c r="R48" s="46">
        <v>175</v>
      </c>
      <c r="S48" s="46">
        <v>178</v>
      </c>
      <c r="T48" s="46">
        <v>172</v>
      </c>
      <c r="U48" s="46">
        <v>201</v>
      </c>
      <c r="V48" s="46">
        <v>200</v>
      </c>
      <c r="W48" s="46">
        <v>250</v>
      </c>
      <c r="X48" s="46">
        <v>226</v>
      </c>
      <c r="Y48" s="46">
        <v>269</v>
      </c>
      <c r="Z48" s="46">
        <v>267</v>
      </c>
      <c r="AA48">
        <v>283</v>
      </c>
      <c r="AB48">
        <v>273</v>
      </c>
      <c r="AC48">
        <v>279</v>
      </c>
      <c r="AD48">
        <v>280</v>
      </c>
      <c r="AE48" s="1">
        <v>298</v>
      </c>
      <c r="AF48" s="1">
        <v>305</v>
      </c>
      <c r="AG48" s="1">
        <v>358</v>
      </c>
      <c r="AH48" s="1">
        <v>367</v>
      </c>
      <c r="AI48" s="133">
        <v>336</v>
      </c>
    </row>
    <row r="49" spans="1:35">
      <c r="A49" s="42" t="s">
        <v>60</v>
      </c>
      <c r="B49" s="46"/>
      <c r="C49" s="46"/>
      <c r="D49" s="46"/>
      <c r="E49" s="46"/>
      <c r="F49" s="46"/>
      <c r="G49" s="46">
        <v>3273</v>
      </c>
      <c r="H49" s="46"/>
      <c r="I49" s="46"/>
      <c r="J49" s="46">
        <v>3112</v>
      </c>
      <c r="K49" s="46">
        <v>3149</v>
      </c>
      <c r="L49" s="46">
        <v>3051</v>
      </c>
      <c r="M49" s="46">
        <v>3014</v>
      </c>
      <c r="N49" s="46">
        <v>3219</v>
      </c>
      <c r="O49" s="46">
        <v>3182</v>
      </c>
      <c r="P49" s="46">
        <v>3213</v>
      </c>
      <c r="Q49" s="46">
        <v>3106</v>
      </c>
      <c r="R49" s="46">
        <v>2952</v>
      </c>
      <c r="S49" s="46">
        <v>3022</v>
      </c>
      <c r="T49" s="46">
        <v>3155</v>
      </c>
      <c r="U49" s="46">
        <v>3213</v>
      </c>
      <c r="V49" s="46">
        <v>3245</v>
      </c>
      <c r="W49" s="46">
        <v>3146</v>
      </c>
      <c r="X49" s="46">
        <v>3271</v>
      </c>
      <c r="Y49" s="46">
        <v>3223</v>
      </c>
      <c r="Z49" s="46">
        <v>3705</v>
      </c>
      <c r="AA49">
        <v>3714</v>
      </c>
      <c r="AB49">
        <v>3757</v>
      </c>
      <c r="AC49">
        <v>3714</v>
      </c>
      <c r="AD49">
        <v>3572</v>
      </c>
      <c r="AE49" s="1">
        <v>3514</v>
      </c>
      <c r="AF49" s="1">
        <v>3551</v>
      </c>
      <c r="AG49" s="1">
        <v>3566</v>
      </c>
      <c r="AH49" s="1">
        <v>3766</v>
      </c>
      <c r="AI49" s="133">
        <v>3870</v>
      </c>
    </row>
    <row r="50" spans="1:35">
      <c r="A50" s="42" t="s">
        <v>61</v>
      </c>
      <c r="B50" s="46"/>
      <c r="C50" s="46"/>
      <c r="D50" s="46"/>
      <c r="E50" s="46"/>
      <c r="F50" s="46"/>
      <c r="G50" s="46">
        <v>139</v>
      </c>
      <c r="H50" s="46"/>
      <c r="I50" s="46"/>
      <c r="J50" s="46">
        <v>132</v>
      </c>
      <c r="K50" s="46">
        <v>127</v>
      </c>
      <c r="L50" s="46">
        <v>139</v>
      </c>
      <c r="M50" s="46">
        <v>136</v>
      </c>
      <c r="N50" s="46">
        <v>138</v>
      </c>
      <c r="O50" s="46">
        <v>153</v>
      </c>
      <c r="P50" s="46">
        <v>185</v>
      </c>
      <c r="Q50" s="46">
        <v>193</v>
      </c>
      <c r="R50" s="46">
        <v>160</v>
      </c>
      <c r="S50" s="46">
        <v>199</v>
      </c>
      <c r="T50" s="46">
        <v>204</v>
      </c>
      <c r="U50" s="46">
        <v>201</v>
      </c>
      <c r="V50" s="46">
        <v>179</v>
      </c>
      <c r="W50" s="46">
        <v>212</v>
      </c>
      <c r="X50" s="46">
        <v>176</v>
      </c>
      <c r="Y50" s="46">
        <v>201</v>
      </c>
      <c r="Z50" s="46">
        <v>206</v>
      </c>
      <c r="AA50">
        <v>238</v>
      </c>
      <c r="AB50">
        <v>222</v>
      </c>
      <c r="AC50">
        <v>247</v>
      </c>
      <c r="AD50">
        <v>254</v>
      </c>
      <c r="AE50" s="1">
        <v>254</v>
      </c>
      <c r="AF50" s="1">
        <v>265</v>
      </c>
      <c r="AG50" s="1">
        <v>303</v>
      </c>
      <c r="AH50" s="1">
        <v>297</v>
      </c>
      <c r="AI50" s="133">
        <v>322</v>
      </c>
    </row>
    <row r="51" spans="1:35">
      <c r="A51" s="47" t="s">
        <v>62</v>
      </c>
      <c r="B51" s="48"/>
      <c r="C51" s="48"/>
      <c r="D51" s="48"/>
      <c r="E51" s="48"/>
      <c r="F51" s="48"/>
      <c r="G51" s="48">
        <v>831</v>
      </c>
      <c r="H51" s="48"/>
      <c r="I51" s="48"/>
      <c r="J51" s="48">
        <v>933</v>
      </c>
      <c r="K51" s="48">
        <v>955</v>
      </c>
      <c r="L51" s="48">
        <v>952</v>
      </c>
      <c r="M51" s="48">
        <v>952</v>
      </c>
      <c r="N51" s="48">
        <v>932</v>
      </c>
      <c r="O51" s="48">
        <v>911</v>
      </c>
      <c r="P51" s="48">
        <v>946</v>
      </c>
      <c r="Q51" s="48">
        <v>925</v>
      </c>
      <c r="R51" s="48">
        <v>1097</v>
      </c>
      <c r="S51" s="48">
        <v>1016</v>
      </c>
      <c r="T51" s="48">
        <v>1108</v>
      </c>
      <c r="U51" s="48">
        <v>1117</v>
      </c>
      <c r="V51" s="48">
        <v>1141</v>
      </c>
      <c r="W51" s="48">
        <v>1258</v>
      </c>
      <c r="X51" s="48">
        <v>1324</v>
      </c>
      <c r="Y51" s="48">
        <v>1309</v>
      </c>
      <c r="Z51" s="48">
        <v>1322</v>
      </c>
      <c r="AA51">
        <v>1366</v>
      </c>
      <c r="AB51">
        <v>1345</v>
      </c>
      <c r="AC51">
        <v>1410</v>
      </c>
      <c r="AD51">
        <v>1478</v>
      </c>
      <c r="AE51" s="1">
        <v>1418</v>
      </c>
      <c r="AF51" s="1">
        <v>1442</v>
      </c>
      <c r="AG51" s="1">
        <v>1575</v>
      </c>
      <c r="AH51" s="1">
        <v>1593</v>
      </c>
      <c r="AI51" s="133">
        <v>1569</v>
      </c>
    </row>
    <row r="52" spans="1:35">
      <c r="A52" s="42" t="s">
        <v>63</v>
      </c>
      <c r="B52" s="43">
        <f t="shared" ref="B52:X52" si="16">SUM(B54:B62)</f>
        <v>0</v>
      </c>
      <c r="C52" s="43">
        <f t="shared" si="16"/>
        <v>0</v>
      </c>
      <c r="D52" s="43">
        <f t="shared" si="16"/>
        <v>0</v>
      </c>
      <c r="E52" s="43">
        <f t="shared" si="16"/>
        <v>0</v>
      </c>
      <c r="F52" s="43">
        <f t="shared" si="16"/>
        <v>0</v>
      </c>
      <c r="G52" s="43">
        <f t="shared" si="16"/>
        <v>16234</v>
      </c>
      <c r="H52" s="43">
        <f t="shared" si="16"/>
        <v>0</v>
      </c>
      <c r="I52" s="43">
        <f t="shared" si="16"/>
        <v>0</v>
      </c>
      <c r="J52" s="43">
        <f t="shared" si="16"/>
        <v>17079</v>
      </c>
      <c r="K52" s="43">
        <f t="shared" si="16"/>
        <v>17252</v>
      </c>
      <c r="L52" s="43">
        <f t="shared" si="16"/>
        <v>16535</v>
      </c>
      <c r="M52" s="43">
        <f t="shared" si="16"/>
        <v>17391</v>
      </c>
      <c r="N52" s="43">
        <f t="shared" si="16"/>
        <v>17432</v>
      </c>
      <c r="O52" s="43">
        <f t="shared" si="16"/>
        <v>17786</v>
      </c>
      <c r="P52" s="43">
        <f t="shared" si="16"/>
        <v>17788</v>
      </c>
      <c r="Q52" s="43">
        <f t="shared" si="16"/>
        <v>17607</v>
      </c>
      <c r="R52" s="43">
        <f t="shared" si="16"/>
        <v>17776</v>
      </c>
      <c r="S52" s="43">
        <f t="shared" si="16"/>
        <v>18486</v>
      </c>
      <c r="T52" s="43">
        <f t="shared" si="16"/>
        <v>19329</v>
      </c>
      <c r="U52" s="43">
        <f t="shared" si="16"/>
        <v>19014</v>
      </c>
      <c r="V52" s="43">
        <f t="shared" si="16"/>
        <v>19143</v>
      </c>
      <c r="W52" s="43">
        <f t="shared" si="16"/>
        <v>19426</v>
      </c>
      <c r="X52" s="43">
        <f t="shared" si="16"/>
        <v>20326</v>
      </c>
      <c r="Y52" s="43">
        <f>SUM(Y54:Y62)</f>
        <v>21083</v>
      </c>
      <c r="Z52" s="43">
        <f>SUM(Z54:Z62)</f>
        <v>21652</v>
      </c>
      <c r="AA52" s="43">
        <f>SUM(AA54:AA62)</f>
        <v>22811</v>
      </c>
      <c r="AB52" s="43">
        <f>SUM(AB54:AB62)</f>
        <v>23174</v>
      </c>
      <c r="AC52" s="43">
        <f t="shared" ref="AC52:AF52" si="17">SUM(AC54:AC62)</f>
        <v>22938</v>
      </c>
      <c r="AD52" s="43">
        <f t="shared" si="17"/>
        <v>22531</v>
      </c>
      <c r="AE52" s="43">
        <f t="shared" si="17"/>
        <v>22670</v>
      </c>
      <c r="AF52" s="43">
        <f t="shared" si="17"/>
        <v>23124</v>
      </c>
      <c r="AG52" s="43">
        <f>SUM(AG54:AG62)</f>
        <v>23525</v>
      </c>
      <c r="AH52" s="43">
        <f>SUM(AH54:AH62)</f>
        <v>23720</v>
      </c>
      <c r="AI52" s="134">
        <f>SUM(AI54:AI62)</f>
        <v>24448</v>
      </c>
    </row>
    <row r="53" spans="1:35">
      <c r="A53" s="44" t="s">
        <v>131</v>
      </c>
      <c r="B53" s="45">
        <f t="shared" ref="B53:X53" si="18">(B52/B4)*100</f>
        <v>0</v>
      </c>
      <c r="C53" s="45">
        <f t="shared" si="18"/>
        <v>0</v>
      </c>
      <c r="D53" s="45">
        <f t="shared" si="18"/>
        <v>0</v>
      </c>
      <c r="E53" s="45">
        <f t="shared" si="18"/>
        <v>0</v>
      </c>
      <c r="F53" s="45">
        <f t="shared" si="18"/>
        <v>0</v>
      </c>
      <c r="G53" s="45">
        <f t="shared" si="18"/>
        <v>23.532310903661614</v>
      </c>
      <c r="H53" s="45">
        <f t="shared" si="18"/>
        <v>0</v>
      </c>
      <c r="I53" s="45">
        <f t="shared" si="18"/>
        <v>0</v>
      </c>
      <c r="J53" s="45">
        <f t="shared" si="18"/>
        <v>24.012316171301634</v>
      </c>
      <c r="K53" s="45">
        <f t="shared" si="18"/>
        <v>23.735622695503825</v>
      </c>
      <c r="L53" s="45">
        <f t="shared" si="18"/>
        <v>23.025399654653818</v>
      </c>
      <c r="M53" s="45">
        <f t="shared" si="18"/>
        <v>24.016737557310943</v>
      </c>
      <c r="N53" s="45">
        <f t="shared" si="18"/>
        <v>23.793079915375692</v>
      </c>
      <c r="O53" s="45">
        <f t="shared" si="18"/>
        <v>23.635880398671098</v>
      </c>
      <c r="P53" s="45">
        <f t="shared" si="18"/>
        <v>23.799839443403801</v>
      </c>
      <c r="Q53" s="45">
        <f t="shared" si="18"/>
        <v>23.486960581604748</v>
      </c>
      <c r="R53" s="45">
        <f t="shared" si="18"/>
        <v>23.79365270583196</v>
      </c>
      <c r="S53" s="45">
        <f t="shared" si="18"/>
        <v>24.026826446925487</v>
      </c>
      <c r="T53" s="45">
        <f t="shared" si="18"/>
        <v>23.953453788385755</v>
      </c>
      <c r="U53" s="45">
        <f t="shared" si="18"/>
        <v>23.667504792252732</v>
      </c>
      <c r="V53" s="45">
        <f t="shared" si="18"/>
        <v>23.352811291522819</v>
      </c>
      <c r="W53" s="45">
        <f t="shared" si="18"/>
        <v>23.479217278847432</v>
      </c>
      <c r="X53" s="45">
        <f t="shared" si="18"/>
        <v>23.9030987240548</v>
      </c>
      <c r="Y53" s="45">
        <f>(Y52/Y4)*100</f>
        <v>23.709276565118138</v>
      </c>
      <c r="Z53" s="45">
        <f>(Z52/Z4)*100</f>
        <v>23.380774463857634</v>
      </c>
      <c r="AA53" s="45">
        <f>(AA52/AA4)*100</f>
        <v>23.628792508727042</v>
      </c>
      <c r="AB53" s="45">
        <f>(AB52/AB4)*100</f>
        <v>23.429617122809855</v>
      </c>
      <c r="AC53" s="45">
        <f t="shared" ref="AC53:AF53" si="19">(AC52/AC4)*100</f>
        <v>23.229530609144767</v>
      </c>
      <c r="AD53" s="45">
        <f t="shared" si="19"/>
        <v>22.95006824617516</v>
      </c>
      <c r="AE53" s="45">
        <f t="shared" si="19"/>
        <v>23.385840580158657</v>
      </c>
      <c r="AF53" s="45">
        <f t="shared" si="19"/>
        <v>23.393966371932095</v>
      </c>
      <c r="AG53" s="45">
        <f>(AG52/AG4)*100</f>
        <v>23.549727213574254</v>
      </c>
      <c r="AH53" s="45">
        <f>(AH52/AH4)*100</f>
        <v>23.227347949980906</v>
      </c>
      <c r="AI53" s="135">
        <f>(AI52/AI4)*100</f>
        <v>23.370391259045416</v>
      </c>
    </row>
    <row r="54" spans="1:35">
      <c r="A54" s="42" t="s">
        <v>64</v>
      </c>
      <c r="B54" s="46"/>
      <c r="C54" s="46"/>
      <c r="D54" s="46"/>
      <c r="E54" s="46"/>
      <c r="F54" s="46"/>
      <c r="G54" s="46">
        <v>936</v>
      </c>
      <c r="H54" s="46"/>
      <c r="I54" s="46"/>
      <c r="J54" s="46">
        <v>768</v>
      </c>
      <c r="K54" s="46">
        <v>664</v>
      </c>
      <c r="L54" s="46">
        <v>742</v>
      </c>
      <c r="M54" s="46">
        <v>904</v>
      </c>
      <c r="N54" s="46">
        <v>905</v>
      </c>
      <c r="O54" s="46">
        <v>939</v>
      </c>
      <c r="P54" s="46">
        <v>871</v>
      </c>
      <c r="Q54" s="46">
        <v>864</v>
      </c>
      <c r="R54" s="46">
        <v>946</v>
      </c>
      <c r="S54" s="46">
        <v>891</v>
      </c>
      <c r="T54" s="46">
        <v>955</v>
      </c>
      <c r="U54" s="46">
        <v>976</v>
      </c>
      <c r="V54" s="46">
        <v>859</v>
      </c>
      <c r="W54" s="46">
        <v>840</v>
      </c>
      <c r="X54" s="46">
        <v>876</v>
      </c>
      <c r="Y54" s="46">
        <v>1046</v>
      </c>
      <c r="Z54" s="46">
        <v>994</v>
      </c>
      <c r="AA54">
        <v>1060</v>
      </c>
      <c r="AB54">
        <v>1076</v>
      </c>
      <c r="AC54">
        <v>1098</v>
      </c>
      <c r="AD54">
        <v>1152</v>
      </c>
      <c r="AE54" s="1">
        <v>1142</v>
      </c>
      <c r="AF54" s="1">
        <v>1336</v>
      </c>
      <c r="AG54" s="1">
        <v>1235</v>
      </c>
      <c r="AH54" s="1">
        <v>1225</v>
      </c>
      <c r="AI54" s="133">
        <v>1382</v>
      </c>
    </row>
    <row r="55" spans="1:35">
      <c r="A55" s="42" t="s">
        <v>65</v>
      </c>
      <c r="B55" s="46"/>
      <c r="C55" s="46"/>
      <c r="D55" s="46"/>
      <c r="E55" s="46"/>
      <c r="F55" s="46"/>
      <c r="G55" s="46">
        <v>162</v>
      </c>
      <c r="H55" s="46"/>
      <c r="I55" s="46"/>
      <c r="J55" s="46">
        <v>176</v>
      </c>
      <c r="K55" s="46">
        <v>166</v>
      </c>
      <c r="L55" s="46">
        <v>167</v>
      </c>
      <c r="M55" s="46">
        <v>175</v>
      </c>
      <c r="N55" s="46">
        <v>178</v>
      </c>
      <c r="O55" s="46">
        <v>188</v>
      </c>
      <c r="P55" s="46">
        <v>180</v>
      </c>
      <c r="Q55" s="46">
        <v>213</v>
      </c>
      <c r="R55" s="46">
        <v>170</v>
      </c>
      <c r="S55" s="46">
        <v>198</v>
      </c>
      <c r="T55" s="46">
        <v>213</v>
      </c>
      <c r="U55" s="46">
        <v>213</v>
      </c>
      <c r="V55" s="46">
        <v>200</v>
      </c>
      <c r="W55" s="46">
        <v>209</v>
      </c>
      <c r="X55" s="46">
        <v>258</v>
      </c>
      <c r="Y55" s="46">
        <v>280</v>
      </c>
      <c r="Z55" s="46">
        <v>296</v>
      </c>
      <c r="AA55">
        <v>317</v>
      </c>
      <c r="AB55">
        <v>403</v>
      </c>
      <c r="AC55">
        <v>413</v>
      </c>
      <c r="AD55">
        <v>413</v>
      </c>
      <c r="AE55" s="1">
        <v>409</v>
      </c>
      <c r="AF55" s="1">
        <v>507</v>
      </c>
      <c r="AG55" s="1">
        <v>528</v>
      </c>
      <c r="AH55" s="1">
        <v>511</v>
      </c>
      <c r="AI55" s="133">
        <v>478</v>
      </c>
    </row>
    <row r="56" spans="1:35">
      <c r="A56" s="42" t="s">
        <v>66</v>
      </c>
      <c r="B56" s="46"/>
      <c r="C56" s="46"/>
      <c r="D56" s="46"/>
      <c r="E56" s="46"/>
      <c r="F56" s="46"/>
      <c r="G56" s="46">
        <v>3494</v>
      </c>
      <c r="H56" s="46"/>
      <c r="I56" s="46"/>
      <c r="J56" s="46">
        <v>3315</v>
      </c>
      <c r="K56" s="46">
        <v>3446</v>
      </c>
      <c r="L56" s="46">
        <v>3431</v>
      </c>
      <c r="M56" s="46">
        <v>3315</v>
      </c>
      <c r="N56" s="46">
        <v>3358</v>
      </c>
      <c r="O56" s="46">
        <v>3441</v>
      </c>
      <c r="P56" s="46">
        <v>3580</v>
      </c>
      <c r="Q56" s="46">
        <v>3599</v>
      </c>
      <c r="R56" s="46">
        <v>3546</v>
      </c>
      <c r="S56" s="46">
        <v>3709</v>
      </c>
      <c r="T56" s="46">
        <v>3675</v>
      </c>
      <c r="U56" s="46">
        <v>3680</v>
      </c>
      <c r="V56" s="46">
        <v>3875</v>
      </c>
      <c r="W56" s="46">
        <v>3612</v>
      </c>
      <c r="X56" s="46">
        <v>3577</v>
      </c>
      <c r="Y56" s="46">
        <v>3619</v>
      </c>
      <c r="Z56" s="46">
        <v>3893</v>
      </c>
      <c r="AA56">
        <v>4283</v>
      </c>
      <c r="AB56">
        <v>4250</v>
      </c>
      <c r="AC56">
        <v>4082</v>
      </c>
      <c r="AD56">
        <v>4052</v>
      </c>
      <c r="AE56" s="1">
        <v>4148</v>
      </c>
      <c r="AF56" s="1">
        <v>4024</v>
      </c>
      <c r="AG56" s="1">
        <v>4102</v>
      </c>
      <c r="AH56" s="1">
        <v>4083</v>
      </c>
      <c r="AI56" s="133">
        <v>4294</v>
      </c>
    </row>
    <row r="57" spans="1:35">
      <c r="A57" s="42" t="s">
        <v>67</v>
      </c>
      <c r="B57" s="46"/>
      <c r="C57" s="46"/>
      <c r="D57" s="46"/>
      <c r="E57" s="46"/>
      <c r="F57" s="46"/>
      <c r="G57" s="46">
        <v>171</v>
      </c>
      <c r="H57" s="46"/>
      <c r="I57" s="46"/>
      <c r="J57" s="46">
        <v>181</v>
      </c>
      <c r="K57" s="46">
        <v>191</v>
      </c>
      <c r="L57" s="46">
        <v>177</v>
      </c>
      <c r="M57" s="46">
        <v>188</v>
      </c>
      <c r="N57" s="46">
        <v>183</v>
      </c>
      <c r="O57" s="46">
        <v>184</v>
      </c>
      <c r="P57" s="46">
        <v>188</v>
      </c>
      <c r="Q57" s="46">
        <v>176</v>
      </c>
      <c r="R57" s="46">
        <v>149</v>
      </c>
      <c r="S57" s="46">
        <v>131</v>
      </c>
      <c r="T57" s="46">
        <v>158</v>
      </c>
      <c r="U57" s="46">
        <v>189</v>
      </c>
      <c r="V57" s="46">
        <v>172</v>
      </c>
      <c r="W57" s="46">
        <v>191</v>
      </c>
      <c r="X57" s="46">
        <v>204</v>
      </c>
      <c r="Y57" s="46">
        <v>232</v>
      </c>
      <c r="Z57" s="46">
        <v>246</v>
      </c>
      <c r="AA57">
        <v>254</v>
      </c>
      <c r="AB57">
        <v>266</v>
      </c>
      <c r="AC57">
        <v>283</v>
      </c>
      <c r="AD57">
        <v>228</v>
      </c>
      <c r="AE57" s="1">
        <v>242</v>
      </c>
      <c r="AF57" s="1">
        <v>214</v>
      </c>
      <c r="AG57" s="1">
        <v>237</v>
      </c>
      <c r="AH57" s="1">
        <v>265</v>
      </c>
      <c r="AI57" s="133">
        <v>286</v>
      </c>
    </row>
    <row r="58" spans="1:35">
      <c r="A58" s="42" t="s">
        <v>68</v>
      </c>
      <c r="B58" s="46"/>
      <c r="C58" s="46"/>
      <c r="D58" s="46"/>
      <c r="E58" s="46"/>
      <c r="F58" s="46"/>
      <c r="G58" s="46">
        <v>1717</v>
      </c>
      <c r="H58" s="46"/>
      <c r="I58" s="46"/>
      <c r="J58" s="46">
        <v>1694</v>
      </c>
      <c r="K58" s="46">
        <v>1652</v>
      </c>
      <c r="L58" s="46">
        <v>1679</v>
      </c>
      <c r="M58" s="46">
        <v>1629</v>
      </c>
      <c r="N58" s="46">
        <v>1661</v>
      </c>
      <c r="O58" s="46">
        <v>1657</v>
      </c>
      <c r="P58" s="46">
        <v>1721</v>
      </c>
      <c r="Q58" s="46">
        <v>1462</v>
      </c>
      <c r="R58" s="46">
        <v>1490</v>
      </c>
      <c r="S58" s="46">
        <v>1575</v>
      </c>
      <c r="T58" s="46">
        <v>1723</v>
      </c>
      <c r="U58" s="46">
        <v>1581</v>
      </c>
      <c r="V58" s="46">
        <v>1653</v>
      </c>
      <c r="W58" s="46">
        <v>1669</v>
      </c>
      <c r="X58" s="46">
        <v>1625</v>
      </c>
      <c r="Y58" s="46">
        <v>1608</v>
      </c>
      <c r="Z58" s="46">
        <v>1580</v>
      </c>
      <c r="AA58">
        <v>1597</v>
      </c>
      <c r="AB58">
        <v>1157</v>
      </c>
      <c r="AC58">
        <v>1684</v>
      </c>
      <c r="AD58">
        <v>1387</v>
      </c>
      <c r="AE58" s="1">
        <v>1385</v>
      </c>
      <c r="AF58" s="1">
        <v>1493</v>
      </c>
      <c r="AG58" s="1">
        <v>1521</v>
      </c>
      <c r="AH58" s="1">
        <v>1590</v>
      </c>
      <c r="AI58" s="133">
        <v>1602</v>
      </c>
    </row>
    <row r="59" spans="1:35">
      <c r="A59" s="42" t="s">
        <v>69</v>
      </c>
      <c r="B59" s="46"/>
      <c r="C59" s="46"/>
      <c r="D59" s="46"/>
      <c r="E59" s="46"/>
      <c r="F59" s="46"/>
      <c r="G59" s="46">
        <v>5914</v>
      </c>
      <c r="H59" s="46"/>
      <c r="I59" s="46"/>
      <c r="J59" s="46">
        <v>7339</v>
      </c>
      <c r="K59" s="46">
        <v>7232</v>
      </c>
      <c r="L59" s="46">
        <v>6480</v>
      </c>
      <c r="M59" s="46">
        <v>7147</v>
      </c>
      <c r="N59" s="46">
        <v>7091</v>
      </c>
      <c r="O59" s="46">
        <v>7085</v>
      </c>
      <c r="P59" s="46">
        <v>6952</v>
      </c>
      <c r="Q59" s="46">
        <v>6695</v>
      </c>
      <c r="R59" s="46">
        <v>6867</v>
      </c>
      <c r="S59" s="46">
        <v>7131</v>
      </c>
      <c r="T59" s="46">
        <v>7640</v>
      </c>
      <c r="U59" s="46">
        <v>7362</v>
      </c>
      <c r="V59" s="46">
        <v>7267</v>
      </c>
      <c r="W59" s="46">
        <v>7660</v>
      </c>
      <c r="X59" s="46">
        <v>8061</v>
      </c>
      <c r="Y59" s="46">
        <v>8270</v>
      </c>
      <c r="Z59" s="46">
        <v>8312</v>
      </c>
      <c r="AA59">
        <v>8867</v>
      </c>
      <c r="AB59">
        <v>9139</v>
      </c>
      <c r="AC59">
        <v>8629</v>
      </c>
      <c r="AD59">
        <v>8459</v>
      </c>
      <c r="AE59" s="1">
        <v>8562</v>
      </c>
      <c r="AF59" s="1">
        <v>8332</v>
      </c>
      <c r="AG59" s="1">
        <v>8575</v>
      </c>
      <c r="AH59" s="1">
        <v>8606</v>
      </c>
      <c r="AI59" s="133">
        <v>8905</v>
      </c>
    </row>
    <row r="60" spans="1:35">
      <c r="A60" s="42" t="s">
        <v>70</v>
      </c>
      <c r="B60" s="46"/>
      <c r="C60" s="46"/>
      <c r="D60" s="46"/>
      <c r="E60" s="46"/>
      <c r="F60" s="46"/>
      <c r="G60" s="46">
        <v>3685</v>
      </c>
      <c r="H60" s="46"/>
      <c r="I60" s="46"/>
      <c r="J60" s="46">
        <v>3515</v>
      </c>
      <c r="K60" s="46">
        <v>3726</v>
      </c>
      <c r="L60" s="46">
        <v>3681</v>
      </c>
      <c r="M60" s="46">
        <v>3871</v>
      </c>
      <c r="N60" s="46">
        <v>3785</v>
      </c>
      <c r="O60" s="46">
        <v>3960</v>
      </c>
      <c r="P60" s="46">
        <v>3838</v>
      </c>
      <c r="Q60" s="46">
        <v>4114</v>
      </c>
      <c r="R60" s="46">
        <v>4133</v>
      </c>
      <c r="S60" s="46">
        <v>4313</v>
      </c>
      <c r="T60" s="46">
        <v>4444</v>
      </c>
      <c r="U60" s="46">
        <v>4453</v>
      </c>
      <c r="V60" s="46">
        <v>4543</v>
      </c>
      <c r="W60" s="46">
        <v>4698</v>
      </c>
      <c r="X60" s="46">
        <v>5106</v>
      </c>
      <c r="Y60" s="46">
        <v>5417</v>
      </c>
      <c r="Z60" s="46">
        <v>5711</v>
      </c>
      <c r="AA60">
        <v>5757</v>
      </c>
      <c r="AB60">
        <v>6209</v>
      </c>
      <c r="AC60">
        <v>6169</v>
      </c>
      <c r="AD60">
        <v>6204</v>
      </c>
      <c r="AE60" s="1">
        <v>6207</v>
      </c>
      <c r="AF60" s="1">
        <v>6641</v>
      </c>
      <c r="AG60" s="1">
        <v>6712</v>
      </c>
      <c r="AH60" s="1">
        <v>6829</v>
      </c>
      <c r="AI60" s="133">
        <v>6804</v>
      </c>
    </row>
    <row r="61" spans="1:35">
      <c r="A61" s="42" t="s">
        <v>71</v>
      </c>
      <c r="B61" s="46"/>
      <c r="C61" s="46"/>
      <c r="D61" s="46"/>
      <c r="E61" s="46"/>
      <c r="F61" s="46"/>
      <c r="G61" s="46">
        <v>78</v>
      </c>
      <c r="H61" s="46"/>
      <c r="I61" s="46"/>
      <c r="J61" s="46">
        <v>83</v>
      </c>
      <c r="K61" s="46">
        <v>81</v>
      </c>
      <c r="L61" s="46">
        <v>85</v>
      </c>
      <c r="M61" s="46">
        <v>75</v>
      </c>
      <c r="N61" s="46">
        <v>179</v>
      </c>
      <c r="O61" s="46">
        <v>243</v>
      </c>
      <c r="P61" s="46">
        <v>223</v>
      </c>
      <c r="Q61" s="46">
        <v>253</v>
      </c>
      <c r="R61" s="46">
        <v>233</v>
      </c>
      <c r="S61" s="46">
        <v>293</v>
      </c>
      <c r="T61" s="46">
        <v>272</v>
      </c>
      <c r="U61" s="46">
        <v>306</v>
      </c>
      <c r="V61" s="46">
        <v>306</v>
      </c>
      <c r="W61" s="46">
        <v>315</v>
      </c>
      <c r="X61" s="46">
        <v>327</v>
      </c>
      <c r="Y61" s="46">
        <v>332</v>
      </c>
      <c r="Z61" s="46">
        <v>323</v>
      </c>
      <c r="AA61">
        <v>352</v>
      </c>
      <c r="AB61">
        <v>365</v>
      </c>
      <c r="AC61">
        <v>336</v>
      </c>
      <c r="AD61">
        <v>349</v>
      </c>
      <c r="AE61" s="1">
        <v>332</v>
      </c>
      <c r="AF61" s="1">
        <v>331</v>
      </c>
      <c r="AG61" s="1">
        <v>343</v>
      </c>
      <c r="AH61" s="1">
        <v>353</v>
      </c>
      <c r="AI61" s="133">
        <v>388</v>
      </c>
    </row>
    <row r="62" spans="1:35">
      <c r="A62" s="47" t="s">
        <v>72</v>
      </c>
      <c r="B62" s="48"/>
      <c r="C62" s="48"/>
      <c r="D62" s="48"/>
      <c r="E62" s="48"/>
      <c r="F62" s="48"/>
      <c r="G62" s="48">
        <v>77</v>
      </c>
      <c r="H62" s="48"/>
      <c r="I62" s="48"/>
      <c r="J62" s="48">
        <v>8</v>
      </c>
      <c r="K62" s="48">
        <v>94</v>
      </c>
      <c r="L62" s="48">
        <v>93</v>
      </c>
      <c r="M62" s="48">
        <v>87</v>
      </c>
      <c r="N62" s="48">
        <v>92</v>
      </c>
      <c r="O62" s="48">
        <v>89</v>
      </c>
      <c r="P62" s="48">
        <v>235</v>
      </c>
      <c r="Q62" s="48">
        <v>231</v>
      </c>
      <c r="R62" s="48">
        <v>242</v>
      </c>
      <c r="S62" s="48">
        <v>245</v>
      </c>
      <c r="T62" s="48">
        <v>249</v>
      </c>
      <c r="U62" s="48">
        <v>254</v>
      </c>
      <c r="V62" s="48">
        <v>268</v>
      </c>
      <c r="W62" s="48">
        <v>232</v>
      </c>
      <c r="X62" s="48">
        <v>292</v>
      </c>
      <c r="Y62" s="48">
        <v>279</v>
      </c>
      <c r="Z62" s="48">
        <v>297</v>
      </c>
      <c r="AA62" s="93">
        <v>324</v>
      </c>
      <c r="AB62">
        <v>309</v>
      </c>
      <c r="AC62">
        <v>244</v>
      </c>
      <c r="AD62">
        <v>287</v>
      </c>
      <c r="AE62" s="1">
        <v>243</v>
      </c>
      <c r="AF62" s="1">
        <v>246</v>
      </c>
      <c r="AG62" s="1">
        <v>272</v>
      </c>
      <c r="AH62" s="1">
        <v>258</v>
      </c>
      <c r="AI62" s="133">
        <v>309</v>
      </c>
    </row>
    <row r="63" spans="1:35">
      <c r="A63" s="49" t="s">
        <v>73</v>
      </c>
      <c r="B63" s="50"/>
      <c r="C63" s="50"/>
      <c r="D63" s="50"/>
      <c r="E63" s="50"/>
      <c r="F63" s="50"/>
      <c r="G63" s="50">
        <v>2590</v>
      </c>
      <c r="H63" s="50"/>
      <c r="I63" s="50"/>
      <c r="J63" s="50">
        <v>2144</v>
      </c>
      <c r="K63" s="50">
        <v>2185</v>
      </c>
      <c r="L63" s="50">
        <v>2289</v>
      </c>
      <c r="M63" s="50">
        <v>2344</v>
      </c>
      <c r="N63" s="50">
        <v>2333</v>
      </c>
      <c r="O63" s="50">
        <v>2465</v>
      </c>
      <c r="P63" s="50">
        <v>2511</v>
      </c>
      <c r="Q63" s="50">
        <v>2300</v>
      </c>
      <c r="R63" s="50">
        <v>2329</v>
      </c>
      <c r="S63" s="50">
        <v>2412</v>
      </c>
      <c r="T63" s="50">
        <v>2668</v>
      </c>
      <c r="U63" s="50">
        <v>2425</v>
      </c>
      <c r="V63" s="50">
        <v>2544</v>
      </c>
      <c r="W63" s="50">
        <v>2517</v>
      </c>
      <c r="X63" s="50">
        <v>2450</v>
      </c>
      <c r="Y63" s="50">
        <v>2575</v>
      </c>
      <c r="Z63" s="50">
        <v>2546</v>
      </c>
      <c r="AA63" s="93">
        <v>2559</v>
      </c>
      <c r="AB63" s="100">
        <v>2572</v>
      </c>
      <c r="AC63" s="100">
        <v>2389</v>
      </c>
      <c r="AD63" s="100">
        <v>2235</v>
      </c>
      <c r="AE63" s="95">
        <v>2319</v>
      </c>
      <c r="AF63" s="95">
        <v>2274</v>
      </c>
      <c r="AG63" s="95">
        <v>2300</v>
      </c>
      <c r="AH63" s="95">
        <v>2297</v>
      </c>
      <c r="AI63" s="138">
        <v>2258</v>
      </c>
    </row>
    <row r="64" spans="1:35">
      <c r="L64" s="8"/>
      <c r="M64" s="8"/>
      <c r="N64" s="8"/>
      <c r="O64" s="8"/>
      <c r="P64" s="8"/>
    </row>
    <row r="65" spans="2:35" s="1" customFormat="1">
      <c r="B65" s="1" t="s">
        <v>210</v>
      </c>
      <c r="C65" s="1" t="s">
        <v>210</v>
      </c>
      <c r="D65" s="1" t="s">
        <v>210</v>
      </c>
      <c r="E65" s="1" t="s">
        <v>210</v>
      </c>
      <c r="F65" s="1" t="s">
        <v>210</v>
      </c>
      <c r="G65" s="1" t="s">
        <v>209</v>
      </c>
      <c r="H65" s="1" t="s">
        <v>210</v>
      </c>
      <c r="I65" s="1" t="s">
        <v>210</v>
      </c>
      <c r="J65" s="1" t="s">
        <v>209</v>
      </c>
      <c r="K65" s="1" t="s">
        <v>209</v>
      </c>
      <c r="L65" s="1" t="s">
        <v>209</v>
      </c>
      <c r="M65" s="1" t="s">
        <v>209</v>
      </c>
      <c r="N65" s="1" t="s">
        <v>209</v>
      </c>
      <c r="O65" s="1" t="s">
        <v>209</v>
      </c>
      <c r="P65" s="1" t="s">
        <v>209</v>
      </c>
      <c r="Q65" s="1" t="s">
        <v>209</v>
      </c>
      <c r="R65" s="1" t="s">
        <v>134</v>
      </c>
      <c r="W65" s="5" t="s">
        <v>134</v>
      </c>
      <c r="X65" s="5" t="s">
        <v>134</v>
      </c>
      <c r="Y65" s="5"/>
      <c r="AA65" s="5" t="s">
        <v>134</v>
      </c>
      <c r="AB65" s="5"/>
      <c r="AC65" s="5"/>
      <c r="AD65" s="5"/>
      <c r="AI65" s="133"/>
    </row>
    <row r="66" spans="2:35" s="1" customFormat="1">
      <c r="B66" s="1" t="s">
        <v>243</v>
      </c>
      <c r="C66" s="1" t="s">
        <v>243</v>
      </c>
      <c r="D66" s="1" t="s">
        <v>243</v>
      </c>
      <c r="E66" s="1" t="s">
        <v>243</v>
      </c>
      <c r="F66" s="1" t="s">
        <v>243</v>
      </c>
      <c r="G66" s="1" t="s">
        <v>210</v>
      </c>
      <c r="H66" s="1" t="s">
        <v>243</v>
      </c>
      <c r="I66" s="1" t="s">
        <v>243</v>
      </c>
      <c r="J66" s="1" t="s">
        <v>210</v>
      </c>
      <c r="K66" s="1" t="s">
        <v>210</v>
      </c>
      <c r="L66" s="1" t="s">
        <v>210</v>
      </c>
      <c r="M66" s="1" t="s">
        <v>210</v>
      </c>
      <c r="N66" s="1" t="s">
        <v>210</v>
      </c>
      <c r="O66" s="1" t="s">
        <v>210</v>
      </c>
      <c r="P66" s="1" t="s">
        <v>210</v>
      </c>
      <c r="Q66" s="1" t="s">
        <v>210</v>
      </c>
      <c r="R66" s="1" t="s">
        <v>141</v>
      </c>
      <c r="W66" s="5" t="s">
        <v>141</v>
      </c>
      <c r="X66" s="1" t="s">
        <v>141</v>
      </c>
      <c r="AA66" s="1" t="s">
        <v>141</v>
      </c>
      <c r="AH66" s="5" t="s">
        <v>134</v>
      </c>
      <c r="AI66" s="133"/>
    </row>
    <row r="67" spans="2:35" s="1" customFormat="1">
      <c r="B67" s="1" t="s">
        <v>244</v>
      </c>
      <c r="C67" s="1" t="s">
        <v>244</v>
      </c>
      <c r="D67" s="1" t="s">
        <v>244</v>
      </c>
      <c r="E67" s="1" t="s">
        <v>244</v>
      </c>
      <c r="F67" s="1" t="s">
        <v>244</v>
      </c>
      <c r="G67" s="1" t="s">
        <v>211</v>
      </c>
      <c r="H67" s="1" t="s">
        <v>244</v>
      </c>
      <c r="I67" s="1" t="s">
        <v>244</v>
      </c>
      <c r="J67" s="1" t="s">
        <v>211</v>
      </c>
      <c r="K67" s="1" t="s">
        <v>211</v>
      </c>
      <c r="L67" s="1" t="s">
        <v>211</v>
      </c>
      <c r="M67" s="1" t="s">
        <v>211</v>
      </c>
      <c r="N67" s="1" t="s">
        <v>211</v>
      </c>
      <c r="O67" s="1" t="s">
        <v>211</v>
      </c>
      <c r="P67" s="1" t="s">
        <v>211</v>
      </c>
      <c r="Q67" s="1" t="s">
        <v>211</v>
      </c>
      <c r="R67" s="1" t="s">
        <v>147</v>
      </c>
      <c r="W67" s="5" t="s">
        <v>147</v>
      </c>
      <c r="X67" s="1" t="s">
        <v>147</v>
      </c>
      <c r="AA67" s="1" t="s">
        <v>147</v>
      </c>
      <c r="AH67" s="1" t="s">
        <v>141</v>
      </c>
      <c r="AI67" s="133"/>
    </row>
    <row r="68" spans="2:35" s="1" customFormat="1">
      <c r="B68" s="1" t="s">
        <v>245</v>
      </c>
      <c r="C68" s="1" t="s">
        <v>245</v>
      </c>
      <c r="D68" s="1" t="s">
        <v>245</v>
      </c>
      <c r="E68" s="1" t="s">
        <v>245</v>
      </c>
      <c r="F68" s="1" t="s">
        <v>245</v>
      </c>
      <c r="G68" s="1" t="s">
        <v>212</v>
      </c>
      <c r="H68" s="1" t="s">
        <v>245</v>
      </c>
      <c r="I68" s="1" t="s">
        <v>245</v>
      </c>
      <c r="J68" s="1" t="s">
        <v>212</v>
      </c>
      <c r="K68" s="1" t="s">
        <v>212</v>
      </c>
      <c r="L68" s="1" t="s">
        <v>212</v>
      </c>
      <c r="M68" s="1" t="s">
        <v>212</v>
      </c>
      <c r="N68" s="1" t="s">
        <v>212</v>
      </c>
      <c r="O68" s="1" t="s">
        <v>212</v>
      </c>
      <c r="P68" s="1" t="s">
        <v>212</v>
      </c>
      <c r="Q68" s="1" t="s">
        <v>212</v>
      </c>
      <c r="R68" s="1" t="s">
        <v>153</v>
      </c>
      <c r="W68" s="5" t="s">
        <v>153</v>
      </c>
      <c r="X68" s="1" t="s">
        <v>152</v>
      </c>
      <c r="AA68" s="1" t="s">
        <v>152</v>
      </c>
      <c r="AH68" s="1" t="s">
        <v>147</v>
      </c>
      <c r="AI68" s="133"/>
    </row>
    <row r="69" spans="2:35" s="1" customFormat="1">
      <c r="B69" s="1" t="s">
        <v>246</v>
      </c>
      <c r="C69" s="1" t="s">
        <v>246</v>
      </c>
      <c r="D69" s="1" t="s">
        <v>246</v>
      </c>
      <c r="E69" s="1" t="s">
        <v>246</v>
      </c>
      <c r="F69" s="1" t="s">
        <v>246</v>
      </c>
      <c r="G69" s="1" t="s">
        <v>213</v>
      </c>
      <c r="H69" s="1" t="s">
        <v>246</v>
      </c>
      <c r="I69" s="1" t="s">
        <v>246</v>
      </c>
      <c r="J69" s="1" t="s">
        <v>213</v>
      </c>
      <c r="K69" s="1" t="s">
        <v>213</v>
      </c>
      <c r="L69" s="1" t="s">
        <v>213</v>
      </c>
      <c r="M69" s="1" t="s">
        <v>213</v>
      </c>
      <c r="N69" s="1" t="s">
        <v>213</v>
      </c>
      <c r="O69" s="1" t="s">
        <v>213</v>
      </c>
      <c r="P69" s="1" t="s">
        <v>213</v>
      </c>
      <c r="Q69" s="1" t="s">
        <v>213</v>
      </c>
      <c r="R69" s="1" t="s">
        <v>156</v>
      </c>
      <c r="W69" s="5" t="s">
        <v>156</v>
      </c>
      <c r="X69" s="1" t="s">
        <v>156</v>
      </c>
      <c r="AA69" s="1" t="s">
        <v>156</v>
      </c>
      <c r="AH69" s="1" t="s">
        <v>152</v>
      </c>
      <c r="AI69" s="133"/>
    </row>
    <row r="70" spans="2:35" s="1" customFormat="1">
      <c r="B70" s="1" t="s">
        <v>247</v>
      </c>
      <c r="C70" s="1" t="s">
        <v>248</v>
      </c>
      <c r="D70" s="1" t="s">
        <v>249</v>
      </c>
      <c r="E70" s="1" t="s">
        <v>250</v>
      </c>
      <c r="F70" s="1" t="s">
        <v>251</v>
      </c>
      <c r="G70" s="1" t="s">
        <v>214</v>
      </c>
      <c r="H70" s="1" t="s">
        <v>252</v>
      </c>
      <c r="I70" s="1" t="s">
        <v>253</v>
      </c>
      <c r="J70" s="1" t="s">
        <v>214</v>
      </c>
      <c r="K70" s="1" t="s">
        <v>214</v>
      </c>
      <c r="L70" s="1" t="s">
        <v>214</v>
      </c>
      <c r="M70" s="1" t="s">
        <v>214</v>
      </c>
      <c r="N70" s="1" t="s">
        <v>214</v>
      </c>
      <c r="O70" s="1" t="s">
        <v>214</v>
      </c>
      <c r="P70" s="1" t="s">
        <v>214</v>
      </c>
      <c r="Q70" s="1" t="s">
        <v>214</v>
      </c>
      <c r="R70" s="1" t="s">
        <v>159</v>
      </c>
      <c r="W70" s="5" t="s">
        <v>159</v>
      </c>
      <c r="X70" s="1" t="s">
        <v>159</v>
      </c>
      <c r="AA70" s="1" t="s">
        <v>159</v>
      </c>
      <c r="AH70" s="1" t="s">
        <v>156</v>
      </c>
      <c r="AI70" s="133"/>
    </row>
    <row r="71" spans="2:35" s="1" customFormat="1">
      <c r="G71" s="1" t="s">
        <v>215</v>
      </c>
      <c r="I71" s="1" t="s">
        <v>254</v>
      </c>
      <c r="J71" s="1" t="s">
        <v>215</v>
      </c>
      <c r="K71" s="1" t="s">
        <v>215</v>
      </c>
      <c r="L71" s="1" t="s">
        <v>215</v>
      </c>
      <c r="M71" s="1" t="s">
        <v>215</v>
      </c>
      <c r="N71" s="1" t="s">
        <v>215</v>
      </c>
      <c r="O71" s="1" t="s">
        <v>215</v>
      </c>
      <c r="P71" s="1" t="s">
        <v>215</v>
      </c>
      <c r="Q71" s="1" t="s">
        <v>215</v>
      </c>
      <c r="R71" s="1" t="s">
        <v>163</v>
      </c>
      <c r="W71" s="5" t="s">
        <v>163</v>
      </c>
      <c r="X71" s="1" t="s">
        <v>164</v>
      </c>
      <c r="AA71" s="1" t="s">
        <v>164</v>
      </c>
      <c r="AH71" s="1" t="s">
        <v>159</v>
      </c>
      <c r="AI71" s="133"/>
    </row>
    <row r="72" spans="2:35" s="1" customFormat="1">
      <c r="B72" s="1" t="s">
        <v>255</v>
      </c>
      <c r="G72" s="1" t="s">
        <v>99</v>
      </c>
      <c r="J72" s="1" t="s">
        <v>104</v>
      </c>
      <c r="K72" s="1" t="s">
        <v>105</v>
      </c>
      <c r="L72" s="1" t="s">
        <v>106</v>
      </c>
      <c r="M72" s="1" t="s">
        <v>107</v>
      </c>
      <c r="N72" s="1" t="s">
        <v>108</v>
      </c>
      <c r="O72" s="1" t="s">
        <v>109</v>
      </c>
      <c r="P72" s="1" t="s">
        <v>110</v>
      </c>
      <c r="Q72" s="1" t="s">
        <v>112</v>
      </c>
      <c r="R72" s="1" t="s">
        <v>168</v>
      </c>
      <c r="W72" s="7" t="s">
        <v>168</v>
      </c>
      <c r="X72" s="1" t="s">
        <v>169</v>
      </c>
      <c r="AA72" s="1" t="s">
        <v>169</v>
      </c>
      <c r="AH72" s="1" t="s">
        <v>164</v>
      </c>
      <c r="AI72" s="133"/>
    </row>
    <row r="73" spans="2:35" s="1" customFormat="1">
      <c r="B73" s="1" t="s">
        <v>256</v>
      </c>
      <c r="R73" s="1" t="s">
        <v>171</v>
      </c>
      <c r="W73" s="7" t="s">
        <v>171</v>
      </c>
      <c r="X73" s="1" t="s">
        <v>172</v>
      </c>
      <c r="AA73" s="1" t="s">
        <v>172</v>
      </c>
      <c r="AH73" s="1" t="s">
        <v>169</v>
      </c>
      <c r="AI73" s="133"/>
    </row>
    <row r="74" spans="2:35" s="1" customFormat="1">
      <c r="B74" s="1" t="s">
        <v>257</v>
      </c>
      <c r="R74" s="1" t="s">
        <v>174</v>
      </c>
      <c r="W74" s="7" t="s">
        <v>174</v>
      </c>
      <c r="X74" s="1" t="s">
        <v>175</v>
      </c>
      <c r="AA74" s="1" t="s">
        <v>234</v>
      </c>
      <c r="AH74" s="1" t="s">
        <v>172</v>
      </c>
      <c r="AI74" s="133"/>
    </row>
    <row r="75" spans="2:35" s="1" customFormat="1">
      <c r="B75" s="1" t="s">
        <v>258</v>
      </c>
      <c r="R75" s="1" t="s">
        <v>180</v>
      </c>
      <c r="W75" s="7" t="s">
        <v>180</v>
      </c>
      <c r="X75" s="1" t="s">
        <v>180</v>
      </c>
      <c r="AA75" s="1" t="s">
        <v>180</v>
      </c>
      <c r="AH75" s="1" t="s">
        <v>176</v>
      </c>
      <c r="AI75" s="133"/>
    </row>
    <row r="76" spans="2:35" s="1" customFormat="1">
      <c r="B76" s="1" t="s">
        <v>259</v>
      </c>
      <c r="AH76" s="1" t="s">
        <v>180</v>
      </c>
      <c r="AI76" s="133"/>
    </row>
    <row r="77" spans="2:35" s="1" customFormat="1">
      <c r="B77" s="1" t="s">
        <v>260</v>
      </c>
      <c r="W77" s="1" t="s">
        <v>185</v>
      </c>
      <c r="X77" s="1" t="s">
        <v>185</v>
      </c>
      <c r="AI77" s="133"/>
    </row>
    <row r="78" spans="2:35" s="1" customFormat="1">
      <c r="B78" s="1" t="s">
        <v>261</v>
      </c>
      <c r="W78" s="1" t="s">
        <v>187</v>
      </c>
      <c r="X78" s="1" t="s">
        <v>187</v>
      </c>
      <c r="AI78" s="133"/>
    </row>
    <row r="79" spans="2:35" s="1" customFormat="1">
      <c r="B79" s="1" t="s">
        <v>256</v>
      </c>
      <c r="W79" s="1" t="s">
        <v>188</v>
      </c>
      <c r="X79" s="1" t="s">
        <v>188</v>
      </c>
      <c r="AI79" s="133"/>
    </row>
    <row r="80" spans="2:35" s="1" customFormat="1">
      <c r="B80" s="1" t="s">
        <v>262</v>
      </c>
      <c r="W80" s="1" t="s">
        <v>189</v>
      </c>
      <c r="X80" s="1" t="s">
        <v>189</v>
      </c>
      <c r="AI80" s="133"/>
    </row>
    <row r="81" spans="2:35" s="1" customFormat="1">
      <c r="B81" s="1" t="s">
        <v>263</v>
      </c>
      <c r="W81" s="1" t="s">
        <v>190</v>
      </c>
      <c r="X81" s="1" t="s">
        <v>190</v>
      </c>
      <c r="AI81" s="133"/>
    </row>
    <row r="82" spans="2:35" s="1" customFormat="1">
      <c r="B82" s="1" t="s">
        <v>264</v>
      </c>
      <c r="W82" s="1" t="s">
        <v>191</v>
      </c>
      <c r="X82" s="1" t="s">
        <v>191</v>
      </c>
      <c r="AI82" s="133"/>
    </row>
    <row r="83" spans="2:35" s="1" customFormat="1">
      <c r="B83" s="1" t="s">
        <v>265</v>
      </c>
      <c r="W83" s="1" t="s">
        <v>192</v>
      </c>
      <c r="X83" s="1" t="s">
        <v>192</v>
      </c>
      <c r="AI83" s="133"/>
    </row>
    <row r="84" spans="2:35" s="1" customFormat="1">
      <c r="B84" s="1" t="s">
        <v>266</v>
      </c>
      <c r="W84" s="1" t="s">
        <v>193</v>
      </c>
      <c r="X84" s="1" t="s">
        <v>193</v>
      </c>
      <c r="AI84" s="133"/>
    </row>
    <row r="85" spans="2:35" s="1" customFormat="1">
      <c r="B85" s="1" t="s">
        <v>267</v>
      </c>
      <c r="W85" s="1" t="s">
        <v>194</v>
      </c>
      <c r="X85" s="1" t="s">
        <v>194</v>
      </c>
      <c r="AI85" s="133"/>
    </row>
    <row r="86" spans="2:35" s="1" customFormat="1">
      <c r="B86" s="1" t="s">
        <v>268</v>
      </c>
      <c r="W86" s="1" t="s">
        <v>195</v>
      </c>
      <c r="X86" s="1" t="s">
        <v>195</v>
      </c>
      <c r="AI86" s="133"/>
    </row>
    <row r="87" spans="2:35" s="1" customFormat="1">
      <c r="W87" s="1" t="s">
        <v>196</v>
      </c>
      <c r="X87" s="1" t="s">
        <v>196</v>
      </c>
      <c r="AI87" s="133"/>
    </row>
    <row r="88" spans="2:35" s="1" customFormat="1">
      <c r="W88" s="1" t="s">
        <v>197</v>
      </c>
      <c r="X88" s="1" t="s">
        <v>197</v>
      </c>
      <c r="AI88" s="133"/>
    </row>
    <row r="89" spans="2:35" s="1" customFormat="1">
      <c r="W89" s="1" t="s">
        <v>198</v>
      </c>
      <c r="X89" s="1" t="s">
        <v>198</v>
      </c>
      <c r="AI89" s="133"/>
    </row>
    <row r="90" spans="2:35" s="1" customFormat="1">
      <c r="W90" s="1" t="s">
        <v>199</v>
      </c>
      <c r="X90" s="1" t="s">
        <v>199</v>
      </c>
      <c r="AI90" s="133"/>
    </row>
    <row r="91" spans="2:35" s="1" customFormat="1">
      <c r="W91" s="52" t="s">
        <v>200</v>
      </c>
      <c r="X91" s="52" t="s">
        <v>200</v>
      </c>
      <c r="Y91" s="52"/>
      <c r="AI91" s="133"/>
    </row>
    <row r="92" spans="2:35" s="1" customFormat="1">
      <c r="AI92" s="133"/>
    </row>
    <row r="93" spans="2:35" s="1" customFormat="1">
      <c r="W93" s="1" t="s">
        <v>201</v>
      </c>
      <c r="AI93" s="133"/>
    </row>
    <row r="94" spans="2:35" s="1" customFormat="1">
      <c r="W94" s="1" t="s">
        <v>202</v>
      </c>
      <c r="X94" s="52"/>
      <c r="Y94" s="52"/>
      <c r="AI94" s="133"/>
    </row>
    <row r="95" spans="2:35" s="1" customFormat="1">
      <c r="W95" s="1" t="s">
        <v>203</v>
      </c>
      <c r="AI95" s="133"/>
    </row>
    <row r="96" spans="2:35" s="1" customFormat="1">
      <c r="W96" s="1" t="s">
        <v>204</v>
      </c>
      <c r="AI96" s="133"/>
    </row>
    <row r="97" spans="23:25">
      <c r="W97" s="1" t="s">
        <v>205</v>
      </c>
      <c r="X97" s="1"/>
      <c r="Y97" s="1"/>
    </row>
    <row r="98" spans="23:25">
      <c r="W98" s="1" t="s">
        <v>206</v>
      </c>
      <c r="X98" s="1"/>
      <c r="Y98" s="1"/>
    </row>
    <row r="99" spans="23:25">
      <c r="W99" s="1"/>
      <c r="X99" s="1"/>
      <c r="Y99" s="1"/>
    </row>
    <row r="100" spans="23:25">
      <c r="W100" s="1"/>
      <c r="X100" s="1"/>
      <c r="Y100" s="1"/>
    </row>
    <row r="101" spans="23:25">
      <c r="W101" s="1"/>
    </row>
    <row r="102" spans="23:25">
      <c r="W102" s="1"/>
    </row>
    <row r="103" spans="23:25">
      <c r="W103" s="1"/>
    </row>
  </sheetData>
  <phoneticPr fontId="0" type="noConversion"/>
  <hyperlinks>
    <hyperlink ref="X75" r:id="rId1" display="www.nces.ed.gov" xr:uid="{00000000-0004-0000-0400-000000000000}"/>
    <hyperlink ref="AA75" r:id="rId2" display="www.nces.ed.gov" xr:uid="{00000000-0004-0000-0400-000001000000}"/>
    <hyperlink ref="AH76" r:id="rId3" display="www.nces.ed.gov" xr:uid="{ADB49CCC-DABC-4EF6-A938-5A368EE75769}"/>
  </hyperlinks>
  <pageMargins left="0.75" right="0.75" top="1" bottom="1" header="0.5" footer="0.5"/>
  <headerFooter alignWithMargins="0"/>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CG121"/>
  <sheetViews>
    <sheetView zoomScaleNormal="100" workbookViewId="0">
      <pane xSplit="1" ySplit="3" topLeftCell="AA4" activePane="bottomRight" state="frozen"/>
      <selection pane="bottomRight" activeCell="CG41" sqref="CG41"/>
      <selection pane="bottomLeft" activeCell="E1" sqref="E1"/>
      <selection pane="topRight" activeCell="E1" sqref="E1"/>
    </sheetView>
  </sheetViews>
  <sheetFormatPr defaultColWidth="9.140625" defaultRowHeight="12.6"/>
  <cols>
    <col min="1" max="1" width="21.140625" style="1" customWidth="1"/>
    <col min="2" max="30" width="7.85546875" style="1" customWidth="1"/>
    <col min="31" max="35" width="9.140625" style="1"/>
    <col min="36" max="75" width="7.85546875" style="1" customWidth="1"/>
    <col min="76" max="16384" width="9.140625" style="1"/>
  </cols>
  <sheetData>
    <row r="1" spans="1:85" ht="12.75">
      <c r="A1" s="11" t="s">
        <v>241</v>
      </c>
      <c r="B1" s="53"/>
      <c r="AJ1" s="53"/>
      <c r="AV1" s="53"/>
      <c r="BG1" s="53"/>
    </row>
    <row r="2" spans="1:85" ht="12.75">
      <c r="B2" s="61" t="s">
        <v>269</v>
      </c>
      <c r="C2" s="2"/>
      <c r="D2" s="2"/>
      <c r="E2" s="2"/>
      <c r="F2" s="2"/>
      <c r="G2" s="2"/>
      <c r="H2" s="2"/>
      <c r="I2" s="2"/>
      <c r="J2" s="2"/>
      <c r="K2" s="2"/>
      <c r="L2" s="2"/>
      <c r="M2" s="2"/>
      <c r="N2" s="2"/>
      <c r="O2" s="2"/>
      <c r="P2" s="2"/>
      <c r="Q2" s="2"/>
      <c r="R2" s="2"/>
      <c r="S2" s="2"/>
      <c r="T2" s="2"/>
      <c r="U2" s="2"/>
      <c r="V2" s="2"/>
      <c r="W2" s="2"/>
      <c r="X2" s="2"/>
      <c r="Y2" s="2"/>
      <c r="Z2" s="2"/>
      <c r="AA2" s="2"/>
      <c r="AB2" s="2"/>
      <c r="AC2" s="2"/>
      <c r="AD2" s="2"/>
      <c r="AJ2" s="61" t="s">
        <v>270</v>
      </c>
      <c r="AK2" s="2"/>
      <c r="AL2" s="2"/>
      <c r="AM2" s="2"/>
      <c r="AN2" s="2"/>
      <c r="AO2" s="2"/>
      <c r="AP2" s="2"/>
      <c r="AQ2" s="2"/>
      <c r="AR2" s="2"/>
      <c r="AS2" s="2"/>
      <c r="AT2" s="2"/>
      <c r="AU2" s="2"/>
      <c r="AV2" s="61" t="s">
        <v>271</v>
      </c>
      <c r="AW2" s="2"/>
      <c r="AX2" s="2"/>
      <c r="AY2" s="2"/>
      <c r="AZ2" s="2"/>
      <c r="BA2" s="2"/>
      <c r="BB2" s="2"/>
      <c r="BC2" s="2"/>
      <c r="BG2" s="61" t="s">
        <v>272</v>
      </c>
      <c r="BH2" s="2"/>
      <c r="BI2" s="2"/>
      <c r="BJ2" s="2"/>
      <c r="BK2" s="2"/>
      <c r="BL2" s="2"/>
      <c r="BV2" s="2"/>
      <c r="BW2" s="2"/>
    </row>
    <row r="3" spans="1:85" s="11" customFormat="1" ht="12.75">
      <c r="B3" s="139" t="s">
        <v>89</v>
      </c>
      <c r="C3" s="140" t="s">
        <v>91</v>
      </c>
      <c r="D3" s="140" t="s">
        <v>93</v>
      </c>
      <c r="E3" s="140" t="s">
        <v>95</v>
      </c>
      <c r="F3" s="140" t="s">
        <v>97</v>
      </c>
      <c r="G3" s="140" t="s">
        <v>99</v>
      </c>
      <c r="H3" s="140" t="s">
        <v>101</v>
      </c>
      <c r="I3" s="140" t="s">
        <v>102</v>
      </c>
      <c r="J3" s="140" t="s">
        <v>104</v>
      </c>
      <c r="K3" s="140" t="s">
        <v>105</v>
      </c>
      <c r="L3" s="140" t="s">
        <v>106</v>
      </c>
      <c r="M3" s="140" t="s">
        <v>107</v>
      </c>
      <c r="N3" s="140" t="s">
        <v>108</v>
      </c>
      <c r="O3" s="140" t="s">
        <v>109</v>
      </c>
      <c r="P3" s="140" t="s">
        <v>110</v>
      </c>
      <c r="Q3" s="140" t="s">
        <v>112</v>
      </c>
      <c r="R3" s="140" t="s">
        <v>115</v>
      </c>
      <c r="S3" s="114" t="s">
        <v>116</v>
      </c>
      <c r="T3" s="114" t="s">
        <v>117</v>
      </c>
      <c r="U3" s="114" t="s">
        <v>118</v>
      </c>
      <c r="V3" s="114" t="s">
        <v>119</v>
      </c>
      <c r="W3" s="114" t="s">
        <v>120</v>
      </c>
      <c r="X3" s="114" t="s">
        <v>121</v>
      </c>
      <c r="Y3" s="114" t="s">
        <v>122</v>
      </c>
      <c r="Z3" s="114" t="s">
        <v>123</v>
      </c>
      <c r="AA3" s="114" t="s">
        <v>124</v>
      </c>
      <c r="AB3" s="114" t="s">
        <v>125</v>
      </c>
      <c r="AC3" s="114" t="s">
        <v>126</v>
      </c>
      <c r="AD3" s="114" t="s">
        <v>14</v>
      </c>
      <c r="AE3" s="114" t="s">
        <v>127</v>
      </c>
      <c r="AF3" s="114" t="s">
        <v>128</v>
      </c>
      <c r="AG3" s="114" t="s">
        <v>129</v>
      </c>
      <c r="AH3" s="114" t="s">
        <v>130</v>
      </c>
      <c r="AI3" s="115" t="s">
        <v>13</v>
      </c>
      <c r="AJ3" s="118" t="s">
        <v>97</v>
      </c>
      <c r="AK3" s="114" t="s">
        <v>99</v>
      </c>
      <c r="AL3" s="114" t="s">
        <v>101</v>
      </c>
      <c r="AM3" s="114" t="s">
        <v>102</v>
      </c>
      <c r="AN3" s="114" t="s">
        <v>104</v>
      </c>
      <c r="AO3" s="114" t="s">
        <v>105</v>
      </c>
      <c r="AP3" s="114" t="s">
        <v>106</v>
      </c>
      <c r="AQ3" s="114" t="s">
        <v>107</v>
      </c>
      <c r="AR3" s="114" t="s">
        <v>108</v>
      </c>
      <c r="AS3" s="114" t="s">
        <v>109</v>
      </c>
      <c r="AT3" s="114" t="s">
        <v>110</v>
      </c>
      <c r="AU3" s="114" t="s">
        <v>112</v>
      </c>
      <c r="AV3" s="118" t="s">
        <v>99</v>
      </c>
      <c r="AW3" s="114" t="s">
        <v>101</v>
      </c>
      <c r="AX3" s="114" t="s">
        <v>102</v>
      </c>
      <c r="AY3" s="114" t="s">
        <v>104</v>
      </c>
      <c r="AZ3" s="114" t="s">
        <v>105</v>
      </c>
      <c r="BA3" s="114" t="s">
        <v>106</v>
      </c>
      <c r="BB3" s="114" t="s">
        <v>107</v>
      </c>
      <c r="BC3" s="114" t="s">
        <v>108</v>
      </c>
      <c r="BD3" s="114" t="s">
        <v>109</v>
      </c>
      <c r="BE3" s="114" t="s">
        <v>110</v>
      </c>
      <c r="BF3" s="114" t="s">
        <v>112</v>
      </c>
      <c r="BG3" s="118" t="s">
        <v>99</v>
      </c>
      <c r="BH3" s="114" t="s">
        <v>104</v>
      </c>
      <c r="BI3" s="114" t="s">
        <v>105</v>
      </c>
      <c r="BJ3" s="114" t="s">
        <v>106</v>
      </c>
      <c r="BK3" s="114" t="s">
        <v>107</v>
      </c>
      <c r="BL3" s="114" t="s">
        <v>108</v>
      </c>
      <c r="BM3" s="114" t="s">
        <v>109</v>
      </c>
      <c r="BN3" s="114" t="s">
        <v>110</v>
      </c>
      <c r="BO3" s="114" t="s">
        <v>112</v>
      </c>
      <c r="BP3" s="114" t="s">
        <v>115</v>
      </c>
      <c r="BQ3" s="114" t="s">
        <v>116</v>
      </c>
      <c r="BR3" s="114" t="s">
        <v>117</v>
      </c>
      <c r="BS3" s="114" t="s">
        <v>118</v>
      </c>
      <c r="BT3" s="114" t="s">
        <v>119</v>
      </c>
      <c r="BU3" s="114" t="s">
        <v>120</v>
      </c>
      <c r="BV3" s="114" t="s">
        <v>121</v>
      </c>
      <c r="BW3" s="114" t="s">
        <v>122</v>
      </c>
      <c r="BX3" s="114" t="s">
        <v>123</v>
      </c>
      <c r="BY3" s="141" t="s">
        <v>124</v>
      </c>
      <c r="BZ3" s="141" t="s">
        <v>125</v>
      </c>
      <c r="CA3" s="141" t="s">
        <v>126</v>
      </c>
      <c r="CB3" s="141" t="s">
        <v>14</v>
      </c>
      <c r="CC3" s="114" t="s">
        <v>127</v>
      </c>
      <c r="CD3" s="114" t="s">
        <v>128</v>
      </c>
      <c r="CE3" s="114" t="s">
        <v>129</v>
      </c>
      <c r="CF3" s="114" t="s">
        <v>130</v>
      </c>
      <c r="CG3" s="157" t="s">
        <v>13</v>
      </c>
    </row>
    <row r="4" spans="1:85" ht="12.75">
      <c r="A4" s="40" t="s">
        <v>16</v>
      </c>
      <c r="B4" s="54">
        <v>2537</v>
      </c>
      <c r="C4" s="41">
        <v>2836</v>
      </c>
      <c r="D4" s="41">
        <v>2931</v>
      </c>
      <c r="E4" s="41">
        <v>2743</v>
      </c>
      <c r="F4" s="41">
        <f>2351+678</f>
        <v>3029</v>
      </c>
      <c r="G4" s="41">
        <f>G5+G23+G38+G52+G63</f>
        <v>3337</v>
      </c>
      <c r="H4" s="41">
        <f>(633+626)+(935+823)</f>
        <v>3017</v>
      </c>
      <c r="I4" s="41">
        <f>658+695+969+1015</f>
        <v>3337</v>
      </c>
      <c r="J4" s="41">
        <f t="shared" ref="J4:X4" si="0">J5+J23+J38+J52+J63</f>
        <v>3562</v>
      </c>
      <c r="K4" s="41">
        <f t="shared" si="0"/>
        <v>4071</v>
      </c>
      <c r="L4" s="41">
        <f t="shared" si="0"/>
        <v>4325</v>
      </c>
      <c r="M4" s="41">
        <f t="shared" si="0"/>
        <v>4653</v>
      </c>
      <c r="N4" s="41">
        <f t="shared" si="0"/>
        <v>4908</v>
      </c>
      <c r="O4" s="41">
        <f t="shared" si="0"/>
        <v>5181</v>
      </c>
      <c r="P4" s="41">
        <f t="shared" si="0"/>
        <v>5352</v>
      </c>
      <c r="Q4" s="41">
        <f t="shared" si="0"/>
        <v>5342</v>
      </c>
      <c r="R4" s="41">
        <f t="shared" si="0"/>
        <v>5409</v>
      </c>
      <c r="S4" s="41">
        <f t="shared" si="0"/>
        <v>5635</v>
      </c>
      <c r="T4" s="41">
        <f t="shared" si="0"/>
        <v>5974</v>
      </c>
      <c r="U4" s="41">
        <f t="shared" si="0"/>
        <v>5861</v>
      </c>
      <c r="V4" s="41">
        <f t="shared" si="0"/>
        <v>6043</v>
      </c>
      <c r="W4" s="41">
        <f t="shared" si="0"/>
        <v>5856</v>
      </c>
      <c r="X4" s="41">
        <f t="shared" si="0"/>
        <v>6065</v>
      </c>
      <c r="Y4" s="41">
        <f>Y5+Y23+Y38+Y52+Y63</f>
        <v>5960</v>
      </c>
      <c r="Z4" s="41">
        <f>Z5+Z23+Z38+Z52+Z63</f>
        <v>6116</v>
      </c>
      <c r="AA4" s="41">
        <f>AA5+AA23+AA38+AA52+AA63</f>
        <v>6589</v>
      </c>
      <c r="AB4" s="41">
        <f>AB5+AB23+AB38+AB52+AB63</f>
        <v>6654</v>
      </c>
      <c r="AC4" s="41">
        <f t="shared" ref="AC4:AF4" si="1">AC5+AC23+AC38+AC52+AC63</f>
        <v>6679</v>
      </c>
      <c r="AD4" s="41">
        <f t="shared" si="1"/>
        <v>7042</v>
      </c>
      <c r="AE4" s="41">
        <f t="shared" si="1"/>
        <v>6885</v>
      </c>
      <c r="AF4" s="41">
        <f t="shared" si="1"/>
        <v>7073</v>
      </c>
      <c r="AG4" s="41">
        <f>AG5+AG23+AG38+AG52+AG63</f>
        <v>7320</v>
      </c>
      <c r="AH4" s="41">
        <f>AH5+AH23+AH38+AH52+AH63</f>
        <v>7575</v>
      </c>
      <c r="AI4" s="41">
        <f>AI5+AI23+AI38+AI52+AI63</f>
        <v>8024</v>
      </c>
      <c r="AJ4" s="54">
        <v>678</v>
      </c>
      <c r="AK4" s="41">
        <f>AK5+AK23+AK38+AK52+AK63</f>
        <v>618</v>
      </c>
      <c r="AL4" s="41">
        <f>297+230</f>
        <v>527</v>
      </c>
      <c r="AM4" s="41">
        <f>330+271</f>
        <v>601</v>
      </c>
      <c r="AN4" s="41">
        <f t="shared" ref="AN4:AV4" si="2">AN5+AN23+AN38+AN52+AN63</f>
        <v>461</v>
      </c>
      <c r="AO4" s="41">
        <f t="shared" si="2"/>
        <v>642</v>
      </c>
      <c r="AP4" s="41">
        <f t="shared" si="2"/>
        <v>703</v>
      </c>
      <c r="AQ4" s="41">
        <f t="shared" si="2"/>
        <v>811</v>
      </c>
      <c r="AR4" s="41">
        <f t="shared" si="2"/>
        <v>873</v>
      </c>
      <c r="AS4" s="41">
        <f t="shared" si="2"/>
        <v>889</v>
      </c>
      <c r="AT4" s="41">
        <f t="shared" si="2"/>
        <v>951</v>
      </c>
      <c r="AU4" s="41">
        <f t="shared" si="2"/>
        <v>1104</v>
      </c>
      <c r="AV4" s="54">
        <f t="shared" si="2"/>
        <v>599</v>
      </c>
      <c r="AW4" s="41">
        <f>266+192</f>
        <v>458</v>
      </c>
      <c r="AX4" s="41">
        <f>298+235</f>
        <v>533</v>
      </c>
      <c r="AY4" s="41">
        <f t="shared" ref="AY4:BV4" si="3">AY5+AY23+AY38+AY52+AY63</f>
        <v>434</v>
      </c>
      <c r="AZ4" s="41">
        <f t="shared" si="3"/>
        <v>627</v>
      </c>
      <c r="BA4" s="41">
        <f t="shared" si="3"/>
        <v>688</v>
      </c>
      <c r="BB4" s="41">
        <f t="shared" si="3"/>
        <v>811</v>
      </c>
      <c r="BC4" s="41">
        <f t="shared" si="3"/>
        <v>841</v>
      </c>
      <c r="BD4" s="41">
        <f t="shared" si="3"/>
        <v>885</v>
      </c>
      <c r="BE4" s="41">
        <f t="shared" si="3"/>
        <v>943</v>
      </c>
      <c r="BF4" s="41">
        <f t="shared" si="3"/>
        <v>1097</v>
      </c>
      <c r="BG4" s="54">
        <f t="shared" si="3"/>
        <v>618</v>
      </c>
      <c r="BH4" s="41">
        <f t="shared" si="3"/>
        <v>461</v>
      </c>
      <c r="BI4" s="41">
        <f t="shared" si="3"/>
        <v>642</v>
      </c>
      <c r="BJ4" s="41">
        <f t="shared" si="3"/>
        <v>703</v>
      </c>
      <c r="BK4" s="41">
        <f t="shared" si="3"/>
        <v>811</v>
      </c>
      <c r="BL4" s="41">
        <f t="shared" si="3"/>
        <v>873</v>
      </c>
      <c r="BM4" s="41">
        <f t="shared" si="3"/>
        <v>889</v>
      </c>
      <c r="BN4" s="41">
        <f t="shared" si="3"/>
        <v>951</v>
      </c>
      <c r="BO4" s="41">
        <f t="shared" si="3"/>
        <v>1104</v>
      </c>
      <c r="BP4" s="41">
        <f t="shared" si="3"/>
        <v>1080</v>
      </c>
      <c r="BQ4" s="41">
        <f t="shared" si="3"/>
        <v>1128</v>
      </c>
      <c r="BR4" s="41">
        <f t="shared" si="3"/>
        <v>1267</v>
      </c>
      <c r="BS4" s="41">
        <f t="shared" si="3"/>
        <v>1219</v>
      </c>
      <c r="BT4" s="41">
        <f t="shared" si="3"/>
        <v>1291</v>
      </c>
      <c r="BU4" s="41">
        <f t="shared" si="3"/>
        <v>1247</v>
      </c>
      <c r="BV4" s="41">
        <f t="shared" si="3"/>
        <v>1329</v>
      </c>
      <c r="BW4" s="41">
        <f>BW5+BW23+BW38+BW52+BW63</f>
        <v>1128</v>
      </c>
      <c r="BX4" s="41">
        <f>BX5+BX23+BX38+BX52+BX63</f>
        <v>1196</v>
      </c>
      <c r="BY4" s="41">
        <f>BY5+BY23+BY38+BY52+BY63</f>
        <v>1256</v>
      </c>
      <c r="BZ4" s="41">
        <f>BZ5+BZ23+BZ38+BZ52+BZ63</f>
        <v>1389</v>
      </c>
      <c r="CA4" s="41">
        <f t="shared" ref="CA4:CD4" si="4">CA5+CA23+CA38+CA52+CA63</f>
        <v>1247</v>
      </c>
      <c r="CB4" s="41">
        <f t="shared" si="4"/>
        <v>1147</v>
      </c>
      <c r="CC4" s="41">
        <f t="shared" si="4"/>
        <v>1222</v>
      </c>
      <c r="CD4" s="41">
        <f t="shared" si="4"/>
        <v>1406</v>
      </c>
      <c r="CE4" s="41">
        <f>CE5+CE23+CE38+CE52+CE63</f>
        <v>1308</v>
      </c>
      <c r="CF4" s="41">
        <f>CF5+CF23+CF38+CF52+CF63</f>
        <v>1228</v>
      </c>
      <c r="CG4" s="41">
        <f>CG5+CG23+CG38+CG52+CG63</f>
        <v>1278</v>
      </c>
    </row>
    <row r="5" spans="1:85" ht="12.75">
      <c r="A5" s="42" t="s">
        <v>17</v>
      </c>
      <c r="B5" s="55">
        <f t="shared" ref="B5:I5" si="5">SUM(B7:B22)</f>
        <v>748</v>
      </c>
      <c r="C5" s="43">
        <f t="shared" si="5"/>
        <v>821</v>
      </c>
      <c r="D5" s="43">
        <f t="shared" si="5"/>
        <v>859</v>
      </c>
      <c r="E5" s="43">
        <f t="shared" si="5"/>
        <v>815</v>
      </c>
      <c r="F5" s="43">
        <f t="shared" si="5"/>
        <v>1013</v>
      </c>
      <c r="G5" s="43">
        <f t="shared" si="5"/>
        <v>1074</v>
      </c>
      <c r="H5" s="43">
        <f t="shared" si="5"/>
        <v>1063</v>
      </c>
      <c r="I5" s="43">
        <f t="shared" si="5"/>
        <v>1101</v>
      </c>
      <c r="J5" s="43">
        <f t="shared" ref="J5:AJ5" si="6">SUM(J7:J22)</f>
        <v>1252</v>
      </c>
      <c r="K5" s="43">
        <f t="shared" si="6"/>
        <v>1483</v>
      </c>
      <c r="L5" s="43">
        <f t="shared" si="6"/>
        <v>1642</v>
      </c>
      <c r="M5" s="43">
        <f t="shared" si="6"/>
        <v>1785</v>
      </c>
      <c r="N5" s="43">
        <f t="shared" si="6"/>
        <v>1959</v>
      </c>
      <c r="O5" s="43">
        <f t="shared" si="6"/>
        <v>2027</v>
      </c>
      <c r="P5" s="43">
        <f t="shared" si="6"/>
        <v>2201</v>
      </c>
      <c r="Q5" s="43">
        <f t="shared" si="6"/>
        <v>2222</v>
      </c>
      <c r="R5" s="43">
        <f t="shared" si="6"/>
        <v>2286</v>
      </c>
      <c r="S5" s="43">
        <f t="shared" si="6"/>
        <v>2379</v>
      </c>
      <c r="T5" s="43">
        <f t="shared" si="6"/>
        <v>2452</v>
      </c>
      <c r="U5" s="43">
        <f t="shared" si="6"/>
        <v>2476</v>
      </c>
      <c r="V5" s="43">
        <f t="shared" si="6"/>
        <v>2652</v>
      </c>
      <c r="W5" s="43">
        <f t="shared" si="6"/>
        <v>2615</v>
      </c>
      <c r="X5" s="43">
        <f t="shared" si="6"/>
        <v>2753</v>
      </c>
      <c r="Y5" s="43">
        <f>SUM(Y7:Y22)</f>
        <v>2731</v>
      </c>
      <c r="Z5" s="43">
        <f>SUM(Z7:Z22)</f>
        <v>2756</v>
      </c>
      <c r="AA5" s="43">
        <f>SUM(AA7:AA22)</f>
        <v>3011</v>
      </c>
      <c r="AB5" s="43">
        <f>SUM(AB7:AB22)</f>
        <v>3099</v>
      </c>
      <c r="AC5" s="43">
        <f t="shared" ref="AC5:AF5" si="7">SUM(AC7:AC22)</f>
        <v>3121</v>
      </c>
      <c r="AD5" s="43">
        <f t="shared" si="7"/>
        <v>3324</v>
      </c>
      <c r="AE5" s="43">
        <f t="shared" si="7"/>
        <v>3185</v>
      </c>
      <c r="AF5" s="43">
        <f t="shared" si="7"/>
        <v>3188</v>
      </c>
      <c r="AG5" s="43">
        <f>SUM(AG7:AG22)</f>
        <v>3422</v>
      </c>
      <c r="AH5" s="43">
        <f>SUM(AH7:AH22)</f>
        <v>3467</v>
      </c>
      <c r="AI5" s="43">
        <f>SUM(AI7:AI22)</f>
        <v>3630</v>
      </c>
      <c r="AJ5" s="55">
        <f t="shared" si="6"/>
        <v>380</v>
      </c>
      <c r="AK5" s="43">
        <f>SUM(AK7:AK22)</f>
        <v>344</v>
      </c>
      <c r="AL5" s="43">
        <f>SUM(AL7:AL22)</f>
        <v>297</v>
      </c>
      <c r="AM5" s="43">
        <f>SUM(AM7:AM22)</f>
        <v>371</v>
      </c>
      <c r="AN5" s="43">
        <f t="shared" ref="AN5:AW5" si="8">SUM(AN7:AN22)</f>
        <v>332</v>
      </c>
      <c r="AO5" s="43">
        <f t="shared" si="8"/>
        <v>435</v>
      </c>
      <c r="AP5" s="43">
        <f t="shared" si="8"/>
        <v>465</v>
      </c>
      <c r="AQ5" s="43">
        <f t="shared" si="8"/>
        <v>588</v>
      </c>
      <c r="AR5" s="43">
        <f t="shared" si="8"/>
        <v>607</v>
      </c>
      <c r="AS5" s="43">
        <f t="shared" si="8"/>
        <v>601</v>
      </c>
      <c r="AT5" s="43">
        <f t="shared" si="8"/>
        <v>618</v>
      </c>
      <c r="AU5" s="43">
        <f t="shared" si="8"/>
        <v>735</v>
      </c>
      <c r="AV5" s="55">
        <f t="shared" si="8"/>
        <v>325</v>
      </c>
      <c r="AW5" s="43">
        <f t="shared" si="8"/>
        <v>277</v>
      </c>
      <c r="AX5" s="43">
        <f t="shared" ref="AX5:BV5" si="9">SUM(AX7:AX22)</f>
        <v>352</v>
      </c>
      <c r="AY5" s="43">
        <f t="shared" si="9"/>
        <v>317</v>
      </c>
      <c r="AZ5" s="43">
        <f t="shared" si="9"/>
        <v>435</v>
      </c>
      <c r="BA5" s="43">
        <f t="shared" si="9"/>
        <v>465</v>
      </c>
      <c r="BB5" s="43">
        <f t="shared" si="9"/>
        <v>588</v>
      </c>
      <c r="BC5" s="43">
        <f t="shared" si="9"/>
        <v>607</v>
      </c>
      <c r="BD5" s="43">
        <f t="shared" si="9"/>
        <v>601</v>
      </c>
      <c r="BE5" s="43">
        <f t="shared" si="9"/>
        <v>618</v>
      </c>
      <c r="BF5" s="43">
        <f t="shared" si="9"/>
        <v>735</v>
      </c>
      <c r="BG5" s="55">
        <f t="shared" si="9"/>
        <v>344</v>
      </c>
      <c r="BH5" s="43">
        <f t="shared" si="9"/>
        <v>332</v>
      </c>
      <c r="BI5" s="43">
        <f t="shared" si="9"/>
        <v>435</v>
      </c>
      <c r="BJ5" s="43">
        <f t="shared" si="9"/>
        <v>465</v>
      </c>
      <c r="BK5" s="43">
        <f t="shared" si="9"/>
        <v>588</v>
      </c>
      <c r="BL5" s="43">
        <f t="shared" si="9"/>
        <v>607</v>
      </c>
      <c r="BM5" s="43">
        <f t="shared" si="9"/>
        <v>601</v>
      </c>
      <c r="BN5" s="43">
        <f t="shared" si="9"/>
        <v>618</v>
      </c>
      <c r="BO5" s="43">
        <f t="shared" si="9"/>
        <v>735</v>
      </c>
      <c r="BP5" s="43">
        <f t="shared" si="9"/>
        <v>738</v>
      </c>
      <c r="BQ5" s="43">
        <f t="shared" si="9"/>
        <v>774</v>
      </c>
      <c r="BR5" s="43">
        <f t="shared" si="9"/>
        <v>818</v>
      </c>
      <c r="BS5" s="43">
        <f t="shared" si="9"/>
        <v>831</v>
      </c>
      <c r="BT5" s="43">
        <f t="shared" si="9"/>
        <v>945</v>
      </c>
      <c r="BU5" s="43">
        <f t="shared" si="9"/>
        <v>880</v>
      </c>
      <c r="BV5" s="43">
        <f t="shared" si="9"/>
        <v>965</v>
      </c>
      <c r="BW5" s="43">
        <f>SUM(BW7:BW22)</f>
        <v>820</v>
      </c>
      <c r="BX5" s="43">
        <f>SUM(BX7:BX22)</f>
        <v>828</v>
      </c>
      <c r="BY5" s="43">
        <f>SUM(BY7:BY22)</f>
        <v>842</v>
      </c>
      <c r="BZ5" s="43">
        <f>SUM(BZ7:BZ22)</f>
        <v>982</v>
      </c>
      <c r="CA5" s="43">
        <f t="shared" ref="CA5:CD5" si="10">SUM(CA7:CA22)</f>
        <v>877</v>
      </c>
      <c r="CB5" s="43">
        <f t="shared" si="10"/>
        <v>831</v>
      </c>
      <c r="CC5" s="43">
        <f t="shared" si="10"/>
        <v>853</v>
      </c>
      <c r="CD5" s="43">
        <f t="shared" si="10"/>
        <v>1021</v>
      </c>
      <c r="CE5" s="43">
        <f>SUM(CE7:CE22)</f>
        <v>973</v>
      </c>
      <c r="CF5" s="43">
        <f>SUM(CF7:CF22)</f>
        <v>887</v>
      </c>
      <c r="CG5" s="158">
        <f>SUM(CG7:CG22)</f>
        <v>952</v>
      </c>
    </row>
    <row r="6" spans="1:85" ht="12.75">
      <c r="A6" s="44" t="s">
        <v>131</v>
      </c>
      <c r="B6" s="56">
        <f t="shared" ref="B6:I6" si="11">(B5/B4)*100</f>
        <v>29.483642096964918</v>
      </c>
      <c r="C6" s="45">
        <f t="shared" si="11"/>
        <v>28.949224259520452</v>
      </c>
      <c r="D6" s="45">
        <f t="shared" si="11"/>
        <v>29.307403616513135</v>
      </c>
      <c r="E6" s="45">
        <f t="shared" si="11"/>
        <v>29.711994166970467</v>
      </c>
      <c r="F6" s="45">
        <f t="shared" si="11"/>
        <v>33.443380653681082</v>
      </c>
      <c r="G6" s="45">
        <f t="shared" si="11"/>
        <v>32.184596943362301</v>
      </c>
      <c r="H6" s="45">
        <f t="shared" si="11"/>
        <v>35.233675836924093</v>
      </c>
      <c r="I6" s="45">
        <f t="shared" si="11"/>
        <v>32.993706922385371</v>
      </c>
      <c r="J6" s="45">
        <f t="shared" ref="J6:AJ6" si="12">(J5/J4)*100</f>
        <v>35.14879281302639</v>
      </c>
      <c r="K6" s="45">
        <f t="shared" si="12"/>
        <v>36.428395971505772</v>
      </c>
      <c r="L6" s="45">
        <f t="shared" si="12"/>
        <v>37.96531791907514</v>
      </c>
      <c r="M6" s="45">
        <f t="shared" si="12"/>
        <v>38.362346872985171</v>
      </c>
      <c r="N6" s="45">
        <f t="shared" si="12"/>
        <v>39.914425427872864</v>
      </c>
      <c r="O6" s="45">
        <f t="shared" si="12"/>
        <v>39.123721289326383</v>
      </c>
      <c r="P6" s="45">
        <f t="shared" si="12"/>
        <v>41.124813153961135</v>
      </c>
      <c r="Q6" s="45">
        <f t="shared" si="12"/>
        <v>41.59490827405466</v>
      </c>
      <c r="R6" s="45">
        <f t="shared" si="12"/>
        <v>42.262895174708817</v>
      </c>
      <c r="S6" s="45">
        <f t="shared" si="12"/>
        <v>42.218278615794141</v>
      </c>
      <c r="T6" s="45">
        <f t="shared" si="12"/>
        <v>41.04452628054905</v>
      </c>
      <c r="U6" s="45">
        <f t="shared" si="12"/>
        <v>42.245350622760618</v>
      </c>
      <c r="V6" s="45">
        <f t="shared" si="12"/>
        <v>43.885487340724808</v>
      </c>
      <c r="W6" s="45">
        <f t="shared" si="12"/>
        <v>44.655054644808743</v>
      </c>
      <c r="X6" s="45">
        <f t="shared" si="12"/>
        <v>45.391591096455066</v>
      </c>
      <c r="Y6" s="45">
        <f>(Y5/Y4)*100</f>
        <v>45.822147651006709</v>
      </c>
      <c r="Z6" s="45">
        <f>(Z5/Z4)*100</f>
        <v>45.062132112491824</v>
      </c>
      <c r="AA6" s="45">
        <f>(AA5/AA4)*100</f>
        <v>45.697374411898615</v>
      </c>
      <c r="AB6" s="45">
        <f>(AB5/AB4)*100</f>
        <v>46.573489630297566</v>
      </c>
      <c r="AC6" s="45">
        <f t="shared" ref="AC6:AF6" si="13">(AC5/AC4)*100</f>
        <v>46.728552178469826</v>
      </c>
      <c r="AD6" s="45">
        <f t="shared" si="13"/>
        <v>47.202499289974433</v>
      </c>
      <c r="AE6" s="45">
        <f t="shared" si="13"/>
        <v>46.259985475671748</v>
      </c>
      <c r="AF6" s="45">
        <f t="shared" si="13"/>
        <v>45.072812102361091</v>
      </c>
      <c r="AG6" s="45">
        <f>(AG5/AG4)*100</f>
        <v>46.748633879781423</v>
      </c>
      <c r="AH6" s="45">
        <f>(AH5/AH4)*100</f>
        <v>45.768976897689768</v>
      </c>
      <c r="AI6" s="45">
        <f>(AI5/AI4)*100</f>
        <v>45.239282153539385</v>
      </c>
      <c r="AJ6" s="56">
        <f t="shared" si="12"/>
        <v>56.047197640117993</v>
      </c>
      <c r="AK6" s="45">
        <f>(AK5/AK4)*100</f>
        <v>55.663430420711975</v>
      </c>
      <c r="AL6" s="45">
        <f>(AL5/AL4)*100</f>
        <v>56.356736242884253</v>
      </c>
      <c r="AM6" s="45">
        <f>(AM5/AM4)*100</f>
        <v>61.730449251247919</v>
      </c>
      <c r="AN6" s="45">
        <f t="shared" ref="AN6:AW6" si="14">(AN5/AN4)*100</f>
        <v>72.017353579175705</v>
      </c>
      <c r="AO6" s="45">
        <f t="shared" si="14"/>
        <v>67.757009345794401</v>
      </c>
      <c r="AP6" s="45">
        <f t="shared" si="14"/>
        <v>66.145092460881941</v>
      </c>
      <c r="AQ6" s="45">
        <f t="shared" si="14"/>
        <v>72.503082614056723</v>
      </c>
      <c r="AR6" s="45">
        <f t="shared" si="14"/>
        <v>69.530355097365401</v>
      </c>
      <c r="AS6" s="45">
        <f t="shared" si="14"/>
        <v>67.604049493813278</v>
      </c>
      <c r="AT6" s="45">
        <f t="shared" si="14"/>
        <v>64.98422712933754</v>
      </c>
      <c r="AU6" s="45">
        <f t="shared" si="14"/>
        <v>66.576086956521735</v>
      </c>
      <c r="AV6" s="56">
        <f t="shared" si="14"/>
        <v>54.257095158597664</v>
      </c>
      <c r="AW6" s="45">
        <f t="shared" si="14"/>
        <v>60.480349344978166</v>
      </c>
      <c r="AX6" s="45">
        <f t="shared" ref="AX6:BV6" si="15">(AX5/AX4)*100</f>
        <v>66.041275797373359</v>
      </c>
      <c r="AY6" s="45">
        <f t="shared" si="15"/>
        <v>73.041474654377879</v>
      </c>
      <c r="AZ6" s="45">
        <f t="shared" si="15"/>
        <v>69.377990430622006</v>
      </c>
      <c r="BA6" s="45">
        <f t="shared" si="15"/>
        <v>67.587209302325576</v>
      </c>
      <c r="BB6" s="45">
        <f t="shared" si="15"/>
        <v>72.503082614056723</v>
      </c>
      <c r="BC6" s="45">
        <f t="shared" si="15"/>
        <v>72.175980975029731</v>
      </c>
      <c r="BD6" s="45">
        <f t="shared" si="15"/>
        <v>67.909604519774007</v>
      </c>
      <c r="BE6" s="45">
        <f t="shared" si="15"/>
        <v>65.535524920466599</v>
      </c>
      <c r="BF6" s="45">
        <f t="shared" si="15"/>
        <v>67.000911577028262</v>
      </c>
      <c r="BG6" s="56">
        <f t="shared" si="15"/>
        <v>55.663430420711975</v>
      </c>
      <c r="BH6" s="45">
        <f t="shared" si="15"/>
        <v>72.017353579175705</v>
      </c>
      <c r="BI6" s="45">
        <f t="shared" si="15"/>
        <v>67.757009345794401</v>
      </c>
      <c r="BJ6" s="45">
        <f t="shared" si="15"/>
        <v>66.145092460881941</v>
      </c>
      <c r="BK6" s="45">
        <f t="shared" si="15"/>
        <v>72.503082614056723</v>
      </c>
      <c r="BL6" s="45">
        <f t="shared" si="15"/>
        <v>69.530355097365401</v>
      </c>
      <c r="BM6" s="45">
        <f t="shared" si="15"/>
        <v>67.604049493813278</v>
      </c>
      <c r="BN6" s="45">
        <f t="shared" si="15"/>
        <v>64.98422712933754</v>
      </c>
      <c r="BO6" s="45">
        <f t="shared" si="15"/>
        <v>66.576086956521735</v>
      </c>
      <c r="BP6" s="45">
        <f t="shared" si="15"/>
        <v>68.333333333333329</v>
      </c>
      <c r="BQ6" s="45">
        <f t="shared" si="15"/>
        <v>68.61702127659575</v>
      </c>
      <c r="BR6" s="45">
        <f t="shared" si="15"/>
        <v>64.561957379636937</v>
      </c>
      <c r="BS6" s="45">
        <f t="shared" si="15"/>
        <v>68.170631665299425</v>
      </c>
      <c r="BT6" s="45">
        <f t="shared" si="15"/>
        <v>73.199070487993794</v>
      </c>
      <c r="BU6" s="45">
        <f t="shared" si="15"/>
        <v>70.569366479550922</v>
      </c>
      <c r="BV6" s="45">
        <f t="shared" si="15"/>
        <v>72.610985703536485</v>
      </c>
      <c r="BW6" s="45">
        <f>(BW5/BW4)*100</f>
        <v>72.695035460992912</v>
      </c>
      <c r="BX6" s="45">
        <f>(BX5/BX4)*100</f>
        <v>69.230769230769226</v>
      </c>
      <c r="BY6" s="45">
        <f>(BY5/BY4)*100</f>
        <v>67.038216560509554</v>
      </c>
      <c r="BZ6" s="45">
        <f>(BZ5/BZ4)*100</f>
        <v>70.698344132469401</v>
      </c>
      <c r="CA6" s="45">
        <f t="shared" ref="CA6:CD6" si="16">(CA5/CA4)*100</f>
        <v>70.328789093825179</v>
      </c>
      <c r="CB6" s="45">
        <f t="shared" si="16"/>
        <v>72.449869224062766</v>
      </c>
      <c r="CC6" s="45">
        <f t="shared" si="16"/>
        <v>69.803600654664493</v>
      </c>
      <c r="CD6" s="45">
        <f t="shared" si="16"/>
        <v>72.617354196301562</v>
      </c>
      <c r="CE6" s="45">
        <f>(CE5/CE4)*100</f>
        <v>74.388379204892956</v>
      </c>
      <c r="CF6" s="45">
        <f>(CF5/CF4)*100</f>
        <v>72.23127035830619</v>
      </c>
      <c r="CG6" s="45">
        <f>(CG5/CG4)*100</f>
        <v>74.491392801251948</v>
      </c>
    </row>
    <row r="7" spans="1:85" ht="12.75">
      <c r="A7" s="42" t="s">
        <v>19</v>
      </c>
      <c r="B7" s="57">
        <v>42</v>
      </c>
      <c r="C7" s="46">
        <v>41</v>
      </c>
      <c r="D7" s="46">
        <v>43</v>
      </c>
      <c r="E7" s="46">
        <v>20</v>
      </c>
      <c r="F7" s="46">
        <f>25+23</f>
        <v>48</v>
      </c>
      <c r="G7" s="46">
        <v>28</v>
      </c>
      <c r="H7" s="46">
        <f>(6+9)+(11+12)</f>
        <v>38</v>
      </c>
      <c r="I7" s="46">
        <f>7+9+18+16</f>
        <v>50</v>
      </c>
      <c r="J7" s="46">
        <v>60</v>
      </c>
      <c r="K7" s="46">
        <v>63</v>
      </c>
      <c r="L7" s="46">
        <v>59</v>
      </c>
      <c r="M7" s="46">
        <v>72</v>
      </c>
      <c r="N7" s="46">
        <v>80</v>
      </c>
      <c r="O7" s="46">
        <v>88</v>
      </c>
      <c r="P7" s="46">
        <v>109</v>
      </c>
      <c r="Q7" s="46">
        <v>88</v>
      </c>
      <c r="R7" s="46">
        <v>106</v>
      </c>
      <c r="S7" s="46">
        <v>69</v>
      </c>
      <c r="T7" s="46">
        <v>79</v>
      </c>
      <c r="U7" s="46">
        <v>85</v>
      </c>
      <c r="V7" s="46">
        <v>94</v>
      </c>
      <c r="W7" s="46">
        <v>98</v>
      </c>
      <c r="X7" s="46">
        <v>124</v>
      </c>
      <c r="Y7" s="46">
        <v>180</v>
      </c>
      <c r="Z7" s="46">
        <v>170</v>
      </c>
      <c r="AA7" s="46">
        <v>195</v>
      </c>
      <c r="AB7" s="46">
        <v>178</v>
      </c>
      <c r="AC7" s="46">
        <v>201</v>
      </c>
      <c r="AD7" s="46">
        <v>206</v>
      </c>
      <c r="AE7" s="1">
        <v>235</v>
      </c>
      <c r="AF7" s="1">
        <v>221</v>
      </c>
      <c r="AG7" s="1">
        <v>268</v>
      </c>
      <c r="AH7" s="1">
        <v>252</v>
      </c>
      <c r="AI7" s="1">
        <v>253</v>
      </c>
      <c r="AJ7" s="57">
        <v>23</v>
      </c>
      <c r="AK7" s="46">
        <v>11</v>
      </c>
      <c r="AL7" s="46">
        <f>9+12</f>
        <v>21</v>
      </c>
      <c r="AM7" s="46">
        <f>14+13</f>
        <v>27</v>
      </c>
      <c r="AN7" s="46">
        <v>31</v>
      </c>
      <c r="AO7" s="46">
        <v>30</v>
      </c>
      <c r="AP7" s="46">
        <v>22</v>
      </c>
      <c r="AQ7" s="46">
        <v>33</v>
      </c>
      <c r="AR7" s="46">
        <v>19</v>
      </c>
      <c r="AS7" s="46">
        <v>31</v>
      </c>
      <c r="AT7" s="46">
        <v>36</v>
      </c>
      <c r="AU7" s="46">
        <v>33</v>
      </c>
      <c r="AV7" s="57">
        <v>11</v>
      </c>
      <c r="AW7" s="46">
        <f>9+12</f>
        <v>21</v>
      </c>
      <c r="AX7" s="46">
        <f>14+13</f>
        <v>27</v>
      </c>
      <c r="AY7" s="46">
        <v>31</v>
      </c>
      <c r="AZ7" s="46">
        <v>30</v>
      </c>
      <c r="BA7" s="46">
        <v>22</v>
      </c>
      <c r="BB7" s="46">
        <v>33</v>
      </c>
      <c r="BC7" s="46">
        <v>19</v>
      </c>
      <c r="BD7" s="46">
        <v>31</v>
      </c>
      <c r="BE7" s="46">
        <v>36</v>
      </c>
      <c r="BF7" s="46">
        <v>33</v>
      </c>
      <c r="BG7" s="57">
        <f t="shared" ref="BG7:BG22" si="17">IF(AK7&gt;AV7,(AK7),(AV7))</f>
        <v>11</v>
      </c>
      <c r="BH7" s="46">
        <f t="shared" ref="BH7:BH22" si="18">IF(AN7&gt;AY7,(AN7),(AY7))</f>
        <v>31</v>
      </c>
      <c r="BI7" s="46">
        <f t="shared" ref="BI7:BI22" si="19">IF(AO7&gt;AZ7,(AO7),(AZ7))</f>
        <v>30</v>
      </c>
      <c r="BJ7" s="46">
        <f t="shared" ref="BJ7:BJ22" si="20">IF(AP7&gt;BA7,(AP7),(BA7))</f>
        <v>22</v>
      </c>
      <c r="BK7" s="46">
        <f t="shared" ref="BK7:BK22" si="21">IF(AQ7&gt;BB7,(AQ7),(BB7))</f>
        <v>33</v>
      </c>
      <c r="BL7" s="46">
        <f t="shared" ref="BL7:BL22" si="22">IF(AR7&gt;BC7,(AR7),(BC7))</f>
        <v>19</v>
      </c>
      <c r="BM7" s="46">
        <f t="shared" ref="BM7:BM22" si="23">IF(AS7&gt;BD7,(AS7),(BD7))</f>
        <v>31</v>
      </c>
      <c r="BN7" s="46">
        <f t="shared" ref="BN7:BN22" si="24">IF(AT7&gt;BE7,(AT7),(BE7))</f>
        <v>36</v>
      </c>
      <c r="BO7" s="46">
        <f t="shared" ref="BO7:BO22" si="25">IF(AU7&gt;BF7,(AU7),(BF7))</f>
        <v>33</v>
      </c>
      <c r="BP7" s="46">
        <v>47</v>
      </c>
      <c r="BQ7" s="46">
        <v>27</v>
      </c>
      <c r="BR7" s="46">
        <v>21</v>
      </c>
      <c r="BS7" s="46">
        <v>21</v>
      </c>
      <c r="BT7" s="46">
        <v>25</v>
      </c>
      <c r="BU7" s="46">
        <v>25</v>
      </c>
      <c r="BV7" s="46">
        <v>61</v>
      </c>
      <c r="BW7" s="46">
        <v>62</v>
      </c>
      <c r="BX7" s="1">
        <v>58</v>
      </c>
      <c r="BY7" s="1">
        <v>64</v>
      </c>
      <c r="BZ7" s="1">
        <v>49</v>
      </c>
      <c r="CA7" s="1">
        <v>50</v>
      </c>
      <c r="CB7" s="1">
        <v>61</v>
      </c>
      <c r="CC7" s="1">
        <v>76</v>
      </c>
      <c r="CD7" s="1">
        <v>79</v>
      </c>
      <c r="CE7" s="1">
        <v>48</v>
      </c>
      <c r="CF7" s="1">
        <v>42</v>
      </c>
      <c r="CG7" s="1">
        <v>49</v>
      </c>
    </row>
    <row r="8" spans="1:85" ht="12.75">
      <c r="A8" s="42" t="s">
        <v>20</v>
      </c>
      <c r="B8" s="57">
        <v>12</v>
      </c>
      <c r="C8" s="46">
        <v>9</v>
      </c>
      <c r="D8" s="46">
        <v>8</v>
      </c>
      <c r="E8" s="46">
        <v>13</v>
      </c>
      <c r="F8" s="46">
        <v>11</v>
      </c>
      <c r="G8" s="46">
        <v>14</v>
      </c>
      <c r="H8" s="46">
        <f>(7+6)+0</f>
        <v>13</v>
      </c>
      <c r="I8" s="46">
        <f>6+8+0+0</f>
        <v>14</v>
      </c>
      <c r="J8" s="46">
        <v>14</v>
      </c>
      <c r="K8" s="46">
        <v>12</v>
      </c>
      <c r="L8" s="46">
        <v>19</v>
      </c>
      <c r="M8" s="46">
        <v>34</v>
      </c>
      <c r="N8" s="46">
        <v>33</v>
      </c>
      <c r="O8" s="46">
        <v>21</v>
      </c>
      <c r="P8" s="46">
        <v>29</v>
      </c>
      <c r="Q8" s="46">
        <v>26</v>
      </c>
      <c r="R8" s="46">
        <v>29</v>
      </c>
      <c r="S8" s="46">
        <v>23</v>
      </c>
      <c r="T8" s="46">
        <v>44</v>
      </c>
      <c r="U8" s="46">
        <v>37</v>
      </c>
      <c r="V8" s="46">
        <v>36</v>
      </c>
      <c r="W8" s="46">
        <v>51</v>
      </c>
      <c r="X8" s="46">
        <v>48</v>
      </c>
      <c r="Y8" s="46">
        <v>44</v>
      </c>
      <c r="Z8" s="46">
        <v>32</v>
      </c>
      <c r="AA8" s="46">
        <v>59</v>
      </c>
      <c r="AB8" s="46">
        <v>53</v>
      </c>
      <c r="AC8" s="46">
        <v>38</v>
      </c>
      <c r="AD8" s="46">
        <v>41</v>
      </c>
      <c r="AE8" s="1">
        <v>40</v>
      </c>
      <c r="AF8" s="1">
        <v>33</v>
      </c>
      <c r="AG8" s="1">
        <v>38</v>
      </c>
      <c r="AH8" s="1">
        <v>33</v>
      </c>
      <c r="AI8" s="1">
        <v>43</v>
      </c>
      <c r="AJ8" s="57"/>
      <c r="AK8" s="46"/>
      <c r="AL8" s="46"/>
      <c r="AM8" s="46"/>
      <c r="AN8" s="46"/>
      <c r="AO8" s="46"/>
      <c r="AP8" s="46"/>
      <c r="AQ8" s="46"/>
      <c r="AR8" s="46"/>
      <c r="AS8" s="46"/>
      <c r="AT8" s="46"/>
      <c r="AU8" s="46"/>
      <c r="AV8" s="57"/>
      <c r="AW8" s="46"/>
      <c r="AX8" s="46"/>
      <c r="AY8" s="46"/>
      <c r="AZ8" s="46"/>
      <c r="BA8" s="46"/>
      <c r="BB8" s="46"/>
      <c r="BC8" s="46"/>
      <c r="BD8" s="46"/>
      <c r="BE8" s="46"/>
      <c r="BF8" s="46"/>
      <c r="BG8" s="57"/>
      <c r="BH8" s="46"/>
      <c r="BI8" s="46"/>
      <c r="BJ8" s="46"/>
      <c r="BK8" s="46"/>
      <c r="BL8" s="46"/>
      <c r="BM8" s="46"/>
      <c r="BN8" s="46"/>
      <c r="BO8" s="46"/>
      <c r="BP8" s="46"/>
      <c r="BQ8" s="46"/>
      <c r="BR8" s="46"/>
      <c r="BS8" s="46"/>
      <c r="BT8" s="46"/>
      <c r="BU8" s="46"/>
      <c r="BV8" s="46"/>
      <c r="BW8" s="46"/>
      <c r="BY8" s="1">
        <v>0</v>
      </c>
      <c r="BZ8" s="1">
        <v>0</v>
      </c>
      <c r="CB8" s="1">
        <v>0</v>
      </c>
    </row>
    <row r="9" spans="1:85" ht="12.75">
      <c r="A9" s="42" t="s">
        <v>21</v>
      </c>
      <c r="B9" s="57"/>
      <c r="C9" s="46"/>
      <c r="D9" s="46"/>
      <c r="E9" s="46"/>
      <c r="F9" s="46"/>
      <c r="G9" s="46">
        <v>4</v>
      </c>
      <c r="H9" s="46"/>
      <c r="I9" s="46"/>
      <c r="J9" s="46">
        <v>11</v>
      </c>
      <c r="K9" s="46">
        <v>12</v>
      </c>
      <c r="L9" s="46">
        <v>11</v>
      </c>
      <c r="M9" s="46">
        <v>13</v>
      </c>
      <c r="N9" s="46">
        <v>9</v>
      </c>
      <c r="O9" s="46">
        <v>14</v>
      </c>
      <c r="P9" s="46">
        <v>17</v>
      </c>
      <c r="Q9" s="46">
        <v>8</v>
      </c>
      <c r="R9" s="46">
        <v>16</v>
      </c>
      <c r="S9" s="46">
        <v>11</v>
      </c>
      <c r="T9" s="46">
        <v>13</v>
      </c>
      <c r="U9" s="46">
        <v>14</v>
      </c>
      <c r="V9" s="46">
        <v>12</v>
      </c>
      <c r="W9" s="46">
        <v>28</v>
      </c>
      <c r="X9" s="46">
        <v>16</v>
      </c>
      <c r="Y9" s="46">
        <v>15</v>
      </c>
      <c r="Z9" s="46">
        <v>16</v>
      </c>
      <c r="AA9" s="46">
        <v>18</v>
      </c>
      <c r="AB9" s="46">
        <v>20</v>
      </c>
      <c r="AC9" s="46">
        <v>15</v>
      </c>
      <c r="AD9" s="46">
        <v>18</v>
      </c>
      <c r="AE9" s="1">
        <v>1</v>
      </c>
      <c r="AF9" s="1">
        <v>0</v>
      </c>
      <c r="AG9" s="1">
        <v>2</v>
      </c>
      <c r="AH9" s="1">
        <v>3</v>
      </c>
      <c r="AI9" s="1">
        <v>4</v>
      </c>
      <c r="AJ9" s="57"/>
      <c r="AK9" s="46"/>
      <c r="AL9" s="46"/>
      <c r="AM9" s="46"/>
      <c r="AN9" s="46"/>
      <c r="AO9" s="46"/>
      <c r="AP9" s="46"/>
      <c r="AQ9" s="46"/>
      <c r="AR9" s="46"/>
      <c r="AS9" s="46"/>
      <c r="AT9" s="46"/>
      <c r="AU9" s="46"/>
      <c r="AV9" s="57"/>
      <c r="AW9" s="46"/>
      <c r="AX9" s="46"/>
      <c r="AY9" s="46"/>
      <c r="AZ9" s="46"/>
      <c r="BA9" s="46"/>
      <c r="BB9" s="46"/>
      <c r="BC9" s="46"/>
      <c r="BD9" s="46"/>
      <c r="BE9" s="46"/>
      <c r="BF9" s="46"/>
      <c r="BG9" s="57"/>
      <c r="BH9" s="46"/>
      <c r="BI9" s="46"/>
      <c r="BJ9" s="46"/>
      <c r="BK9" s="46"/>
      <c r="BL9" s="46"/>
      <c r="BM9" s="46"/>
      <c r="BN9" s="46"/>
      <c r="BO9" s="46"/>
      <c r="BP9" s="46"/>
      <c r="BQ9" s="46"/>
      <c r="BR9" s="46"/>
      <c r="BS9" s="46"/>
      <c r="BT9" s="46"/>
      <c r="BU9" s="46"/>
      <c r="BV9" s="46"/>
      <c r="BW9" s="46"/>
      <c r="BY9" s="1">
        <v>0</v>
      </c>
      <c r="BZ9" s="1">
        <v>0</v>
      </c>
      <c r="CB9" s="1">
        <v>0</v>
      </c>
    </row>
    <row r="10" spans="1:85" ht="12.75">
      <c r="A10" s="42" t="s">
        <v>22</v>
      </c>
      <c r="B10" s="57">
        <v>60</v>
      </c>
      <c r="C10" s="46">
        <v>51</v>
      </c>
      <c r="D10" s="46">
        <v>46</v>
      </c>
      <c r="E10" s="46">
        <v>41</v>
      </c>
      <c r="F10" s="46">
        <f>43+1</f>
        <v>44</v>
      </c>
      <c r="G10" s="46">
        <v>56</v>
      </c>
      <c r="H10" s="46">
        <f>(27+24)+(13+10)</f>
        <v>74</v>
      </c>
      <c r="I10" s="46">
        <f>25+32+16+26</f>
        <v>99</v>
      </c>
      <c r="J10" s="46">
        <v>99</v>
      </c>
      <c r="K10" s="46">
        <v>113</v>
      </c>
      <c r="L10" s="46">
        <v>174</v>
      </c>
      <c r="M10" s="46">
        <v>187</v>
      </c>
      <c r="N10" s="46">
        <v>247</v>
      </c>
      <c r="O10" s="46">
        <v>250</v>
      </c>
      <c r="P10" s="46">
        <v>279</v>
      </c>
      <c r="Q10" s="46">
        <v>258</v>
      </c>
      <c r="R10" s="46">
        <v>317</v>
      </c>
      <c r="S10" s="46">
        <v>323</v>
      </c>
      <c r="T10" s="46">
        <v>374</v>
      </c>
      <c r="U10" s="46">
        <v>386</v>
      </c>
      <c r="V10" s="46">
        <v>383</v>
      </c>
      <c r="W10" s="46">
        <v>423</v>
      </c>
      <c r="X10" s="46">
        <v>450</v>
      </c>
      <c r="Y10" s="46">
        <v>573</v>
      </c>
      <c r="Z10" s="46">
        <v>562</v>
      </c>
      <c r="AA10" s="46">
        <v>558</v>
      </c>
      <c r="AB10" s="46">
        <v>631</v>
      </c>
      <c r="AC10" s="46">
        <v>603</v>
      </c>
      <c r="AD10" s="46">
        <v>668</v>
      </c>
      <c r="AE10" s="1">
        <v>674</v>
      </c>
      <c r="AF10" s="1">
        <v>645</v>
      </c>
      <c r="AG10" s="1">
        <v>653</v>
      </c>
      <c r="AH10" s="1">
        <v>614</v>
      </c>
      <c r="AI10" s="1">
        <v>596</v>
      </c>
      <c r="AJ10" s="57">
        <v>1</v>
      </c>
      <c r="AK10" s="46">
        <v>9</v>
      </c>
      <c r="AL10" s="46">
        <f>5+8</f>
        <v>13</v>
      </c>
      <c r="AM10" s="46">
        <f>2+4</f>
        <v>6</v>
      </c>
      <c r="AN10" s="46">
        <v>9</v>
      </c>
      <c r="AO10" s="46">
        <v>2</v>
      </c>
      <c r="AP10" s="46">
        <v>19</v>
      </c>
      <c r="AQ10" s="46">
        <v>30</v>
      </c>
      <c r="AR10" s="46">
        <v>22</v>
      </c>
      <c r="AS10" s="46">
        <v>25</v>
      </c>
      <c r="AT10" s="46">
        <v>46</v>
      </c>
      <c r="AU10" s="46">
        <v>58</v>
      </c>
      <c r="AV10" s="57">
        <v>9</v>
      </c>
      <c r="AW10" s="46">
        <f>5+8</f>
        <v>13</v>
      </c>
      <c r="AX10" s="46">
        <f>2+4</f>
        <v>6</v>
      </c>
      <c r="AY10" s="46">
        <v>9</v>
      </c>
      <c r="AZ10" s="46">
        <v>2</v>
      </c>
      <c r="BA10" s="46">
        <v>19</v>
      </c>
      <c r="BB10" s="46">
        <v>30</v>
      </c>
      <c r="BC10" s="46">
        <v>22</v>
      </c>
      <c r="BD10" s="46">
        <v>25</v>
      </c>
      <c r="BE10" s="46">
        <v>46</v>
      </c>
      <c r="BF10" s="46">
        <v>58</v>
      </c>
      <c r="BG10" s="57">
        <f t="shared" si="17"/>
        <v>9</v>
      </c>
      <c r="BH10" s="46">
        <f t="shared" si="18"/>
        <v>9</v>
      </c>
      <c r="BI10" s="46">
        <f t="shared" si="19"/>
        <v>2</v>
      </c>
      <c r="BJ10" s="46">
        <f t="shared" si="20"/>
        <v>19</v>
      </c>
      <c r="BK10" s="46">
        <f t="shared" si="21"/>
        <v>30</v>
      </c>
      <c r="BL10" s="46">
        <f t="shared" si="22"/>
        <v>22</v>
      </c>
      <c r="BM10" s="46">
        <f t="shared" si="23"/>
        <v>25</v>
      </c>
      <c r="BN10" s="46">
        <f t="shared" si="24"/>
        <v>46</v>
      </c>
      <c r="BO10" s="46">
        <f t="shared" si="25"/>
        <v>58</v>
      </c>
      <c r="BP10" s="46">
        <v>66</v>
      </c>
      <c r="BQ10" s="46">
        <v>79</v>
      </c>
      <c r="BR10" s="46">
        <v>122</v>
      </c>
      <c r="BS10" s="46">
        <v>129</v>
      </c>
      <c r="BT10" s="46">
        <v>118</v>
      </c>
      <c r="BU10" s="46">
        <v>174</v>
      </c>
      <c r="BV10" s="46">
        <v>185</v>
      </c>
      <c r="BW10" s="46">
        <v>205</v>
      </c>
      <c r="BX10" s="1">
        <v>196</v>
      </c>
      <c r="BY10" s="1">
        <v>176</v>
      </c>
      <c r="BZ10" s="1">
        <v>241</v>
      </c>
      <c r="CA10" s="1">
        <v>201</v>
      </c>
      <c r="CB10" s="1">
        <v>225</v>
      </c>
      <c r="CC10" s="1">
        <v>185</v>
      </c>
      <c r="CD10" s="1">
        <v>202</v>
      </c>
      <c r="CE10" s="1">
        <v>208</v>
      </c>
      <c r="CF10" s="1">
        <v>170</v>
      </c>
      <c r="CG10" s="8">
        <v>165</v>
      </c>
    </row>
    <row r="11" spans="1:85" ht="12.75">
      <c r="A11" s="42" t="s">
        <v>23</v>
      </c>
      <c r="B11" s="57">
        <v>98</v>
      </c>
      <c r="C11" s="46">
        <v>102</v>
      </c>
      <c r="D11" s="46">
        <v>100</v>
      </c>
      <c r="E11" s="46">
        <v>117</v>
      </c>
      <c r="F11" s="46">
        <f>81+86</f>
        <v>167</v>
      </c>
      <c r="G11" s="46">
        <v>157</v>
      </c>
      <c r="H11" s="46">
        <f>(15+23)+(80+47)</f>
        <v>165</v>
      </c>
      <c r="I11" s="46">
        <f>14+14+87+50</f>
        <v>165</v>
      </c>
      <c r="J11" s="46">
        <v>145</v>
      </c>
      <c r="K11" s="46">
        <v>180</v>
      </c>
      <c r="L11" s="46">
        <v>199</v>
      </c>
      <c r="M11" s="46">
        <v>218</v>
      </c>
      <c r="N11" s="46">
        <v>254</v>
      </c>
      <c r="O11" s="46">
        <v>261</v>
      </c>
      <c r="P11" s="46">
        <v>256</v>
      </c>
      <c r="Q11" s="46">
        <v>257</v>
      </c>
      <c r="R11" s="46">
        <v>293</v>
      </c>
      <c r="S11" s="46">
        <v>304</v>
      </c>
      <c r="T11" s="46">
        <v>267</v>
      </c>
      <c r="U11" s="46">
        <v>342</v>
      </c>
      <c r="V11" s="46">
        <v>308</v>
      </c>
      <c r="W11" s="46">
        <v>298</v>
      </c>
      <c r="X11" s="46">
        <v>337</v>
      </c>
      <c r="Y11" s="46">
        <v>270</v>
      </c>
      <c r="Z11" s="46">
        <v>258</v>
      </c>
      <c r="AA11" s="46">
        <v>275</v>
      </c>
      <c r="AB11" s="46">
        <v>312</v>
      </c>
      <c r="AC11" s="46">
        <v>307</v>
      </c>
      <c r="AD11" s="46">
        <v>355</v>
      </c>
      <c r="AE11" s="1">
        <v>347</v>
      </c>
      <c r="AF11" s="1">
        <v>361</v>
      </c>
      <c r="AG11" s="1">
        <v>403</v>
      </c>
      <c r="AH11" s="1">
        <v>372</v>
      </c>
      <c r="AI11" s="1">
        <v>387</v>
      </c>
      <c r="AJ11" s="57">
        <v>86</v>
      </c>
      <c r="AK11" s="46">
        <v>88</v>
      </c>
      <c r="AL11" s="46">
        <f>54+23</f>
        <v>77</v>
      </c>
      <c r="AM11" s="46">
        <f>71+24</f>
        <v>95</v>
      </c>
      <c r="AN11" s="46">
        <v>59</v>
      </c>
      <c r="AO11" s="46">
        <v>96</v>
      </c>
      <c r="AP11" s="46">
        <v>84</v>
      </c>
      <c r="AQ11" s="46">
        <v>91</v>
      </c>
      <c r="AR11" s="46">
        <v>104</v>
      </c>
      <c r="AS11" s="46">
        <v>99</v>
      </c>
      <c r="AT11" s="46">
        <v>94</v>
      </c>
      <c r="AU11" s="46">
        <v>111</v>
      </c>
      <c r="AV11" s="57">
        <v>69</v>
      </c>
      <c r="AW11" s="46">
        <f>47+10</f>
        <v>57</v>
      </c>
      <c r="AX11" s="46">
        <f>63+13</f>
        <v>76</v>
      </c>
      <c r="AY11" s="46">
        <v>44</v>
      </c>
      <c r="AZ11" s="46">
        <v>96</v>
      </c>
      <c r="BA11" s="46">
        <v>84</v>
      </c>
      <c r="BB11" s="46">
        <v>91</v>
      </c>
      <c r="BC11" s="46">
        <v>104</v>
      </c>
      <c r="BD11" s="46">
        <v>99</v>
      </c>
      <c r="BE11" s="46">
        <v>94</v>
      </c>
      <c r="BF11" s="46">
        <v>111</v>
      </c>
      <c r="BG11" s="57">
        <f t="shared" si="17"/>
        <v>88</v>
      </c>
      <c r="BH11" s="46">
        <f t="shared" si="18"/>
        <v>59</v>
      </c>
      <c r="BI11" s="46">
        <f t="shared" si="19"/>
        <v>96</v>
      </c>
      <c r="BJ11" s="46">
        <f t="shared" si="20"/>
        <v>84</v>
      </c>
      <c r="BK11" s="46">
        <f t="shared" si="21"/>
        <v>91</v>
      </c>
      <c r="BL11" s="46">
        <f t="shared" si="22"/>
        <v>104</v>
      </c>
      <c r="BM11" s="46">
        <f t="shared" si="23"/>
        <v>99</v>
      </c>
      <c r="BN11" s="46">
        <f t="shared" si="24"/>
        <v>94</v>
      </c>
      <c r="BO11" s="46">
        <f t="shared" si="25"/>
        <v>111</v>
      </c>
      <c r="BP11" s="46">
        <v>93</v>
      </c>
      <c r="BQ11" s="46">
        <v>104</v>
      </c>
      <c r="BR11" s="46">
        <v>110</v>
      </c>
      <c r="BS11" s="46">
        <v>113</v>
      </c>
      <c r="BT11" s="46">
        <v>115</v>
      </c>
      <c r="BU11" s="46">
        <v>123</v>
      </c>
      <c r="BV11" s="46">
        <v>122</v>
      </c>
      <c r="BW11" s="46">
        <v>35</v>
      </c>
      <c r="BX11" s="1">
        <v>35</v>
      </c>
      <c r="BY11" s="1">
        <v>38</v>
      </c>
      <c r="BZ11" s="1">
        <v>45</v>
      </c>
      <c r="CA11" s="1">
        <v>34</v>
      </c>
      <c r="CB11" s="1">
        <v>50</v>
      </c>
      <c r="CC11" s="1">
        <v>28</v>
      </c>
      <c r="CD11" s="1">
        <v>102</v>
      </c>
      <c r="CE11" s="1">
        <v>121</v>
      </c>
      <c r="CF11" s="1">
        <v>53</v>
      </c>
      <c r="CG11" s="8">
        <v>74</v>
      </c>
    </row>
    <row r="12" spans="1:85" ht="12.75">
      <c r="A12" s="42" t="s">
        <v>24</v>
      </c>
      <c r="B12" s="57">
        <v>22</v>
      </c>
      <c r="C12" s="46">
        <v>23</v>
      </c>
      <c r="D12" s="46">
        <v>21</v>
      </c>
      <c r="E12" s="46">
        <v>22</v>
      </c>
      <c r="F12" s="46">
        <v>21</v>
      </c>
      <c r="G12" s="46">
        <v>29</v>
      </c>
      <c r="H12" s="46">
        <f>(8+9)+(9+1)</f>
        <v>27</v>
      </c>
      <c r="I12" s="46">
        <f>8+8+11+1</f>
        <v>28</v>
      </c>
      <c r="J12" s="46">
        <v>23</v>
      </c>
      <c r="K12" s="46">
        <v>23</v>
      </c>
      <c r="L12" s="46">
        <v>40</v>
      </c>
      <c r="M12" s="46">
        <v>26</v>
      </c>
      <c r="N12" s="46">
        <v>46</v>
      </c>
      <c r="O12" s="46">
        <v>55</v>
      </c>
      <c r="P12" s="46">
        <v>49</v>
      </c>
      <c r="Q12" s="46">
        <v>43</v>
      </c>
      <c r="R12" s="46">
        <v>36</v>
      </c>
      <c r="S12" s="46">
        <v>38</v>
      </c>
      <c r="T12" s="46">
        <v>43</v>
      </c>
      <c r="U12" s="46">
        <v>46</v>
      </c>
      <c r="V12" s="46">
        <v>40</v>
      </c>
      <c r="W12" s="46">
        <v>50</v>
      </c>
      <c r="X12" s="46">
        <v>52</v>
      </c>
      <c r="Y12" s="46">
        <v>49</v>
      </c>
      <c r="Z12" s="46">
        <v>59</v>
      </c>
      <c r="AA12" s="46">
        <v>67</v>
      </c>
      <c r="AB12" s="46">
        <v>67</v>
      </c>
      <c r="AC12" s="46">
        <v>70</v>
      </c>
      <c r="AD12" s="46">
        <v>50</v>
      </c>
      <c r="AE12" s="1">
        <v>54</v>
      </c>
      <c r="AF12" s="1">
        <v>55</v>
      </c>
      <c r="AG12" s="1">
        <v>71</v>
      </c>
      <c r="AH12" s="1">
        <v>65</v>
      </c>
      <c r="AI12" s="1">
        <v>87</v>
      </c>
      <c r="AJ12" s="57"/>
      <c r="AK12" s="46"/>
      <c r="AL12" s="46"/>
      <c r="AM12" s="46"/>
      <c r="AN12" s="46"/>
      <c r="AO12" s="46"/>
      <c r="AP12" s="46"/>
      <c r="AQ12" s="46"/>
      <c r="AR12" s="46"/>
      <c r="AS12" s="46"/>
      <c r="AT12" s="46"/>
      <c r="AU12" s="46"/>
      <c r="AV12" s="57"/>
      <c r="AW12" s="46">
        <v>0</v>
      </c>
      <c r="AX12" s="46">
        <v>0</v>
      </c>
      <c r="AY12" s="46"/>
      <c r="AZ12" s="46"/>
      <c r="BA12" s="46"/>
      <c r="BB12" s="46"/>
      <c r="BC12" s="46"/>
      <c r="BD12" s="46"/>
      <c r="BE12" s="46"/>
      <c r="BF12" s="46"/>
      <c r="BG12" s="57"/>
      <c r="BH12" s="46"/>
      <c r="BI12" s="46"/>
      <c r="BJ12" s="46"/>
      <c r="BK12" s="46"/>
      <c r="BL12" s="46"/>
      <c r="BM12" s="46"/>
      <c r="BN12" s="46"/>
      <c r="BO12" s="46"/>
      <c r="BP12" s="46"/>
      <c r="BQ12" s="46"/>
      <c r="BR12" s="46"/>
      <c r="BS12" s="46"/>
      <c r="BT12" s="46"/>
      <c r="BU12" s="46"/>
      <c r="BV12" s="46"/>
      <c r="BW12" s="46"/>
      <c r="BY12" s="1">
        <v>0</v>
      </c>
      <c r="BZ12" s="1">
        <v>0</v>
      </c>
      <c r="CA12" s="1">
        <v>3</v>
      </c>
      <c r="CB12" s="1">
        <v>0</v>
      </c>
      <c r="CE12" s="1">
        <v>6</v>
      </c>
      <c r="CF12" s="1">
        <v>1</v>
      </c>
      <c r="CG12" s="8">
        <v>1</v>
      </c>
    </row>
    <row r="13" spans="1:85" ht="12.75">
      <c r="A13" s="42" t="s">
        <v>25</v>
      </c>
      <c r="B13" s="57">
        <v>54</v>
      </c>
      <c r="C13" s="46">
        <v>69</v>
      </c>
      <c r="D13" s="46">
        <v>68</v>
      </c>
      <c r="E13" s="46">
        <v>99</v>
      </c>
      <c r="F13" s="46">
        <f>54+53</f>
        <v>107</v>
      </c>
      <c r="G13" s="46">
        <v>125</v>
      </c>
      <c r="H13" s="46">
        <f>(51+35)+(24+30)</f>
        <v>140</v>
      </c>
      <c r="I13" s="46">
        <f>45+35+21+32</f>
        <v>133</v>
      </c>
      <c r="J13" s="46">
        <v>118</v>
      </c>
      <c r="K13" s="46">
        <v>128</v>
      </c>
      <c r="L13" s="46">
        <v>161</v>
      </c>
      <c r="M13" s="46">
        <v>222</v>
      </c>
      <c r="N13" s="46">
        <v>207</v>
      </c>
      <c r="O13" s="46">
        <v>245</v>
      </c>
      <c r="P13" s="46">
        <v>280</v>
      </c>
      <c r="Q13" s="46">
        <v>254</v>
      </c>
      <c r="R13" s="46">
        <v>205</v>
      </c>
      <c r="S13" s="46">
        <v>242</v>
      </c>
      <c r="T13" s="46">
        <v>244</v>
      </c>
      <c r="U13" s="46">
        <v>257</v>
      </c>
      <c r="V13" s="46">
        <v>245</v>
      </c>
      <c r="W13" s="46">
        <v>239</v>
      </c>
      <c r="X13" s="46">
        <v>231</v>
      </c>
      <c r="Y13" s="46">
        <v>225</v>
      </c>
      <c r="Z13" s="46">
        <v>241</v>
      </c>
      <c r="AA13" s="46">
        <v>262</v>
      </c>
      <c r="AB13" s="46">
        <v>295</v>
      </c>
      <c r="AC13" s="46">
        <v>276</v>
      </c>
      <c r="AD13" s="46">
        <v>283</v>
      </c>
      <c r="AE13" s="1">
        <v>263</v>
      </c>
      <c r="AF13" s="1">
        <v>219</v>
      </c>
      <c r="AG13" s="1">
        <v>231</v>
      </c>
      <c r="AH13" s="1">
        <v>232</v>
      </c>
      <c r="AI13" s="1">
        <v>279</v>
      </c>
      <c r="AJ13" s="57">
        <v>53</v>
      </c>
      <c r="AK13" s="46">
        <v>64</v>
      </c>
      <c r="AL13" s="46">
        <f>37+25</f>
        <v>62</v>
      </c>
      <c r="AM13" s="46">
        <f>38+28</f>
        <v>66</v>
      </c>
      <c r="AN13" s="46">
        <v>59</v>
      </c>
      <c r="AO13" s="46">
        <v>49</v>
      </c>
      <c r="AP13" s="46">
        <v>71</v>
      </c>
      <c r="AQ13" s="46">
        <v>135</v>
      </c>
      <c r="AR13" s="46">
        <v>120</v>
      </c>
      <c r="AS13" s="46">
        <v>137</v>
      </c>
      <c r="AT13" s="46">
        <v>177</v>
      </c>
      <c r="AU13" s="46">
        <v>155</v>
      </c>
      <c r="AV13" s="57">
        <v>64</v>
      </c>
      <c r="AW13" s="46">
        <f>37+25</f>
        <v>62</v>
      </c>
      <c r="AX13" s="46">
        <f>38+28</f>
        <v>66</v>
      </c>
      <c r="AY13" s="46">
        <v>59</v>
      </c>
      <c r="AZ13" s="46">
        <v>49</v>
      </c>
      <c r="BA13" s="46">
        <v>71</v>
      </c>
      <c r="BB13" s="46">
        <v>135</v>
      </c>
      <c r="BC13" s="46">
        <v>120</v>
      </c>
      <c r="BD13" s="46">
        <v>137</v>
      </c>
      <c r="BE13" s="46">
        <v>177</v>
      </c>
      <c r="BF13" s="46">
        <v>155</v>
      </c>
      <c r="BG13" s="57">
        <f t="shared" si="17"/>
        <v>64</v>
      </c>
      <c r="BH13" s="46">
        <f t="shared" si="18"/>
        <v>59</v>
      </c>
      <c r="BI13" s="46">
        <f t="shared" si="19"/>
        <v>49</v>
      </c>
      <c r="BJ13" s="46">
        <f t="shared" si="20"/>
        <v>71</v>
      </c>
      <c r="BK13" s="46">
        <f t="shared" si="21"/>
        <v>135</v>
      </c>
      <c r="BL13" s="46">
        <f t="shared" si="22"/>
        <v>120</v>
      </c>
      <c r="BM13" s="46">
        <f t="shared" si="23"/>
        <v>137</v>
      </c>
      <c r="BN13" s="46">
        <f t="shared" si="24"/>
        <v>177</v>
      </c>
      <c r="BO13" s="46">
        <f t="shared" si="25"/>
        <v>155</v>
      </c>
      <c r="BP13" s="46">
        <v>128</v>
      </c>
      <c r="BQ13" s="46">
        <v>121</v>
      </c>
      <c r="BR13" s="46">
        <v>126</v>
      </c>
      <c r="BS13" s="46">
        <v>158</v>
      </c>
      <c r="BT13" s="46">
        <v>152</v>
      </c>
      <c r="BU13" s="46">
        <v>144</v>
      </c>
      <c r="BV13" s="46">
        <v>145</v>
      </c>
      <c r="BW13" s="46">
        <v>145</v>
      </c>
      <c r="BX13" s="1">
        <v>146</v>
      </c>
      <c r="BY13" s="1">
        <v>158</v>
      </c>
      <c r="BZ13" s="1">
        <v>204</v>
      </c>
      <c r="CA13" s="1">
        <v>163</v>
      </c>
      <c r="CB13" s="1">
        <v>61</v>
      </c>
      <c r="CC13" s="1">
        <v>139</v>
      </c>
      <c r="CD13" s="1">
        <v>136</v>
      </c>
      <c r="CE13" s="1">
        <v>143</v>
      </c>
      <c r="CF13" s="1">
        <v>145</v>
      </c>
      <c r="CG13" s="8">
        <v>149</v>
      </c>
    </row>
    <row r="14" spans="1:85" ht="12.75">
      <c r="A14" s="42" t="s">
        <v>26</v>
      </c>
      <c r="B14" s="57">
        <v>49</v>
      </c>
      <c r="C14" s="46">
        <v>48</v>
      </c>
      <c r="D14" s="46">
        <v>54</v>
      </c>
      <c r="E14" s="46"/>
      <c r="F14" s="46">
        <v>54</v>
      </c>
      <c r="G14" s="46">
        <v>102</v>
      </c>
      <c r="H14" s="46">
        <f>(41+39)+(6+2)</f>
        <v>88</v>
      </c>
      <c r="I14" s="46">
        <f>26+51+8+2</f>
        <v>87</v>
      </c>
      <c r="J14" s="46">
        <v>98</v>
      </c>
      <c r="K14" s="46">
        <v>133</v>
      </c>
      <c r="L14" s="46">
        <v>121</v>
      </c>
      <c r="M14" s="46">
        <v>156</v>
      </c>
      <c r="N14" s="46">
        <v>109</v>
      </c>
      <c r="O14" s="46">
        <v>139</v>
      </c>
      <c r="P14" s="46">
        <v>154</v>
      </c>
      <c r="Q14" s="46">
        <v>130</v>
      </c>
      <c r="R14" s="46">
        <v>118</v>
      </c>
      <c r="S14" s="46">
        <v>131</v>
      </c>
      <c r="T14" s="46">
        <v>121</v>
      </c>
      <c r="U14" s="46">
        <v>122</v>
      </c>
      <c r="V14" s="46">
        <v>151</v>
      </c>
      <c r="W14" s="46">
        <v>123</v>
      </c>
      <c r="X14" s="46">
        <v>122</v>
      </c>
      <c r="Y14" s="46">
        <v>123</v>
      </c>
      <c r="Z14" s="46">
        <v>110</v>
      </c>
      <c r="AA14" s="46">
        <v>146</v>
      </c>
      <c r="AB14" s="46">
        <v>176</v>
      </c>
      <c r="AC14" s="46">
        <v>165</v>
      </c>
      <c r="AD14" s="46">
        <v>177</v>
      </c>
      <c r="AE14" s="1">
        <v>165</v>
      </c>
      <c r="AF14" s="1">
        <v>214</v>
      </c>
      <c r="AG14" s="1">
        <v>241</v>
      </c>
      <c r="AH14" s="1">
        <v>254</v>
      </c>
      <c r="AI14" s="1">
        <v>221</v>
      </c>
      <c r="AJ14" s="57">
        <v>0</v>
      </c>
      <c r="AK14" s="46"/>
      <c r="AL14" s="46"/>
      <c r="AM14" s="46"/>
      <c r="AN14" s="46"/>
      <c r="AO14" s="46"/>
      <c r="AP14" s="46"/>
      <c r="AQ14" s="46"/>
      <c r="AR14" s="46"/>
      <c r="AS14" s="46"/>
      <c r="AT14" s="46"/>
      <c r="AU14" s="46"/>
      <c r="AV14" s="57"/>
      <c r="AW14" s="46"/>
      <c r="AX14" s="46"/>
      <c r="AY14" s="46"/>
      <c r="AZ14" s="46"/>
      <c r="BA14" s="46"/>
      <c r="BB14" s="46"/>
      <c r="BC14" s="46"/>
      <c r="BD14" s="46"/>
      <c r="BE14" s="46"/>
      <c r="BF14" s="46"/>
      <c r="BG14" s="57"/>
      <c r="BH14" s="46"/>
      <c r="BI14" s="46"/>
      <c r="BJ14" s="46"/>
      <c r="BK14" s="46"/>
      <c r="BL14" s="46"/>
      <c r="BM14" s="46"/>
      <c r="BN14" s="46"/>
      <c r="BO14" s="46"/>
      <c r="BP14" s="46"/>
      <c r="BQ14" s="46"/>
      <c r="BR14" s="46"/>
      <c r="BS14" s="46">
        <v>3</v>
      </c>
      <c r="BT14" s="46">
        <v>1</v>
      </c>
      <c r="BU14" s="46">
        <v>3</v>
      </c>
      <c r="BV14" s="46">
        <v>7</v>
      </c>
      <c r="BW14" s="46">
        <v>4</v>
      </c>
      <c r="BX14" s="1">
        <v>6</v>
      </c>
      <c r="BY14" s="1">
        <v>4</v>
      </c>
      <c r="BZ14" s="1">
        <v>30</v>
      </c>
      <c r="CA14" s="1">
        <v>24</v>
      </c>
      <c r="CB14" s="1">
        <v>24</v>
      </c>
      <c r="CC14" s="1">
        <v>22</v>
      </c>
      <c r="CD14" s="1">
        <v>86</v>
      </c>
      <c r="CE14" s="1">
        <v>51</v>
      </c>
      <c r="CF14" s="1">
        <v>61</v>
      </c>
      <c r="CG14" s="8">
        <v>65</v>
      </c>
    </row>
    <row r="15" spans="1:85" ht="12.75">
      <c r="A15" s="42" t="s">
        <v>27</v>
      </c>
      <c r="B15" s="57">
        <v>14</v>
      </c>
      <c r="C15" s="46">
        <v>18</v>
      </c>
      <c r="D15" s="46">
        <v>29</v>
      </c>
      <c r="E15" s="46">
        <v>7</v>
      </c>
      <c r="F15" s="46">
        <v>34</v>
      </c>
      <c r="G15" s="46">
        <v>23</v>
      </c>
      <c r="H15" s="46">
        <f>(4+9)+(5+1)</f>
        <v>19</v>
      </c>
      <c r="I15" s="46">
        <f>3+5+3+6</f>
        <v>17</v>
      </c>
      <c r="J15" s="46">
        <v>27</v>
      </c>
      <c r="K15" s="46">
        <v>24</v>
      </c>
      <c r="L15" s="46">
        <v>31</v>
      </c>
      <c r="M15" s="46">
        <v>16</v>
      </c>
      <c r="N15" s="46">
        <v>27</v>
      </c>
      <c r="O15" s="46">
        <v>24</v>
      </c>
      <c r="P15" s="46">
        <v>39</v>
      </c>
      <c r="Q15" s="46">
        <v>33</v>
      </c>
      <c r="R15" s="46">
        <v>31</v>
      </c>
      <c r="S15" s="46">
        <v>38</v>
      </c>
      <c r="T15" s="46">
        <v>39</v>
      </c>
      <c r="U15" s="46">
        <v>44</v>
      </c>
      <c r="V15" s="46">
        <v>31</v>
      </c>
      <c r="W15" s="46">
        <v>55</v>
      </c>
      <c r="X15" s="46">
        <v>40</v>
      </c>
      <c r="Y15" s="46">
        <v>63</v>
      </c>
      <c r="Z15" s="46">
        <v>49</v>
      </c>
      <c r="AA15" s="46">
        <v>68</v>
      </c>
      <c r="AB15" s="46">
        <v>61</v>
      </c>
      <c r="AC15" s="46">
        <v>61</v>
      </c>
      <c r="AD15" s="46">
        <v>76</v>
      </c>
      <c r="AE15" s="1">
        <v>65</v>
      </c>
      <c r="AF15" s="1">
        <v>80</v>
      </c>
      <c r="AG15" s="1">
        <v>82</v>
      </c>
      <c r="AH15" s="1">
        <v>69</v>
      </c>
      <c r="AI15" s="1">
        <v>82</v>
      </c>
      <c r="AJ15" s="57">
        <v>0</v>
      </c>
      <c r="AK15" s="46"/>
      <c r="AL15" s="46"/>
      <c r="AM15" s="46"/>
      <c r="AN15" s="46"/>
      <c r="AO15" s="46"/>
      <c r="AP15" s="46"/>
      <c r="AQ15" s="46"/>
      <c r="AR15" s="46"/>
      <c r="AS15" s="46"/>
      <c r="AT15" s="46"/>
      <c r="AU15" s="46"/>
      <c r="AV15" s="57"/>
      <c r="AW15" s="46"/>
      <c r="AX15" s="46"/>
      <c r="AY15" s="46"/>
      <c r="AZ15" s="46"/>
      <c r="BA15" s="46"/>
      <c r="BB15" s="46"/>
      <c r="BC15" s="46"/>
      <c r="BD15" s="46"/>
      <c r="BE15" s="46"/>
      <c r="BF15" s="46"/>
      <c r="BG15" s="57"/>
      <c r="BH15" s="46"/>
      <c r="BI15" s="46"/>
      <c r="BJ15" s="46"/>
      <c r="BK15" s="46"/>
      <c r="BL15" s="46"/>
      <c r="BM15" s="46"/>
      <c r="BN15" s="46"/>
      <c r="BO15" s="46"/>
      <c r="BP15" s="46"/>
      <c r="BQ15" s="46"/>
      <c r="BR15" s="46"/>
      <c r="BS15" s="46"/>
      <c r="BT15" s="46"/>
      <c r="BU15" s="46"/>
      <c r="BV15" s="46"/>
      <c r="BW15" s="46"/>
      <c r="BY15" s="1">
        <v>0</v>
      </c>
      <c r="BZ15" s="1">
        <v>0</v>
      </c>
      <c r="CB15" s="1">
        <v>0</v>
      </c>
      <c r="CG15" s="8">
        <v>1</v>
      </c>
    </row>
    <row r="16" spans="1:85" ht="12.75">
      <c r="A16" s="42" t="s">
        <v>28</v>
      </c>
      <c r="B16" s="57">
        <v>81</v>
      </c>
      <c r="C16" s="46">
        <v>103</v>
      </c>
      <c r="D16" s="46">
        <v>106</v>
      </c>
      <c r="E16" s="46">
        <v>104</v>
      </c>
      <c r="F16" s="46">
        <f>75+41</f>
        <v>116</v>
      </c>
      <c r="G16" s="46">
        <v>126</v>
      </c>
      <c r="H16" s="46">
        <f>(34+41)+(27+12)</f>
        <v>114</v>
      </c>
      <c r="I16" s="46">
        <f>26+39+17+11</f>
        <v>93</v>
      </c>
      <c r="J16" s="46">
        <v>132</v>
      </c>
      <c r="K16" s="46">
        <v>161</v>
      </c>
      <c r="L16" s="46">
        <v>150</v>
      </c>
      <c r="M16" s="46">
        <v>170</v>
      </c>
      <c r="N16" s="46">
        <v>177</v>
      </c>
      <c r="O16" s="46">
        <v>170</v>
      </c>
      <c r="P16" s="46">
        <v>188</v>
      </c>
      <c r="Q16" s="46">
        <v>214</v>
      </c>
      <c r="R16" s="46">
        <v>197</v>
      </c>
      <c r="S16" s="46">
        <v>215</v>
      </c>
      <c r="T16" s="46">
        <v>235</v>
      </c>
      <c r="U16" s="46">
        <v>239</v>
      </c>
      <c r="V16" s="46">
        <v>280</v>
      </c>
      <c r="W16" s="46">
        <v>232</v>
      </c>
      <c r="X16" s="46">
        <v>214</v>
      </c>
      <c r="Y16" s="46">
        <v>249</v>
      </c>
      <c r="Z16" s="46">
        <v>243</v>
      </c>
      <c r="AA16" s="46">
        <v>271</v>
      </c>
      <c r="AB16" s="46">
        <v>290</v>
      </c>
      <c r="AC16" s="46">
        <v>314</v>
      </c>
      <c r="AD16" s="46">
        <v>360</v>
      </c>
      <c r="AE16" s="1">
        <v>245</v>
      </c>
      <c r="AF16" s="1">
        <v>292</v>
      </c>
      <c r="AG16" s="1">
        <v>268</v>
      </c>
      <c r="AH16" s="1">
        <v>300</v>
      </c>
      <c r="AI16" s="1">
        <v>321</v>
      </c>
      <c r="AJ16" s="57">
        <v>41</v>
      </c>
      <c r="AK16" s="46">
        <v>46</v>
      </c>
      <c r="AL16" s="46">
        <f>12+16</f>
        <v>28</v>
      </c>
      <c r="AM16" s="46">
        <f>11+20</f>
        <v>31</v>
      </c>
      <c r="AN16" s="46">
        <v>49</v>
      </c>
      <c r="AO16" s="46">
        <v>47</v>
      </c>
      <c r="AP16" s="46">
        <v>46</v>
      </c>
      <c r="AQ16" s="46">
        <v>54</v>
      </c>
      <c r="AR16" s="46">
        <v>64</v>
      </c>
      <c r="AS16" s="46">
        <v>59</v>
      </c>
      <c r="AT16" s="46">
        <v>55</v>
      </c>
      <c r="AU16" s="46">
        <v>76</v>
      </c>
      <c r="AV16" s="57">
        <v>46</v>
      </c>
      <c r="AW16" s="46">
        <f>12+16</f>
        <v>28</v>
      </c>
      <c r="AX16" s="46">
        <f>11+20</f>
        <v>31</v>
      </c>
      <c r="AY16" s="46">
        <v>49</v>
      </c>
      <c r="AZ16" s="46">
        <v>47</v>
      </c>
      <c r="BA16" s="46">
        <v>46</v>
      </c>
      <c r="BB16" s="46">
        <v>54</v>
      </c>
      <c r="BC16" s="46">
        <v>64</v>
      </c>
      <c r="BD16" s="46">
        <v>59</v>
      </c>
      <c r="BE16" s="46">
        <v>55</v>
      </c>
      <c r="BF16" s="46">
        <v>76</v>
      </c>
      <c r="BG16" s="57">
        <f t="shared" si="17"/>
        <v>46</v>
      </c>
      <c r="BH16" s="46">
        <f t="shared" si="18"/>
        <v>49</v>
      </c>
      <c r="BI16" s="46">
        <f t="shared" si="19"/>
        <v>47</v>
      </c>
      <c r="BJ16" s="46">
        <f t="shared" si="20"/>
        <v>46</v>
      </c>
      <c r="BK16" s="46">
        <f t="shared" si="21"/>
        <v>54</v>
      </c>
      <c r="BL16" s="46">
        <f t="shared" si="22"/>
        <v>64</v>
      </c>
      <c r="BM16" s="46">
        <f t="shared" si="23"/>
        <v>59</v>
      </c>
      <c r="BN16" s="46">
        <f t="shared" si="24"/>
        <v>55</v>
      </c>
      <c r="BO16" s="46">
        <f t="shared" si="25"/>
        <v>76</v>
      </c>
      <c r="BP16" s="46">
        <v>56</v>
      </c>
      <c r="BQ16" s="46">
        <v>70</v>
      </c>
      <c r="BR16" s="46">
        <v>80</v>
      </c>
      <c r="BS16" s="46">
        <v>76</v>
      </c>
      <c r="BT16" s="46">
        <v>111</v>
      </c>
      <c r="BU16" s="46">
        <v>58</v>
      </c>
      <c r="BV16" s="46">
        <v>54</v>
      </c>
      <c r="BW16" s="46">
        <v>83</v>
      </c>
      <c r="BX16" s="1">
        <v>77</v>
      </c>
      <c r="BY16" s="1">
        <v>93</v>
      </c>
      <c r="BZ16" s="1">
        <v>89</v>
      </c>
      <c r="CA16" s="1">
        <v>62</v>
      </c>
      <c r="CB16" s="1">
        <v>95</v>
      </c>
      <c r="CC16" s="1">
        <v>87</v>
      </c>
      <c r="CD16" s="1">
        <v>112</v>
      </c>
      <c r="CE16" s="1">
        <v>76</v>
      </c>
      <c r="CF16" s="1">
        <v>79</v>
      </c>
      <c r="CG16" s="8">
        <v>79</v>
      </c>
    </row>
    <row r="17" spans="1:85" ht="12.75">
      <c r="A17" s="42" t="s">
        <v>29</v>
      </c>
      <c r="B17" s="57"/>
      <c r="C17" s="46"/>
      <c r="D17" s="46"/>
      <c r="E17" s="46">
        <v>15</v>
      </c>
      <c r="F17" s="46">
        <v>17</v>
      </c>
      <c r="G17" s="46">
        <v>15</v>
      </c>
      <c r="H17" s="46">
        <f>(7+7)+(3+3)</f>
        <v>20</v>
      </c>
      <c r="I17" s="46">
        <f>11+10+2+2</f>
        <v>25</v>
      </c>
      <c r="J17" s="46">
        <v>27</v>
      </c>
      <c r="K17" s="46">
        <v>28</v>
      </c>
      <c r="L17" s="46">
        <v>35</v>
      </c>
      <c r="M17" s="46">
        <v>18</v>
      </c>
      <c r="N17" s="46">
        <v>8</v>
      </c>
      <c r="O17" s="46">
        <v>20</v>
      </c>
      <c r="P17" s="46">
        <v>40</v>
      </c>
      <c r="Q17" s="46">
        <v>37</v>
      </c>
      <c r="R17" s="46">
        <v>51</v>
      </c>
      <c r="S17" s="46">
        <v>44</v>
      </c>
      <c r="T17" s="46">
        <v>43</v>
      </c>
      <c r="U17" s="46">
        <v>47</v>
      </c>
      <c r="V17" s="46">
        <v>46</v>
      </c>
      <c r="W17" s="46">
        <v>48</v>
      </c>
      <c r="X17" s="46">
        <v>34</v>
      </c>
      <c r="Y17" s="46">
        <v>37</v>
      </c>
      <c r="Z17" s="46">
        <v>25</v>
      </c>
      <c r="AA17" s="46">
        <v>38</v>
      </c>
      <c r="AB17" s="46">
        <v>38</v>
      </c>
      <c r="AC17" s="46">
        <v>37</v>
      </c>
      <c r="AD17" s="46">
        <v>23</v>
      </c>
      <c r="AE17" s="1">
        <v>27</v>
      </c>
      <c r="AF17" s="1">
        <v>41</v>
      </c>
      <c r="AG17" s="1">
        <v>24</v>
      </c>
      <c r="AH17" s="1">
        <v>37</v>
      </c>
      <c r="AI17" s="1">
        <v>38</v>
      </c>
      <c r="AJ17" s="57">
        <v>0</v>
      </c>
      <c r="AK17" s="46"/>
      <c r="AL17" s="46"/>
      <c r="AM17" s="46"/>
      <c r="AN17" s="46"/>
      <c r="AO17" s="46"/>
      <c r="AP17" s="46"/>
      <c r="AQ17" s="46"/>
      <c r="AR17" s="46"/>
      <c r="AS17" s="46"/>
      <c r="AT17" s="46"/>
      <c r="AU17" s="46"/>
      <c r="AV17" s="57"/>
      <c r="AW17" s="46"/>
      <c r="AX17" s="46"/>
      <c r="AY17" s="46"/>
      <c r="AZ17" s="46"/>
      <c r="BA17" s="46"/>
      <c r="BB17" s="46"/>
      <c r="BC17" s="46">
        <v>0</v>
      </c>
      <c r="BD17" s="46">
        <v>0</v>
      </c>
      <c r="BE17" s="46">
        <v>0</v>
      </c>
      <c r="BF17" s="46"/>
      <c r="BG17" s="57">
        <f t="shared" si="17"/>
        <v>0</v>
      </c>
      <c r="BH17" s="46">
        <f t="shared" si="18"/>
        <v>0</v>
      </c>
      <c r="BI17" s="46">
        <f t="shared" si="19"/>
        <v>0</v>
      </c>
      <c r="BJ17" s="46">
        <f t="shared" si="20"/>
        <v>0</v>
      </c>
      <c r="BK17" s="46">
        <f t="shared" si="21"/>
        <v>0</v>
      </c>
      <c r="BL17" s="46">
        <f t="shared" si="22"/>
        <v>0</v>
      </c>
      <c r="BM17" s="46">
        <f t="shared" si="23"/>
        <v>0</v>
      </c>
      <c r="BN17" s="46">
        <f t="shared" si="24"/>
        <v>0</v>
      </c>
      <c r="BO17" s="46">
        <f t="shared" si="25"/>
        <v>0</v>
      </c>
      <c r="BP17" s="46"/>
      <c r="BQ17" s="46"/>
      <c r="BR17" s="46"/>
      <c r="BS17" s="46"/>
      <c r="BT17" s="46"/>
      <c r="BU17" s="46"/>
      <c r="BV17" s="46"/>
      <c r="BW17" s="46">
        <v>4</v>
      </c>
      <c r="BX17" s="1">
        <v>4</v>
      </c>
      <c r="BY17" s="1">
        <v>2</v>
      </c>
      <c r="BZ17" s="1">
        <v>6</v>
      </c>
      <c r="CA17" s="1">
        <v>12</v>
      </c>
      <c r="CB17" s="1">
        <v>6</v>
      </c>
      <c r="CC17" s="1">
        <v>2</v>
      </c>
      <c r="CD17" s="1">
        <v>2</v>
      </c>
      <c r="CF17" s="1">
        <v>1</v>
      </c>
      <c r="CG17" s="8">
        <v>2</v>
      </c>
    </row>
    <row r="18" spans="1:85" ht="12.75">
      <c r="A18" s="42" t="s">
        <v>30</v>
      </c>
      <c r="B18" s="57">
        <v>11</v>
      </c>
      <c r="C18" s="46">
        <v>24</v>
      </c>
      <c r="D18" s="46">
        <v>23</v>
      </c>
      <c r="E18" s="46">
        <v>15</v>
      </c>
      <c r="F18" s="46">
        <v>12</v>
      </c>
      <c r="G18" s="46">
        <v>21</v>
      </c>
      <c r="H18" s="46">
        <f>(7+8)+(4+2)</f>
        <v>21</v>
      </c>
      <c r="I18" s="46">
        <f>12+7+5+1</f>
        <v>25</v>
      </c>
      <c r="J18" s="46">
        <v>44</v>
      </c>
      <c r="K18" s="46">
        <v>32</v>
      </c>
      <c r="L18" s="46">
        <v>33</v>
      </c>
      <c r="M18" s="46">
        <v>39</v>
      </c>
      <c r="N18" s="46">
        <v>48</v>
      </c>
      <c r="O18" s="46">
        <v>50</v>
      </c>
      <c r="P18" s="46">
        <v>52</v>
      </c>
      <c r="Q18" s="46">
        <v>69</v>
      </c>
      <c r="R18" s="46">
        <v>64</v>
      </c>
      <c r="S18" s="46">
        <v>71</v>
      </c>
      <c r="T18" s="46">
        <v>71</v>
      </c>
      <c r="U18" s="46">
        <v>72</v>
      </c>
      <c r="V18" s="46">
        <v>81</v>
      </c>
      <c r="W18" s="46">
        <v>68</v>
      </c>
      <c r="X18" s="46">
        <v>88</v>
      </c>
      <c r="Y18" s="46">
        <v>74</v>
      </c>
      <c r="Z18" s="46">
        <v>69</v>
      </c>
      <c r="AA18" s="46">
        <v>65</v>
      </c>
      <c r="AB18" s="46">
        <v>77</v>
      </c>
      <c r="AC18" s="46">
        <v>99</v>
      </c>
      <c r="AD18" s="46">
        <v>84</v>
      </c>
      <c r="AE18" s="1">
        <v>94</v>
      </c>
      <c r="AF18" s="1">
        <v>100</v>
      </c>
      <c r="AG18" s="1">
        <v>107</v>
      </c>
      <c r="AH18" s="1">
        <v>131</v>
      </c>
      <c r="AI18" s="1">
        <v>120</v>
      </c>
      <c r="AJ18" s="57">
        <v>0</v>
      </c>
      <c r="AK18" s="46"/>
      <c r="AL18" s="46">
        <v>0</v>
      </c>
      <c r="AM18" s="46">
        <v>0</v>
      </c>
      <c r="AN18" s="46"/>
      <c r="AO18" s="46"/>
      <c r="AP18" s="46"/>
      <c r="AQ18" s="46"/>
      <c r="AR18" s="46"/>
      <c r="AS18" s="46"/>
      <c r="AT18" s="46"/>
      <c r="AU18" s="46"/>
      <c r="AV18" s="57"/>
      <c r="AW18" s="46"/>
      <c r="AX18" s="46"/>
      <c r="AY18" s="46"/>
      <c r="AZ18" s="46"/>
      <c r="BA18" s="46"/>
      <c r="BB18" s="46"/>
      <c r="BC18" s="46"/>
      <c r="BD18" s="46"/>
      <c r="BE18" s="46"/>
      <c r="BF18" s="46"/>
      <c r="BG18" s="57">
        <f t="shared" si="17"/>
        <v>0</v>
      </c>
      <c r="BH18" s="46">
        <f t="shared" si="18"/>
        <v>0</v>
      </c>
      <c r="BI18" s="46">
        <f t="shared" si="19"/>
        <v>0</v>
      </c>
      <c r="BJ18" s="46">
        <f t="shared" si="20"/>
        <v>0</v>
      </c>
      <c r="BK18" s="46">
        <f t="shared" si="21"/>
        <v>0</v>
      </c>
      <c r="BL18" s="46">
        <f t="shared" si="22"/>
        <v>0</v>
      </c>
      <c r="BM18" s="46">
        <f t="shared" si="23"/>
        <v>0</v>
      </c>
      <c r="BN18" s="46">
        <f t="shared" si="24"/>
        <v>0</v>
      </c>
      <c r="BO18" s="46">
        <f t="shared" si="25"/>
        <v>0</v>
      </c>
      <c r="BP18" s="46"/>
      <c r="BQ18" s="46"/>
      <c r="BR18" s="46"/>
      <c r="BS18" s="46"/>
      <c r="BT18" s="46"/>
      <c r="BU18" s="46"/>
      <c r="BV18" s="46"/>
      <c r="BW18" s="46"/>
      <c r="BY18" s="1">
        <v>0</v>
      </c>
      <c r="BZ18" s="1">
        <v>5</v>
      </c>
      <c r="CB18" s="1">
        <v>0</v>
      </c>
      <c r="CC18" s="1">
        <v>4</v>
      </c>
      <c r="CD18" s="1">
        <v>11</v>
      </c>
      <c r="CF18" s="1">
        <v>5</v>
      </c>
      <c r="CG18" s="8">
        <v>15</v>
      </c>
    </row>
    <row r="19" spans="1:85" ht="12.75">
      <c r="A19" s="42" t="s">
        <v>31</v>
      </c>
      <c r="B19" s="57">
        <v>132</v>
      </c>
      <c r="C19" s="46">
        <v>155</v>
      </c>
      <c r="D19" s="46">
        <v>142</v>
      </c>
      <c r="E19" s="46">
        <v>172</v>
      </c>
      <c r="F19" s="46">
        <f>44+103</f>
        <v>147</v>
      </c>
      <c r="G19" s="46">
        <v>117</v>
      </c>
      <c r="H19" s="46">
        <f>(7+16)+(59+29)</f>
        <v>111</v>
      </c>
      <c r="I19" s="46">
        <f>13+13+59+46</f>
        <v>131</v>
      </c>
      <c r="J19" s="46">
        <v>129</v>
      </c>
      <c r="K19" s="46">
        <v>153</v>
      </c>
      <c r="L19" s="46">
        <v>157</v>
      </c>
      <c r="M19" s="46">
        <v>170</v>
      </c>
      <c r="N19" s="46">
        <v>180</v>
      </c>
      <c r="O19" s="46">
        <v>201</v>
      </c>
      <c r="P19" s="46">
        <v>222</v>
      </c>
      <c r="Q19" s="46">
        <v>211</v>
      </c>
      <c r="R19" s="46">
        <v>205</v>
      </c>
      <c r="S19" s="46">
        <v>214</v>
      </c>
      <c r="T19" s="46">
        <v>199</v>
      </c>
      <c r="U19" s="46">
        <v>197</v>
      </c>
      <c r="V19" s="46">
        <v>231</v>
      </c>
      <c r="W19" s="46">
        <v>234</v>
      </c>
      <c r="X19" s="46">
        <v>233</v>
      </c>
      <c r="Y19" s="46">
        <v>227</v>
      </c>
      <c r="Z19" s="46">
        <v>265</v>
      </c>
      <c r="AA19" s="46">
        <v>258</v>
      </c>
      <c r="AB19" s="46">
        <v>236</v>
      </c>
      <c r="AC19" s="46">
        <v>253</v>
      </c>
      <c r="AD19" s="46">
        <v>277</v>
      </c>
      <c r="AE19" s="1">
        <v>275</v>
      </c>
      <c r="AF19" s="1">
        <v>246</v>
      </c>
      <c r="AG19" s="1">
        <v>281</v>
      </c>
      <c r="AH19" s="1">
        <v>294</v>
      </c>
      <c r="AI19" s="1">
        <v>274</v>
      </c>
      <c r="AJ19" s="57">
        <v>103</v>
      </c>
      <c r="AK19" s="46">
        <v>68</v>
      </c>
      <c r="AL19" s="46">
        <f>46+22</f>
        <v>68</v>
      </c>
      <c r="AM19" s="46">
        <f>45+36</f>
        <v>81</v>
      </c>
      <c r="AN19" s="46">
        <v>54</v>
      </c>
      <c r="AO19" s="46">
        <v>74</v>
      </c>
      <c r="AP19" s="46">
        <v>69</v>
      </c>
      <c r="AQ19" s="46">
        <v>82</v>
      </c>
      <c r="AR19" s="46">
        <v>95</v>
      </c>
      <c r="AS19" s="46">
        <v>91</v>
      </c>
      <c r="AT19" s="46">
        <v>116</v>
      </c>
      <c r="AU19" s="46">
        <v>93</v>
      </c>
      <c r="AV19" s="57">
        <v>68</v>
      </c>
      <c r="AW19" s="46">
        <f>46+22</f>
        <v>68</v>
      </c>
      <c r="AX19" s="46">
        <f>45+36</f>
        <v>81</v>
      </c>
      <c r="AY19" s="46">
        <v>54</v>
      </c>
      <c r="AZ19" s="46">
        <v>74</v>
      </c>
      <c r="BA19" s="46">
        <v>69</v>
      </c>
      <c r="BB19" s="46">
        <v>82</v>
      </c>
      <c r="BC19" s="46">
        <v>95</v>
      </c>
      <c r="BD19" s="46">
        <v>91</v>
      </c>
      <c r="BE19" s="46">
        <v>116</v>
      </c>
      <c r="BF19" s="46">
        <v>93</v>
      </c>
      <c r="BG19" s="57">
        <f t="shared" si="17"/>
        <v>68</v>
      </c>
      <c r="BH19" s="46">
        <f t="shared" si="18"/>
        <v>54</v>
      </c>
      <c r="BI19" s="46">
        <f t="shared" si="19"/>
        <v>74</v>
      </c>
      <c r="BJ19" s="46">
        <f t="shared" si="20"/>
        <v>69</v>
      </c>
      <c r="BK19" s="46">
        <f t="shared" si="21"/>
        <v>82</v>
      </c>
      <c r="BL19" s="46">
        <f t="shared" si="22"/>
        <v>95</v>
      </c>
      <c r="BM19" s="46">
        <f t="shared" si="23"/>
        <v>91</v>
      </c>
      <c r="BN19" s="46">
        <f t="shared" si="24"/>
        <v>116</v>
      </c>
      <c r="BO19" s="46">
        <f t="shared" si="25"/>
        <v>93</v>
      </c>
      <c r="BP19" s="46">
        <v>72</v>
      </c>
      <c r="BQ19" s="46">
        <v>88</v>
      </c>
      <c r="BR19" s="46">
        <v>77</v>
      </c>
      <c r="BS19" s="46">
        <v>90</v>
      </c>
      <c r="BT19" s="46">
        <v>88</v>
      </c>
      <c r="BU19" s="46">
        <v>97</v>
      </c>
      <c r="BV19" s="46">
        <v>100</v>
      </c>
      <c r="BW19" s="46">
        <v>113</v>
      </c>
      <c r="BX19" s="1">
        <v>130</v>
      </c>
      <c r="BY19" s="1">
        <v>127</v>
      </c>
      <c r="BZ19" s="1">
        <v>116</v>
      </c>
      <c r="CA19" s="1">
        <v>116</v>
      </c>
      <c r="CB19" s="1">
        <v>124</v>
      </c>
      <c r="CC19" s="1">
        <v>122</v>
      </c>
      <c r="CD19" s="1">
        <v>109</v>
      </c>
      <c r="CE19" s="1">
        <v>115</v>
      </c>
      <c r="CF19" s="1">
        <v>132</v>
      </c>
      <c r="CG19" s="8">
        <v>117</v>
      </c>
    </row>
    <row r="20" spans="1:85" ht="12.75">
      <c r="A20" s="42" t="s">
        <v>32</v>
      </c>
      <c r="B20" s="57">
        <v>118</v>
      </c>
      <c r="C20" s="46">
        <v>113</v>
      </c>
      <c r="D20" s="46">
        <v>136</v>
      </c>
      <c r="E20" s="46">
        <v>141</v>
      </c>
      <c r="F20" s="46">
        <f>104+46</f>
        <v>150</v>
      </c>
      <c r="G20" s="46">
        <v>157</v>
      </c>
      <c r="H20" s="46">
        <f>(30+43)+(24+13)</f>
        <v>110</v>
      </c>
      <c r="I20" s="46">
        <f>46+35+21+12</f>
        <v>114</v>
      </c>
      <c r="J20" s="46">
        <v>231</v>
      </c>
      <c r="K20" s="46">
        <v>269</v>
      </c>
      <c r="L20" s="46">
        <v>282</v>
      </c>
      <c r="M20" s="46">
        <v>270</v>
      </c>
      <c r="N20" s="46">
        <v>333</v>
      </c>
      <c r="O20" s="46">
        <v>310</v>
      </c>
      <c r="P20" s="46">
        <v>322</v>
      </c>
      <c r="Q20" s="46">
        <v>365</v>
      </c>
      <c r="R20" s="46">
        <v>389</v>
      </c>
      <c r="S20" s="46">
        <v>345</v>
      </c>
      <c r="T20" s="46">
        <v>378</v>
      </c>
      <c r="U20" s="46">
        <v>319</v>
      </c>
      <c r="V20" s="46">
        <v>392</v>
      </c>
      <c r="W20" s="46">
        <v>400</v>
      </c>
      <c r="X20" s="46">
        <v>400</v>
      </c>
      <c r="Y20" s="46">
        <v>390</v>
      </c>
      <c r="Z20" s="46">
        <v>411</v>
      </c>
      <c r="AA20" s="46">
        <v>397</v>
      </c>
      <c r="AB20" s="46">
        <v>402</v>
      </c>
      <c r="AC20" s="46">
        <v>397</v>
      </c>
      <c r="AD20" s="46">
        <v>408</v>
      </c>
      <c r="AE20" s="1">
        <v>409</v>
      </c>
      <c r="AF20" s="1">
        <v>391</v>
      </c>
      <c r="AG20" s="1">
        <v>462</v>
      </c>
      <c r="AH20" s="1">
        <v>496</v>
      </c>
      <c r="AI20" s="1">
        <v>560</v>
      </c>
      <c r="AJ20" s="57">
        <v>46</v>
      </c>
      <c r="AK20" s="46">
        <v>34</v>
      </c>
      <c r="AL20" s="46">
        <v>0</v>
      </c>
      <c r="AM20" s="46">
        <f>22+14</f>
        <v>36</v>
      </c>
      <c r="AN20" s="46">
        <v>71</v>
      </c>
      <c r="AO20" s="46">
        <v>106</v>
      </c>
      <c r="AP20" s="46">
        <v>120</v>
      </c>
      <c r="AQ20" s="46">
        <v>120</v>
      </c>
      <c r="AR20" s="46">
        <v>143</v>
      </c>
      <c r="AS20" s="46">
        <v>123</v>
      </c>
      <c r="AT20" s="46">
        <v>94</v>
      </c>
      <c r="AU20" s="46">
        <v>128</v>
      </c>
      <c r="AV20" s="57">
        <v>34</v>
      </c>
      <c r="AW20" s="46">
        <v>0</v>
      </c>
      <c r="AX20" s="46">
        <f>22+14</f>
        <v>36</v>
      </c>
      <c r="AY20" s="46">
        <v>71</v>
      </c>
      <c r="AZ20" s="46">
        <v>106</v>
      </c>
      <c r="BA20" s="46">
        <v>120</v>
      </c>
      <c r="BB20" s="46">
        <v>120</v>
      </c>
      <c r="BC20" s="46">
        <v>143</v>
      </c>
      <c r="BD20" s="46">
        <v>123</v>
      </c>
      <c r="BE20" s="46">
        <v>94</v>
      </c>
      <c r="BF20" s="46">
        <v>128</v>
      </c>
      <c r="BG20" s="57">
        <f t="shared" si="17"/>
        <v>34</v>
      </c>
      <c r="BH20" s="46">
        <f t="shared" si="18"/>
        <v>71</v>
      </c>
      <c r="BI20" s="46">
        <f t="shared" si="19"/>
        <v>106</v>
      </c>
      <c r="BJ20" s="46">
        <f t="shared" si="20"/>
        <v>120</v>
      </c>
      <c r="BK20" s="46">
        <f t="shared" si="21"/>
        <v>120</v>
      </c>
      <c r="BL20" s="46">
        <f t="shared" si="22"/>
        <v>143</v>
      </c>
      <c r="BM20" s="46">
        <f t="shared" si="23"/>
        <v>123</v>
      </c>
      <c r="BN20" s="46">
        <f t="shared" si="24"/>
        <v>94</v>
      </c>
      <c r="BO20" s="46">
        <f t="shared" si="25"/>
        <v>128</v>
      </c>
      <c r="BP20" s="46">
        <v>192</v>
      </c>
      <c r="BQ20" s="46">
        <v>154</v>
      </c>
      <c r="BR20" s="46">
        <v>144</v>
      </c>
      <c r="BS20" s="46">
        <v>106</v>
      </c>
      <c r="BT20" s="46">
        <v>183</v>
      </c>
      <c r="BU20" s="46">
        <v>154</v>
      </c>
      <c r="BV20" s="46">
        <v>152</v>
      </c>
      <c r="BW20" s="46">
        <v>114</v>
      </c>
      <c r="BX20" s="1">
        <v>125</v>
      </c>
      <c r="BY20" s="1">
        <v>121</v>
      </c>
      <c r="BZ20" s="1">
        <v>142</v>
      </c>
      <c r="CA20" s="1">
        <v>140</v>
      </c>
      <c r="CB20" s="1">
        <v>121</v>
      </c>
      <c r="CC20" s="1">
        <v>121</v>
      </c>
      <c r="CD20" s="1">
        <v>108</v>
      </c>
      <c r="CE20" s="1">
        <v>154</v>
      </c>
      <c r="CF20" s="1">
        <v>139</v>
      </c>
      <c r="CG20" s="8">
        <v>183</v>
      </c>
    </row>
    <row r="21" spans="1:85" ht="12.75">
      <c r="A21" s="42" t="s">
        <v>33</v>
      </c>
      <c r="B21" s="57">
        <v>49</v>
      </c>
      <c r="C21" s="46">
        <v>59</v>
      </c>
      <c r="D21" s="46">
        <v>74</v>
      </c>
      <c r="E21" s="46">
        <v>46</v>
      </c>
      <c r="F21" s="46">
        <f>55+27</f>
        <v>82</v>
      </c>
      <c r="G21" s="46">
        <v>96</v>
      </c>
      <c r="H21" s="46">
        <f>(37+27)+(30+11)</f>
        <v>105</v>
      </c>
      <c r="I21" s="46">
        <f>43+30+25+19</f>
        <v>117</v>
      </c>
      <c r="J21" s="46">
        <v>87</v>
      </c>
      <c r="K21" s="46">
        <v>142</v>
      </c>
      <c r="L21" s="46">
        <v>161</v>
      </c>
      <c r="M21" s="46">
        <v>167</v>
      </c>
      <c r="N21" s="46">
        <v>185</v>
      </c>
      <c r="O21" s="46">
        <v>170</v>
      </c>
      <c r="P21" s="46">
        <v>159</v>
      </c>
      <c r="Q21" s="46">
        <v>221</v>
      </c>
      <c r="R21" s="46">
        <v>216</v>
      </c>
      <c r="S21" s="46">
        <v>300</v>
      </c>
      <c r="T21" s="46">
        <v>292</v>
      </c>
      <c r="U21" s="46">
        <v>261</v>
      </c>
      <c r="V21" s="46">
        <v>315</v>
      </c>
      <c r="W21" s="46">
        <v>251</v>
      </c>
      <c r="X21" s="46">
        <v>348</v>
      </c>
      <c r="Y21" s="46">
        <v>196</v>
      </c>
      <c r="Z21" s="46">
        <v>222</v>
      </c>
      <c r="AA21" s="46">
        <v>311</v>
      </c>
      <c r="AB21" s="46">
        <v>243</v>
      </c>
      <c r="AC21" s="46">
        <v>269</v>
      </c>
      <c r="AD21" s="46">
        <v>282</v>
      </c>
      <c r="AE21" s="1">
        <v>264</v>
      </c>
      <c r="AF21" s="1">
        <v>260</v>
      </c>
      <c r="AG21" s="1">
        <v>253</v>
      </c>
      <c r="AH21" s="1">
        <v>279</v>
      </c>
      <c r="AI21" s="1">
        <v>299</v>
      </c>
      <c r="AJ21" s="57">
        <v>27</v>
      </c>
      <c r="AK21" s="46">
        <v>24</v>
      </c>
      <c r="AL21" s="46">
        <f>25+3</f>
        <v>28</v>
      </c>
      <c r="AM21" s="46">
        <f>18+11</f>
        <v>29</v>
      </c>
      <c r="AN21" s="46"/>
      <c r="AO21" s="46">
        <v>31</v>
      </c>
      <c r="AP21" s="46">
        <v>34</v>
      </c>
      <c r="AQ21" s="46">
        <v>43</v>
      </c>
      <c r="AR21" s="46">
        <v>40</v>
      </c>
      <c r="AS21" s="46">
        <v>36</v>
      </c>
      <c r="AT21" s="46"/>
      <c r="AU21" s="46">
        <v>81</v>
      </c>
      <c r="AV21" s="57">
        <v>24</v>
      </c>
      <c r="AW21" s="46">
        <f>25+3</f>
        <v>28</v>
      </c>
      <c r="AX21" s="46">
        <f>18+11</f>
        <v>29</v>
      </c>
      <c r="AY21" s="46"/>
      <c r="AZ21" s="46">
        <v>31</v>
      </c>
      <c r="BA21" s="46">
        <v>34</v>
      </c>
      <c r="BB21" s="46">
        <v>43</v>
      </c>
      <c r="BC21" s="46">
        <v>40</v>
      </c>
      <c r="BD21" s="46">
        <v>36</v>
      </c>
      <c r="BE21" s="46"/>
      <c r="BF21" s="46">
        <v>81</v>
      </c>
      <c r="BG21" s="57">
        <f t="shared" si="17"/>
        <v>24</v>
      </c>
      <c r="BH21" s="46">
        <f t="shared" si="18"/>
        <v>0</v>
      </c>
      <c r="BI21" s="46">
        <f t="shared" si="19"/>
        <v>31</v>
      </c>
      <c r="BJ21" s="46">
        <f t="shared" si="20"/>
        <v>34</v>
      </c>
      <c r="BK21" s="46">
        <f t="shared" si="21"/>
        <v>43</v>
      </c>
      <c r="BL21" s="46">
        <f t="shared" si="22"/>
        <v>40</v>
      </c>
      <c r="BM21" s="46">
        <f t="shared" si="23"/>
        <v>36</v>
      </c>
      <c r="BN21" s="46">
        <f t="shared" si="24"/>
        <v>0</v>
      </c>
      <c r="BO21" s="46">
        <f t="shared" si="25"/>
        <v>81</v>
      </c>
      <c r="BP21" s="46">
        <v>84</v>
      </c>
      <c r="BQ21" s="46">
        <v>131</v>
      </c>
      <c r="BR21" s="46">
        <v>138</v>
      </c>
      <c r="BS21" s="46">
        <v>135</v>
      </c>
      <c r="BT21" s="46">
        <v>152</v>
      </c>
      <c r="BU21" s="46">
        <v>102</v>
      </c>
      <c r="BV21" s="46">
        <v>139</v>
      </c>
      <c r="BW21" s="46">
        <v>55</v>
      </c>
      <c r="BX21" s="1">
        <v>51</v>
      </c>
      <c r="BY21" s="1">
        <v>59</v>
      </c>
      <c r="BZ21" s="1">
        <v>55</v>
      </c>
      <c r="CA21" s="1">
        <v>72</v>
      </c>
      <c r="CB21" s="1">
        <v>64</v>
      </c>
      <c r="CC21" s="1">
        <v>67</v>
      </c>
      <c r="CD21" s="1">
        <v>74</v>
      </c>
      <c r="CE21" s="1">
        <v>51</v>
      </c>
      <c r="CF21" s="1">
        <v>59</v>
      </c>
      <c r="CG21" s="8">
        <v>52</v>
      </c>
    </row>
    <row r="22" spans="1:85" ht="12.75">
      <c r="A22" s="47" t="s">
        <v>34</v>
      </c>
      <c r="B22" s="58">
        <v>6</v>
      </c>
      <c r="C22" s="48">
        <v>6</v>
      </c>
      <c r="D22" s="48">
        <v>9</v>
      </c>
      <c r="E22" s="48">
        <v>3</v>
      </c>
      <c r="F22" s="48">
        <v>3</v>
      </c>
      <c r="G22" s="48">
        <v>4</v>
      </c>
      <c r="H22" s="48">
        <f>(14+4)</f>
        <v>18</v>
      </c>
      <c r="I22" s="48">
        <f>1+2</f>
        <v>3</v>
      </c>
      <c r="J22" s="48">
        <v>7</v>
      </c>
      <c r="K22" s="48">
        <v>10</v>
      </c>
      <c r="L22" s="48">
        <v>9</v>
      </c>
      <c r="M22" s="48">
        <v>7</v>
      </c>
      <c r="N22" s="48">
        <v>16</v>
      </c>
      <c r="O22" s="48">
        <v>9</v>
      </c>
      <c r="P22" s="48">
        <v>6</v>
      </c>
      <c r="Q22" s="48">
        <v>8</v>
      </c>
      <c r="R22" s="48">
        <v>13</v>
      </c>
      <c r="S22" s="48">
        <v>11</v>
      </c>
      <c r="T22" s="48">
        <v>10</v>
      </c>
      <c r="U22" s="48">
        <v>8</v>
      </c>
      <c r="V22" s="48">
        <v>7</v>
      </c>
      <c r="W22" s="48">
        <v>17</v>
      </c>
      <c r="X22" s="48">
        <v>16</v>
      </c>
      <c r="Y22" s="48">
        <v>16</v>
      </c>
      <c r="Z22" s="48">
        <v>24</v>
      </c>
      <c r="AA22" s="48">
        <v>23</v>
      </c>
      <c r="AB22" s="48">
        <v>20</v>
      </c>
      <c r="AC22" s="48">
        <v>16</v>
      </c>
      <c r="AD22" s="48">
        <v>16</v>
      </c>
      <c r="AE22" s="3">
        <v>27</v>
      </c>
      <c r="AF22" s="3">
        <v>30</v>
      </c>
      <c r="AG22" s="3">
        <v>38</v>
      </c>
      <c r="AH22" s="3">
        <v>36</v>
      </c>
      <c r="AI22" s="3">
        <v>66</v>
      </c>
      <c r="AJ22" s="58"/>
      <c r="AK22" s="48"/>
      <c r="AL22" s="48"/>
      <c r="AM22" s="48"/>
      <c r="AN22" s="48"/>
      <c r="AO22" s="48"/>
      <c r="AP22" s="48"/>
      <c r="AQ22" s="48"/>
      <c r="AR22" s="48"/>
      <c r="AS22" s="48"/>
      <c r="AT22" s="48"/>
      <c r="AU22" s="48"/>
      <c r="AV22" s="58"/>
      <c r="AW22" s="48">
        <v>0</v>
      </c>
      <c r="AX22" s="48">
        <v>0</v>
      </c>
      <c r="AY22" s="48"/>
      <c r="AZ22" s="48"/>
      <c r="BA22" s="48"/>
      <c r="BB22" s="48"/>
      <c r="BC22" s="48"/>
      <c r="BD22" s="48"/>
      <c r="BE22" s="48"/>
      <c r="BF22" s="48"/>
      <c r="BG22" s="58">
        <f t="shared" si="17"/>
        <v>0</v>
      </c>
      <c r="BH22" s="48">
        <f t="shared" si="18"/>
        <v>0</v>
      </c>
      <c r="BI22" s="48">
        <f t="shared" si="19"/>
        <v>0</v>
      </c>
      <c r="BJ22" s="48">
        <f t="shared" si="20"/>
        <v>0</v>
      </c>
      <c r="BK22" s="48">
        <f t="shared" si="21"/>
        <v>0</v>
      </c>
      <c r="BL22" s="48">
        <f t="shared" si="22"/>
        <v>0</v>
      </c>
      <c r="BM22" s="48">
        <f t="shared" si="23"/>
        <v>0</v>
      </c>
      <c r="BN22" s="48">
        <f t="shared" si="24"/>
        <v>0</v>
      </c>
      <c r="BO22" s="48">
        <f t="shared" si="25"/>
        <v>0</v>
      </c>
      <c r="BP22" s="48"/>
      <c r="BQ22" s="48"/>
      <c r="BR22" s="48"/>
      <c r="BS22" s="48"/>
      <c r="BT22" s="48"/>
      <c r="BU22" s="48"/>
      <c r="BV22" s="48"/>
      <c r="BW22" s="48"/>
      <c r="BY22" s="1">
        <v>0</v>
      </c>
      <c r="BZ22" s="1">
        <v>0</v>
      </c>
      <c r="CB22" s="1">
        <v>0</v>
      </c>
      <c r="CC22" s="3"/>
      <c r="CD22" s="3"/>
      <c r="CE22" s="3"/>
      <c r="CF22" s="3"/>
      <c r="CG22" s="159"/>
    </row>
    <row r="23" spans="1:85" ht="12.75">
      <c r="A23" s="42" t="s">
        <v>35</v>
      </c>
      <c r="B23" s="55">
        <f t="shared" ref="B23:BV23" si="26">SUM(B25:B37)</f>
        <v>0</v>
      </c>
      <c r="C23" s="43">
        <f t="shared" si="26"/>
        <v>0</v>
      </c>
      <c r="D23" s="43">
        <f t="shared" si="26"/>
        <v>0</v>
      </c>
      <c r="E23" s="43">
        <f t="shared" si="26"/>
        <v>0</v>
      </c>
      <c r="F23" s="43">
        <f t="shared" si="26"/>
        <v>0</v>
      </c>
      <c r="G23" s="43">
        <f t="shared" si="26"/>
        <v>460</v>
      </c>
      <c r="H23" s="43">
        <f t="shared" si="26"/>
        <v>0</v>
      </c>
      <c r="I23" s="43">
        <f t="shared" si="26"/>
        <v>0</v>
      </c>
      <c r="J23" s="43">
        <f t="shared" si="26"/>
        <v>393</v>
      </c>
      <c r="K23" s="43">
        <f t="shared" si="26"/>
        <v>440</v>
      </c>
      <c r="L23" s="43">
        <f t="shared" si="26"/>
        <v>415</v>
      </c>
      <c r="M23" s="43">
        <f t="shared" si="26"/>
        <v>444</v>
      </c>
      <c r="N23" s="43">
        <f t="shared" si="26"/>
        <v>435</v>
      </c>
      <c r="O23" s="43">
        <f t="shared" si="26"/>
        <v>536</v>
      </c>
      <c r="P23" s="43">
        <f t="shared" si="26"/>
        <v>451</v>
      </c>
      <c r="Q23" s="43">
        <f t="shared" si="26"/>
        <v>420</v>
      </c>
      <c r="R23" s="43">
        <f t="shared" si="26"/>
        <v>431</v>
      </c>
      <c r="S23" s="43">
        <f t="shared" si="26"/>
        <v>447</v>
      </c>
      <c r="T23" s="43">
        <f t="shared" si="26"/>
        <v>474</v>
      </c>
      <c r="U23" s="43">
        <f t="shared" si="26"/>
        <v>414</v>
      </c>
      <c r="V23" s="43">
        <f t="shared" si="26"/>
        <v>454</v>
      </c>
      <c r="W23" s="43">
        <f t="shared" si="26"/>
        <v>391</v>
      </c>
      <c r="X23" s="43">
        <f t="shared" si="26"/>
        <v>455</v>
      </c>
      <c r="Y23" s="43">
        <f>SUM(Y25:Y37)</f>
        <v>452</v>
      </c>
      <c r="Z23" s="43">
        <f>SUM(Z25:Z37)</f>
        <v>520</v>
      </c>
      <c r="AA23" s="43">
        <f>SUM(AA25:AA37)</f>
        <v>502</v>
      </c>
      <c r="AB23" s="43">
        <f>SUM(AB25:AB37)</f>
        <v>557</v>
      </c>
      <c r="AC23" s="43">
        <f t="shared" ref="AC23:AD23" si="27">SUM(AC25:AC37)</f>
        <v>568</v>
      </c>
      <c r="AD23" s="43">
        <f t="shared" si="27"/>
        <v>577</v>
      </c>
      <c r="AE23" s="43">
        <f t="shared" ref="AE23:AF23" si="28">SUM(AE25:AE37)</f>
        <v>591</v>
      </c>
      <c r="AF23" s="43">
        <f t="shared" si="28"/>
        <v>636</v>
      </c>
      <c r="AG23" s="43">
        <f>SUM(AG25:AG37)</f>
        <v>633</v>
      </c>
      <c r="AH23" s="43">
        <f>SUM(AH25:AH37)</f>
        <v>708</v>
      </c>
      <c r="AI23" s="43">
        <f>SUM(AI25:AI37)</f>
        <v>813</v>
      </c>
      <c r="AJ23" s="55">
        <f t="shared" si="26"/>
        <v>0</v>
      </c>
      <c r="AK23" s="43">
        <f t="shared" si="26"/>
        <v>0</v>
      </c>
      <c r="AL23" s="43">
        <f t="shared" si="26"/>
        <v>0</v>
      </c>
      <c r="AM23" s="43">
        <f t="shared" si="26"/>
        <v>0</v>
      </c>
      <c r="AN23" s="43">
        <f t="shared" si="26"/>
        <v>12</v>
      </c>
      <c r="AO23" s="43">
        <f t="shared" si="26"/>
        <v>15</v>
      </c>
      <c r="AP23" s="43">
        <f t="shared" si="26"/>
        <v>15</v>
      </c>
      <c r="AQ23" s="43">
        <f t="shared" si="26"/>
        <v>0</v>
      </c>
      <c r="AR23" s="43">
        <f t="shared" si="26"/>
        <v>0</v>
      </c>
      <c r="AS23" s="43">
        <f t="shared" si="26"/>
        <v>0</v>
      </c>
      <c r="AT23" s="43">
        <f t="shared" si="26"/>
        <v>0</v>
      </c>
      <c r="AU23" s="43">
        <f t="shared" si="26"/>
        <v>0</v>
      </c>
      <c r="AV23" s="55">
        <f t="shared" si="26"/>
        <v>0</v>
      </c>
      <c r="AW23" s="43">
        <f t="shared" si="26"/>
        <v>0</v>
      </c>
      <c r="AX23" s="43">
        <f t="shared" si="26"/>
        <v>0</v>
      </c>
      <c r="AY23" s="43">
        <f t="shared" si="26"/>
        <v>0</v>
      </c>
      <c r="AZ23" s="43">
        <f t="shared" si="26"/>
        <v>0</v>
      </c>
      <c r="BA23" s="43">
        <f t="shared" si="26"/>
        <v>0</v>
      </c>
      <c r="BB23" s="43">
        <f t="shared" si="26"/>
        <v>0</v>
      </c>
      <c r="BC23" s="43">
        <f t="shared" si="26"/>
        <v>0</v>
      </c>
      <c r="BD23" s="43">
        <f t="shared" si="26"/>
        <v>0</v>
      </c>
      <c r="BE23" s="43">
        <f t="shared" si="26"/>
        <v>0</v>
      </c>
      <c r="BF23" s="43">
        <f t="shared" si="26"/>
        <v>0</v>
      </c>
      <c r="BG23" s="55">
        <f t="shared" si="26"/>
        <v>0</v>
      </c>
      <c r="BH23" s="43">
        <f t="shared" si="26"/>
        <v>12</v>
      </c>
      <c r="BI23" s="43">
        <f t="shared" si="26"/>
        <v>15</v>
      </c>
      <c r="BJ23" s="43">
        <f t="shared" si="26"/>
        <v>15</v>
      </c>
      <c r="BK23" s="43">
        <f t="shared" si="26"/>
        <v>0</v>
      </c>
      <c r="BL23" s="43">
        <f t="shared" si="26"/>
        <v>0</v>
      </c>
      <c r="BM23" s="43">
        <f t="shared" si="26"/>
        <v>0</v>
      </c>
      <c r="BN23" s="43">
        <f t="shared" si="26"/>
        <v>0</v>
      </c>
      <c r="BO23" s="43">
        <f t="shared" si="26"/>
        <v>0</v>
      </c>
      <c r="BP23" s="43">
        <f t="shared" si="26"/>
        <v>13</v>
      </c>
      <c r="BQ23" s="43">
        <f t="shared" si="26"/>
        <v>0</v>
      </c>
      <c r="BR23" s="43">
        <f t="shared" si="26"/>
        <v>9</v>
      </c>
      <c r="BS23" s="43">
        <f t="shared" si="26"/>
        <v>13</v>
      </c>
      <c r="BT23" s="43">
        <f t="shared" si="26"/>
        <v>5</v>
      </c>
      <c r="BU23" s="43">
        <f t="shared" si="26"/>
        <v>6</v>
      </c>
      <c r="BV23" s="43">
        <f t="shared" si="26"/>
        <v>0</v>
      </c>
      <c r="BW23" s="43">
        <f>SUM(BW25:BW37)</f>
        <v>2</v>
      </c>
      <c r="BX23" s="43">
        <f>SUM(BX25:BX37)</f>
        <v>0</v>
      </c>
      <c r="BY23" s="43">
        <f>SUM(BY25:BY37)</f>
        <v>0</v>
      </c>
      <c r="BZ23" s="43">
        <f>SUM(BZ25:BZ37)</f>
        <v>0</v>
      </c>
      <c r="CA23" s="43">
        <f t="shared" ref="CA23:CB23" si="29">SUM(CA25:CA37)</f>
        <v>0</v>
      </c>
      <c r="CB23" s="43">
        <f t="shared" si="29"/>
        <v>0</v>
      </c>
      <c r="CC23" s="43">
        <f t="shared" ref="CC23:CD23" si="30">SUM(CC25:CC37)</f>
        <v>0</v>
      </c>
      <c r="CD23" s="43">
        <f t="shared" si="30"/>
        <v>6</v>
      </c>
      <c r="CE23" s="43">
        <f>SUM(CE25:CE37)</f>
        <v>0</v>
      </c>
      <c r="CF23" s="43">
        <f>SUM(CF25:CF37)</f>
        <v>0</v>
      </c>
      <c r="CG23" s="43">
        <f>SUM(CG25:CG37)</f>
        <v>0</v>
      </c>
    </row>
    <row r="24" spans="1:85" ht="12.75">
      <c r="A24" s="44" t="s">
        <v>131</v>
      </c>
      <c r="B24" s="56">
        <f t="shared" ref="B24:BV24" si="31">(B23/B4)*100</f>
        <v>0</v>
      </c>
      <c r="C24" s="45">
        <f t="shared" si="31"/>
        <v>0</v>
      </c>
      <c r="D24" s="45">
        <f t="shared" si="31"/>
        <v>0</v>
      </c>
      <c r="E24" s="45">
        <f t="shared" si="31"/>
        <v>0</v>
      </c>
      <c r="F24" s="45">
        <f t="shared" si="31"/>
        <v>0</v>
      </c>
      <c r="G24" s="45">
        <f t="shared" si="31"/>
        <v>13.784836679652383</v>
      </c>
      <c r="H24" s="45">
        <f t="shared" si="31"/>
        <v>0</v>
      </c>
      <c r="I24" s="45">
        <f t="shared" si="31"/>
        <v>0</v>
      </c>
      <c r="J24" s="45">
        <f t="shared" si="31"/>
        <v>11.03312745648512</v>
      </c>
      <c r="K24" s="45">
        <f t="shared" si="31"/>
        <v>10.808155244411692</v>
      </c>
      <c r="L24" s="45">
        <f t="shared" si="31"/>
        <v>9.595375722543352</v>
      </c>
      <c r="M24" s="45">
        <f t="shared" si="31"/>
        <v>9.5422308188265639</v>
      </c>
      <c r="N24" s="45">
        <f t="shared" si="31"/>
        <v>8.8630806845965768</v>
      </c>
      <c r="O24" s="45">
        <f t="shared" si="31"/>
        <v>10.345493148040919</v>
      </c>
      <c r="P24" s="45">
        <f t="shared" si="31"/>
        <v>8.426756352765322</v>
      </c>
      <c r="Q24" s="45">
        <f t="shared" si="31"/>
        <v>7.8622238861849496</v>
      </c>
      <c r="R24" s="45">
        <f t="shared" si="31"/>
        <v>7.9682011462377522</v>
      </c>
      <c r="S24" s="45">
        <f t="shared" si="31"/>
        <v>7.9325643300798578</v>
      </c>
      <c r="T24" s="45">
        <f t="shared" si="31"/>
        <v>7.9343823234014064</v>
      </c>
      <c r="U24" s="45">
        <f t="shared" si="31"/>
        <v>7.0636410168913155</v>
      </c>
      <c r="V24" s="45">
        <f t="shared" si="31"/>
        <v>7.5128247559159353</v>
      </c>
      <c r="W24" s="45">
        <f t="shared" si="31"/>
        <v>6.6769125683060109</v>
      </c>
      <c r="X24" s="45">
        <f t="shared" si="31"/>
        <v>7.5020610057708161</v>
      </c>
      <c r="Y24" s="45">
        <f>(Y23/Y4)*100</f>
        <v>7.5838926174496644</v>
      </c>
      <c r="Z24" s="45">
        <f>(Z23/Z4)*100</f>
        <v>8.502289077828646</v>
      </c>
      <c r="AA24" s="45">
        <f>(AA23/AA4)*100</f>
        <v>7.6187585369555322</v>
      </c>
      <c r="AB24" s="45">
        <f>(AB23/AB4)*100</f>
        <v>8.3709047189660346</v>
      </c>
      <c r="AC24" s="45">
        <f t="shared" ref="AC24:AF24" si="32">(AC23/AC4)*100</f>
        <v>8.5042671058541703</v>
      </c>
      <c r="AD24" s="45">
        <f t="shared" si="32"/>
        <v>8.1936949730190296</v>
      </c>
      <c r="AE24" s="45">
        <f t="shared" si="32"/>
        <v>8.5838779956427018</v>
      </c>
      <c r="AF24" s="45">
        <f t="shared" si="32"/>
        <v>8.991941184787219</v>
      </c>
      <c r="AG24" s="45">
        <f>(AG23/AG4)*100</f>
        <v>8.6475409836065573</v>
      </c>
      <c r="AH24" s="45">
        <f>(AH23/AH4)*100</f>
        <v>9.346534653465346</v>
      </c>
      <c r="AI24" s="45">
        <f>(AI23/AI4)*100</f>
        <v>10.132103688933199</v>
      </c>
      <c r="AJ24" s="56">
        <f t="shared" si="31"/>
        <v>0</v>
      </c>
      <c r="AK24" s="45">
        <f t="shared" si="31"/>
        <v>0</v>
      </c>
      <c r="AL24" s="45">
        <f t="shared" si="31"/>
        <v>0</v>
      </c>
      <c r="AM24" s="45">
        <f t="shared" si="31"/>
        <v>0</v>
      </c>
      <c r="AN24" s="45">
        <f t="shared" si="31"/>
        <v>2.6030368763557483</v>
      </c>
      <c r="AO24" s="45">
        <f t="shared" si="31"/>
        <v>2.3364485981308412</v>
      </c>
      <c r="AP24" s="45">
        <f t="shared" si="31"/>
        <v>2.1337126600284493</v>
      </c>
      <c r="AQ24" s="45">
        <f t="shared" si="31"/>
        <v>0</v>
      </c>
      <c r="AR24" s="45">
        <f t="shared" si="31"/>
        <v>0</v>
      </c>
      <c r="AS24" s="45">
        <f t="shared" si="31"/>
        <v>0</v>
      </c>
      <c r="AT24" s="45">
        <f t="shared" si="31"/>
        <v>0</v>
      </c>
      <c r="AU24" s="45">
        <f t="shared" si="31"/>
        <v>0</v>
      </c>
      <c r="AV24" s="56">
        <f t="shared" si="31"/>
        <v>0</v>
      </c>
      <c r="AW24" s="45">
        <f t="shared" si="31"/>
        <v>0</v>
      </c>
      <c r="AX24" s="45">
        <f t="shared" si="31"/>
        <v>0</v>
      </c>
      <c r="AY24" s="45">
        <f t="shared" si="31"/>
        <v>0</v>
      </c>
      <c r="AZ24" s="45">
        <f t="shared" si="31"/>
        <v>0</v>
      </c>
      <c r="BA24" s="45">
        <f t="shared" si="31"/>
        <v>0</v>
      </c>
      <c r="BB24" s="45">
        <f t="shared" si="31"/>
        <v>0</v>
      </c>
      <c r="BC24" s="45">
        <f t="shared" si="31"/>
        <v>0</v>
      </c>
      <c r="BD24" s="45">
        <f t="shared" si="31"/>
        <v>0</v>
      </c>
      <c r="BE24" s="45">
        <f t="shared" si="31"/>
        <v>0</v>
      </c>
      <c r="BF24" s="45">
        <f t="shared" si="31"/>
        <v>0</v>
      </c>
      <c r="BG24" s="56">
        <f t="shared" si="31"/>
        <v>0</v>
      </c>
      <c r="BH24" s="45">
        <f t="shared" si="31"/>
        <v>2.6030368763557483</v>
      </c>
      <c r="BI24" s="45">
        <f t="shared" si="31"/>
        <v>2.3364485981308412</v>
      </c>
      <c r="BJ24" s="45">
        <f t="shared" si="31"/>
        <v>2.1337126600284493</v>
      </c>
      <c r="BK24" s="45">
        <f t="shared" si="31"/>
        <v>0</v>
      </c>
      <c r="BL24" s="45">
        <f t="shared" si="31"/>
        <v>0</v>
      </c>
      <c r="BM24" s="45">
        <f t="shared" si="31"/>
        <v>0</v>
      </c>
      <c r="BN24" s="45">
        <f t="shared" si="31"/>
        <v>0</v>
      </c>
      <c r="BO24" s="45">
        <f t="shared" si="31"/>
        <v>0</v>
      </c>
      <c r="BP24" s="45">
        <f t="shared" si="31"/>
        <v>1.2037037037037037</v>
      </c>
      <c r="BQ24" s="45">
        <f t="shared" si="31"/>
        <v>0</v>
      </c>
      <c r="BR24" s="45">
        <f t="shared" si="31"/>
        <v>0.71033938437253352</v>
      </c>
      <c r="BS24" s="45">
        <f t="shared" si="31"/>
        <v>1.0664479081214109</v>
      </c>
      <c r="BT24" s="45">
        <f t="shared" si="31"/>
        <v>0.38729666924864448</v>
      </c>
      <c r="BU24" s="45">
        <f t="shared" si="31"/>
        <v>0.48115477145148355</v>
      </c>
      <c r="BV24" s="45">
        <f t="shared" si="31"/>
        <v>0</v>
      </c>
      <c r="BW24" s="45">
        <f>(BW23/BW4)*100</f>
        <v>0.1773049645390071</v>
      </c>
      <c r="BX24" s="45">
        <f>(BX23/BX4)*100</f>
        <v>0</v>
      </c>
      <c r="BY24" s="45">
        <f>(BY23/BY4)*100</f>
        <v>0</v>
      </c>
      <c r="BZ24" s="45">
        <f>(BZ23/BZ4)*100</f>
        <v>0</v>
      </c>
      <c r="CA24" s="45">
        <f t="shared" ref="CA24:CD24" si="33">(CA23/CA4)*100</f>
        <v>0</v>
      </c>
      <c r="CB24" s="45">
        <f t="shared" si="33"/>
        <v>0</v>
      </c>
      <c r="CC24" s="45">
        <f t="shared" si="33"/>
        <v>0</v>
      </c>
      <c r="CD24" s="45">
        <f t="shared" si="33"/>
        <v>0.42674253200568996</v>
      </c>
      <c r="CE24" s="45">
        <f>(CE23/CE4)*100</f>
        <v>0</v>
      </c>
      <c r="CF24" s="45">
        <f>(CF23/CF4)*100</f>
        <v>0</v>
      </c>
      <c r="CG24" s="45">
        <f>(CG23/CG4)*100</f>
        <v>0</v>
      </c>
    </row>
    <row r="25" spans="1:85" ht="12.75">
      <c r="A25" s="42" t="s">
        <v>36</v>
      </c>
      <c r="B25" s="57"/>
      <c r="C25" s="46"/>
      <c r="D25" s="46"/>
      <c r="E25" s="46"/>
      <c r="F25" s="46"/>
      <c r="G25" s="46">
        <v>0</v>
      </c>
      <c r="H25" s="46"/>
      <c r="I25" s="46"/>
      <c r="J25" s="46">
        <v>0</v>
      </c>
      <c r="K25" s="46">
        <v>0</v>
      </c>
      <c r="L25" s="46">
        <v>0</v>
      </c>
      <c r="M25" s="46">
        <v>0</v>
      </c>
      <c r="N25" s="46">
        <v>0</v>
      </c>
      <c r="O25" s="46">
        <v>0</v>
      </c>
      <c r="P25" s="46">
        <v>0</v>
      </c>
      <c r="Q25" s="46">
        <v>0</v>
      </c>
      <c r="R25" s="46">
        <v>0</v>
      </c>
      <c r="S25" s="46">
        <v>0</v>
      </c>
      <c r="T25" s="46">
        <v>0</v>
      </c>
      <c r="U25" s="46"/>
      <c r="V25" s="46">
        <v>0</v>
      </c>
      <c r="W25" s="46"/>
      <c r="X25" s="46"/>
      <c r="Y25" s="46"/>
      <c r="Z25" s="46">
        <v>0</v>
      </c>
      <c r="AA25" s="46">
        <v>0</v>
      </c>
      <c r="AB25" s="46">
        <v>0</v>
      </c>
      <c r="AC25" s="46">
        <v>0</v>
      </c>
      <c r="AD25" s="46">
        <v>0</v>
      </c>
      <c r="AE25" s="1">
        <v>0</v>
      </c>
      <c r="AF25" s="1">
        <v>0</v>
      </c>
      <c r="AG25" s="1">
        <v>1</v>
      </c>
      <c r="AH25" s="1">
        <v>0</v>
      </c>
      <c r="AI25" s="1">
        <v>0</v>
      </c>
      <c r="AJ25" s="57"/>
      <c r="AK25" s="46"/>
      <c r="AL25" s="46"/>
      <c r="AM25" s="46"/>
      <c r="AN25" s="46"/>
      <c r="AO25" s="46"/>
      <c r="AP25" s="46"/>
      <c r="AQ25" s="46"/>
      <c r="AR25" s="46"/>
      <c r="AS25" s="46"/>
      <c r="AT25" s="46"/>
      <c r="AU25" s="46"/>
      <c r="AV25" s="57"/>
      <c r="AW25" s="46"/>
      <c r="AX25" s="46"/>
      <c r="AY25" s="46"/>
      <c r="AZ25" s="46"/>
      <c r="BA25" s="46"/>
      <c r="BB25" s="46"/>
      <c r="BC25" s="46"/>
      <c r="BD25" s="46"/>
      <c r="BE25" s="46"/>
      <c r="BF25" s="46"/>
      <c r="BG25" s="57">
        <f t="shared" ref="BG25:BG37" si="34">IF(AK25&gt;AV25,(AK25),(AV25))</f>
        <v>0</v>
      </c>
      <c r="BH25" s="46">
        <f t="shared" ref="BH25:BH37" si="35">IF(AN25&gt;AY25,(AN25),(AY25))</f>
        <v>0</v>
      </c>
      <c r="BI25" s="46">
        <f t="shared" ref="BI25:BI37" si="36">IF(AO25&gt;AZ25,(AO25),(AZ25))</f>
        <v>0</v>
      </c>
      <c r="BJ25" s="46">
        <f t="shared" ref="BJ25:BJ37" si="37">IF(AP25&gt;BA25,(AP25),(BA25))</f>
        <v>0</v>
      </c>
      <c r="BK25" s="46">
        <f t="shared" ref="BK25:BK37" si="38">IF(AQ25&gt;BB25,(AQ25),(BB25))</f>
        <v>0</v>
      </c>
      <c r="BL25" s="46">
        <f t="shared" ref="BL25:BL37" si="39">IF(AR25&gt;BC25,(AR25),(BC25))</f>
        <v>0</v>
      </c>
      <c r="BM25" s="46">
        <f t="shared" ref="BM25:BM37" si="40">IF(AS25&gt;BD25,(AS25),(BD25))</f>
        <v>0</v>
      </c>
      <c r="BN25" s="46">
        <f t="shared" ref="BN25:BN37" si="41">IF(AT25&gt;BE25,(AT25),(BE25))</f>
        <v>0</v>
      </c>
      <c r="BO25" s="46">
        <f t="shared" ref="BO25:BO37" si="42">IF(AU25&gt;BF25,(AU25),(BF25))</f>
        <v>0</v>
      </c>
      <c r="BP25" s="46"/>
      <c r="BQ25" s="46"/>
      <c r="BR25" s="46"/>
      <c r="BS25" s="46"/>
      <c r="BT25" s="46"/>
      <c r="BU25" s="46"/>
      <c r="BV25" s="46"/>
      <c r="BW25" s="46"/>
      <c r="BY25" s="1">
        <v>0</v>
      </c>
      <c r="BZ25" s="1">
        <v>0</v>
      </c>
      <c r="CA25" s="1">
        <v>0</v>
      </c>
      <c r="CB25" s="1">
        <v>0</v>
      </c>
      <c r="CE25" s="1">
        <v>0</v>
      </c>
      <c r="CF25" s="1">
        <v>0</v>
      </c>
      <c r="CG25" s="8" t="s">
        <v>37</v>
      </c>
    </row>
    <row r="26" spans="1:85" ht="12.75">
      <c r="A26" s="42" t="s">
        <v>38</v>
      </c>
      <c r="B26" s="57"/>
      <c r="C26" s="46"/>
      <c r="D26" s="46"/>
      <c r="E26" s="46"/>
      <c r="F26" s="46"/>
      <c r="G26" s="46">
        <v>2</v>
      </c>
      <c r="H26" s="46"/>
      <c r="I26" s="46"/>
      <c r="J26" s="46">
        <v>12</v>
      </c>
      <c r="K26" s="46">
        <v>16</v>
      </c>
      <c r="L26" s="46">
        <v>14</v>
      </c>
      <c r="M26" s="46">
        <v>23</v>
      </c>
      <c r="N26" s="46">
        <v>12</v>
      </c>
      <c r="O26" s="46">
        <v>25</v>
      </c>
      <c r="P26" s="46">
        <v>12</v>
      </c>
      <c r="Q26" s="46">
        <v>8</v>
      </c>
      <c r="R26" s="46">
        <v>23</v>
      </c>
      <c r="S26" s="46">
        <v>21</v>
      </c>
      <c r="T26" s="46">
        <v>30</v>
      </c>
      <c r="U26" s="46">
        <v>19</v>
      </c>
      <c r="V26" s="46">
        <v>26</v>
      </c>
      <c r="W26" s="46">
        <v>18</v>
      </c>
      <c r="X26" s="46">
        <v>24</v>
      </c>
      <c r="Y26" s="46">
        <v>30</v>
      </c>
      <c r="Z26" s="46">
        <v>32</v>
      </c>
      <c r="AA26" s="46">
        <v>44</v>
      </c>
      <c r="AB26" s="46">
        <v>56</v>
      </c>
      <c r="AC26" s="46">
        <v>47</v>
      </c>
      <c r="AD26" s="46">
        <v>91</v>
      </c>
      <c r="AE26" s="1">
        <v>62</v>
      </c>
      <c r="AF26" s="1">
        <v>50</v>
      </c>
      <c r="AG26" s="1">
        <v>28</v>
      </c>
      <c r="AH26" s="1">
        <v>46</v>
      </c>
      <c r="AI26" s="1">
        <v>34</v>
      </c>
      <c r="AJ26" s="57"/>
      <c r="AK26" s="46"/>
      <c r="AL26" s="46"/>
      <c r="AM26" s="46"/>
      <c r="AN26" s="46"/>
      <c r="AO26" s="46"/>
      <c r="AP26" s="46"/>
      <c r="AQ26" s="46"/>
      <c r="AR26" s="46"/>
      <c r="AS26" s="46"/>
      <c r="AT26" s="46"/>
      <c r="AU26" s="46"/>
      <c r="AV26" s="57"/>
      <c r="AW26" s="46"/>
      <c r="AX26" s="46"/>
      <c r="AY26" s="46"/>
      <c r="AZ26" s="46"/>
      <c r="BA26" s="46"/>
      <c r="BB26" s="46"/>
      <c r="BC26" s="46"/>
      <c r="BD26" s="46"/>
      <c r="BE26" s="46"/>
      <c r="BF26" s="46"/>
      <c r="BG26" s="57">
        <f t="shared" si="34"/>
        <v>0</v>
      </c>
      <c r="BH26" s="46">
        <f t="shared" si="35"/>
        <v>0</v>
      </c>
      <c r="BI26" s="46">
        <f t="shared" si="36"/>
        <v>0</v>
      </c>
      <c r="BJ26" s="46">
        <f t="shared" si="37"/>
        <v>0</v>
      </c>
      <c r="BK26" s="46">
        <f t="shared" si="38"/>
        <v>0</v>
      </c>
      <c r="BL26" s="46">
        <f t="shared" si="39"/>
        <v>0</v>
      </c>
      <c r="BM26" s="46">
        <f t="shared" si="40"/>
        <v>0</v>
      </c>
      <c r="BN26" s="46">
        <f t="shared" si="41"/>
        <v>0</v>
      </c>
      <c r="BO26" s="46">
        <f t="shared" si="42"/>
        <v>0</v>
      </c>
      <c r="BP26" s="46"/>
      <c r="BQ26" s="46"/>
      <c r="BR26" s="46"/>
      <c r="BS26" s="46"/>
      <c r="BT26" s="46"/>
      <c r="BU26" s="46"/>
      <c r="BV26" s="46"/>
      <c r="BW26" s="46"/>
      <c r="BY26" s="1">
        <v>0</v>
      </c>
      <c r="BZ26" s="1">
        <v>0</v>
      </c>
      <c r="CA26" s="1">
        <v>0</v>
      </c>
      <c r="CB26" s="1">
        <v>0</v>
      </c>
      <c r="CE26" s="1">
        <v>0</v>
      </c>
      <c r="CF26" s="1">
        <v>0</v>
      </c>
      <c r="CG26" s="8" t="s">
        <v>37</v>
      </c>
    </row>
    <row r="27" spans="1:85" ht="12.75">
      <c r="A27" s="42" t="s">
        <v>39</v>
      </c>
      <c r="B27" s="57"/>
      <c r="C27" s="46"/>
      <c r="D27" s="46"/>
      <c r="E27" s="46"/>
      <c r="F27" s="46"/>
      <c r="G27" s="46">
        <v>414</v>
      </c>
      <c r="H27" s="46"/>
      <c r="I27" s="46"/>
      <c r="J27" s="46">
        <v>332</v>
      </c>
      <c r="K27" s="46">
        <v>366</v>
      </c>
      <c r="L27" s="46">
        <v>348</v>
      </c>
      <c r="M27" s="46">
        <v>353</v>
      </c>
      <c r="N27" s="46">
        <v>353</v>
      </c>
      <c r="O27" s="46">
        <v>422</v>
      </c>
      <c r="P27" s="46">
        <v>368</v>
      </c>
      <c r="Q27" s="46">
        <v>333</v>
      </c>
      <c r="R27" s="46">
        <v>334</v>
      </c>
      <c r="S27" s="46">
        <v>336</v>
      </c>
      <c r="T27" s="46">
        <v>330</v>
      </c>
      <c r="U27" s="46">
        <v>302</v>
      </c>
      <c r="V27" s="46">
        <v>303</v>
      </c>
      <c r="W27" s="46">
        <v>283</v>
      </c>
      <c r="X27" s="46">
        <v>318</v>
      </c>
      <c r="Y27" s="46">
        <v>298</v>
      </c>
      <c r="Z27" s="46">
        <v>368</v>
      </c>
      <c r="AA27" s="46">
        <v>333</v>
      </c>
      <c r="AB27" s="46">
        <v>371</v>
      </c>
      <c r="AC27" s="46">
        <v>402</v>
      </c>
      <c r="AD27" s="46">
        <v>371</v>
      </c>
      <c r="AE27" s="1">
        <v>391</v>
      </c>
      <c r="AF27" s="1">
        <v>441</v>
      </c>
      <c r="AG27" s="1">
        <v>456</v>
      </c>
      <c r="AH27" s="1">
        <v>458</v>
      </c>
      <c r="AI27" s="1">
        <v>551</v>
      </c>
      <c r="AJ27" s="57"/>
      <c r="AK27" s="46"/>
      <c r="AL27" s="46"/>
      <c r="AM27" s="46"/>
      <c r="AN27" s="46">
        <v>12</v>
      </c>
      <c r="AO27" s="46">
        <v>15</v>
      </c>
      <c r="AP27" s="46">
        <v>15</v>
      </c>
      <c r="AQ27" s="46"/>
      <c r="AR27" s="46"/>
      <c r="AS27" s="46"/>
      <c r="AT27" s="46"/>
      <c r="AU27" s="46"/>
      <c r="AV27" s="57"/>
      <c r="AW27" s="46"/>
      <c r="AX27" s="46"/>
      <c r="AY27" s="46"/>
      <c r="AZ27" s="46"/>
      <c r="BA27" s="46"/>
      <c r="BB27" s="46"/>
      <c r="BC27" s="46"/>
      <c r="BD27" s="46"/>
      <c r="BE27" s="46"/>
      <c r="BF27" s="46"/>
      <c r="BG27" s="57">
        <f t="shared" si="34"/>
        <v>0</v>
      </c>
      <c r="BH27" s="46">
        <f t="shared" si="35"/>
        <v>12</v>
      </c>
      <c r="BI27" s="46">
        <f t="shared" si="36"/>
        <v>15</v>
      </c>
      <c r="BJ27" s="46">
        <f t="shared" si="37"/>
        <v>15</v>
      </c>
      <c r="BK27" s="46">
        <f t="shared" si="38"/>
        <v>0</v>
      </c>
      <c r="BL27" s="46">
        <f t="shared" si="39"/>
        <v>0</v>
      </c>
      <c r="BM27" s="46">
        <f t="shared" si="40"/>
        <v>0</v>
      </c>
      <c r="BN27" s="46">
        <f t="shared" si="41"/>
        <v>0</v>
      </c>
      <c r="BO27" s="46">
        <f t="shared" si="42"/>
        <v>0</v>
      </c>
      <c r="BP27" s="46">
        <v>13</v>
      </c>
      <c r="BQ27" s="46"/>
      <c r="BR27" s="46">
        <v>9</v>
      </c>
      <c r="BS27" s="46">
        <v>12</v>
      </c>
      <c r="BT27" s="46">
        <v>5</v>
      </c>
      <c r="BU27" s="46">
        <v>6</v>
      </c>
      <c r="BV27" s="46">
        <v>0</v>
      </c>
      <c r="BW27" s="46"/>
      <c r="BY27" s="1">
        <v>0</v>
      </c>
      <c r="BZ27" s="1">
        <v>0</v>
      </c>
      <c r="CA27" s="1">
        <v>0</v>
      </c>
      <c r="CB27" s="1">
        <v>0</v>
      </c>
      <c r="CD27" s="1">
        <v>6</v>
      </c>
      <c r="CE27" s="1">
        <v>0</v>
      </c>
      <c r="CF27" s="1">
        <v>0</v>
      </c>
      <c r="CG27" s="8" t="s">
        <v>37</v>
      </c>
    </row>
    <row r="28" spans="1:85" ht="12.75">
      <c r="A28" s="42" t="s">
        <v>40</v>
      </c>
      <c r="B28" s="57"/>
      <c r="C28" s="46"/>
      <c r="D28" s="46"/>
      <c r="E28" s="46"/>
      <c r="F28" s="46"/>
      <c r="G28" s="46">
        <v>20</v>
      </c>
      <c r="H28" s="46"/>
      <c r="I28" s="46"/>
      <c r="J28" s="46">
        <v>23</v>
      </c>
      <c r="K28" s="46">
        <v>18</v>
      </c>
      <c r="L28" s="46">
        <v>16</v>
      </c>
      <c r="M28" s="46">
        <v>24</v>
      </c>
      <c r="N28" s="46">
        <v>21</v>
      </c>
      <c r="O28" s="46">
        <v>24</v>
      </c>
      <c r="P28" s="46">
        <v>19</v>
      </c>
      <c r="Q28" s="46">
        <v>19</v>
      </c>
      <c r="R28" s="46">
        <v>28</v>
      </c>
      <c r="S28" s="46">
        <v>35</v>
      </c>
      <c r="T28" s="46">
        <v>45</v>
      </c>
      <c r="U28" s="46">
        <v>40</v>
      </c>
      <c r="V28" s="46">
        <v>46</v>
      </c>
      <c r="W28" s="46">
        <v>20</v>
      </c>
      <c r="X28" s="46">
        <v>36</v>
      </c>
      <c r="Y28" s="46">
        <v>40</v>
      </c>
      <c r="Z28" s="46">
        <v>20</v>
      </c>
      <c r="AA28" s="46">
        <v>41</v>
      </c>
      <c r="AB28" s="46">
        <v>43</v>
      </c>
      <c r="AC28" s="46">
        <v>36</v>
      </c>
      <c r="AD28" s="46">
        <v>27</v>
      </c>
      <c r="AE28" s="1">
        <v>40</v>
      </c>
      <c r="AF28" s="1">
        <v>31</v>
      </c>
      <c r="AG28" s="1">
        <v>40</v>
      </c>
      <c r="AH28" s="1">
        <v>82</v>
      </c>
      <c r="AI28" s="1">
        <v>70</v>
      </c>
      <c r="AJ28" s="57"/>
      <c r="AK28" s="46"/>
      <c r="AL28" s="46"/>
      <c r="AM28" s="46"/>
      <c r="AN28" s="46"/>
      <c r="AO28" s="46"/>
      <c r="AP28" s="46"/>
      <c r="AQ28" s="46"/>
      <c r="AR28" s="46"/>
      <c r="AS28" s="46"/>
      <c r="AT28" s="46"/>
      <c r="AU28" s="46"/>
      <c r="AV28" s="57"/>
      <c r="AW28" s="46"/>
      <c r="AX28" s="46"/>
      <c r="AY28" s="46"/>
      <c r="AZ28" s="46"/>
      <c r="BA28" s="46"/>
      <c r="BB28" s="46"/>
      <c r="BC28" s="46"/>
      <c r="BD28" s="46"/>
      <c r="BE28" s="46"/>
      <c r="BF28" s="46"/>
      <c r="BG28" s="57">
        <f t="shared" si="34"/>
        <v>0</v>
      </c>
      <c r="BH28" s="46">
        <f t="shared" si="35"/>
        <v>0</v>
      </c>
      <c r="BI28" s="46">
        <f t="shared" si="36"/>
        <v>0</v>
      </c>
      <c r="BJ28" s="46">
        <f t="shared" si="37"/>
        <v>0</v>
      </c>
      <c r="BK28" s="46">
        <f t="shared" si="38"/>
        <v>0</v>
      </c>
      <c r="BL28" s="46">
        <f t="shared" si="39"/>
        <v>0</v>
      </c>
      <c r="BM28" s="46">
        <f t="shared" si="40"/>
        <v>0</v>
      </c>
      <c r="BN28" s="46">
        <f t="shared" si="41"/>
        <v>0</v>
      </c>
      <c r="BO28" s="46">
        <f t="shared" si="42"/>
        <v>0</v>
      </c>
      <c r="BP28" s="46"/>
      <c r="BQ28" s="46"/>
      <c r="BR28" s="46"/>
      <c r="BS28" s="46"/>
      <c r="BT28" s="46"/>
      <c r="BU28" s="46"/>
      <c r="BV28" s="46"/>
      <c r="BW28" s="46"/>
      <c r="BY28" s="1">
        <v>0</v>
      </c>
      <c r="BZ28" s="1">
        <v>0</v>
      </c>
      <c r="CA28" s="1">
        <v>0</v>
      </c>
      <c r="CB28" s="1">
        <v>0</v>
      </c>
      <c r="CE28" s="1">
        <v>0</v>
      </c>
      <c r="CF28" s="1">
        <v>0</v>
      </c>
      <c r="CG28" s="8" t="s">
        <v>37</v>
      </c>
    </row>
    <row r="29" spans="1:85" ht="12.75">
      <c r="A29" s="42" t="s">
        <v>41</v>
      </c>
      <c r="B29" s="57"/>
      <c r="C29" s="46"/>
      <c r="D29" s="46"/>
      <c r="E29" s="46"/>
      <c r="F29" s="46"/>
      <c r="G29" s="46">
        <v>0</v>
      </c>
      <c r="H29" s="46"/>
      <c r="I29" s="46"/>
      <c r="J29" s="46">
        <v>0</v>
      </c>
      <c r="K29" s="46">
        <v>0</v>
      </c>
      <c r="L29" s="46"/>
      <c r="M29" s="46">
        <v>1</v>
      </c>
      <c r="N29" s="46">
        <v>1</v>
      </c>
      <c r="O29" s="46">
        <v>0</v>
      </c>
      <c r="P29" s="46">
        <v>1</v>
      </c>
      <c r="Q29" s="46">
        <v>0</v>
      </c>
      <c r="R29" s="46">
        <v>0</v>
      </c>
      <c r="S29" s="46">
        <v>0</v>
      </c>
      <c r="T29" s="46">
        <v>3</v>
      </c>
      <c r="U29" s="46">
        <v>3</v>
      </c>
      <c r="V29" s="46">
        <v>1</v>
      </c>
      <c r="W29" s="46">
        <v>0</v>
      </c>
      <c r="X29" s="46">
        <v>1</v>
      </c>
      <c r="Y29" s="46">
        <v>2</v>
      </c>
      <c r="Z29" s="46">
        <v>2</v>
      </c>
      <c r="AA29" s="46">
        <v>1</v>
      </c>
      <c r="AB29" s="46">
        <v>0</v>
      </c>
      <c r="AC29" s="46">
        <v>4</v>
      </c>
      <c r="AD29" s="46">
        <v>6</v>
      </c>
      <c r="AE29" s="1">
        <v>7</v>
      </c>
      <c r="AF29" s="1">
        <v>4</v>
      </c>
      <c r="AG29" s="1">
        <v>4</v>
      </c>
      <c r="AH29" s="1">
        <v>3</v>
      </c>
      <c r="AI29" s="1">
        <v>4</v>
      </c>
      <c r="AJ29" s="57"/>
      <c r="AK29" s="46"/>
      <c r="AL29" s="46"/>
      <c r="AM29" s="46"/>
      <c r="AN29" s="46"/>
      <c r="AO29" s="46"/>
      <c r="AP29" s="46"/>
      <c r="AQ29" s="46"/>
      <c r="AR29" s="46"/>
      <c r="AS29" s="46"/>
      <c r="AT29" s="46"/>
      <c r="AU29" s="46"/>
      <c r="AV29" s="57"/>
      <c r="AW29" s="46"/>
      <c r="AX29" s="46"/>
      <c r="AY29" s="46"/>
      <c r="AZ29" s="46"/>
      <c r="BA29" s="46"/>
      <c r="BB29" s="46"/>
      <c r="BC29" s="46"/>
      <c r="BD29" s="46"/>
      <c r="BE29" s="46"/>
      <c r="BF29" s="46"/>
      <c r="BG29" s="57">
        <f t="shared" si="34"/>
        <v>0</v>
      </c>
      <c r="BH29" s="46">
        <f t="shared" si="35"/>
        <v>0</v>
      </c>
      <c r="BI29" s="46">
        <f t="shared" si="36"/>
        <v>0</v>
      </c>
      <c r="BJ29" s="46">
        <f t="shared" si="37"/>
        <v>0</v>
      </c>
      <c r="BK29" s="46">
        <f t="shared" si="38"/>
        <v>0</v>
      </c>
      <c r="BL29" s="46">
        <f t="shared" si="39"/>
        <v>0</v>
      </c>
      <c r="BM29" s="46">
        <f t="shared" si="40"/>
        <v>0</v>
      </c>
      <c r="BN29" s="46">
        <f t="shared" si="41"/>
        <v>0</v>
      </c>
      <c r="BO29" s="46">
        <f t="shared" si="42"/>
        <v>0</v>
      </c>
      <c r="BP29" s="46"/>
      <c r="BQ29" s="46"/>
      <c r="BR29" s="46"/>
      <c r="BS29" s="46"/>
      <c r="BT29" s="46"/>
      <c r="BU29" s="46"/>
      <c r="BV29" s="46"/>
      <c r="BW29" s="46"/>
      <c r="BY29" s="1">
        <v>0</v>
      </c>
      <c r="BZ29" s="1">
        <v>0</v>
      </c>
      <c r="CA29" s="1">
        <v>0</v>
      </c>
      <c r="CB29" s="1">
        <v>0</v>
      </c>
      <c r="CE29" s="1">
        <v>0</v>
      </c>
      <c r="CF29" s="1">
        <v>0</v>
      </c>
      <c r="CG29" s="8" t="s">
        <v>37</v>
      </c>
    </row>
    <row r="30" spans="1:85" ht="12.75">
      <c r="A30" s="42" t="s">
        <v>42</v>
      </c>
      <c r="B30" s="57"/>
      <c r="C30" s="46"/>
      <c r="D30" s="46"/>
      <c r="E30" s="46"/>
      <c r="F30" s="46"/>
      <c r="G30" s="46">
        <v>0</v>
      </c>
      <c r="H30" s="46"/>
      <c r="I30" s="46"/>
      <c r="J30" s="46">
        <v>0</v>
      </c>
      <c r="K30" s="46">
        <v>1</v>
      </c>
      <c r="L30" s="46"/>
      <c r="M30" s="46">
        <v>0</v>
      </c>
      <c r="N30" s="46">
        <v>0</v>
      </c>
      <c r="O30" s="46">
        <v>1</v>
      </c>
      <c r="P30" s="46">
        <v>1</v>
      </c>
      <c r="Q30" s="46">
        <v>1</v>
      </c>
      <c r="R30" s="46">
        <v>1</v>
      </c>
      <c r="S30" s="46">
        <v>2</v>
      </c>
      <c r="T30" s="46">
        <v>0</v>
      </c>
      <c r="U30" s="46"/>
      <c r="V30" s="46">
        <v>3</v>
      </c>
      <c r="W30" s="46">
        <v>1</v>
      </c>
      <c r="X30" s="46">
        <v>2</v>
      </c>
      <c r="Y30" s="46">
        <v>1</v>
      </c>
      <c r="Z30" s="46">
        <v>4</v>
      </c>
      <c r="AA30" s="46">
        <v>3</v>
      </c>
      <c r="AB30" s="46">
        <v>4</v>
      </c>
      <c r="AC30" s="46">
        <v>3</v>
      </c>
      <c r="AD30" s="46">
        <v>4</v>
      </c>
      <c r="AE30" s="1">
        <v>6</v>
      </c>
      <c r="AF30" s="1">
        <v>7</v>
      </c>
      <c r="AG30" s="1">
        <v>10</v>
      </c>
      <c r="AH30" s="1">
        <v>7</v>
      </c>
      <c r="AI30" s="1">
        <v>5</v>
      </c>
      <c r="AJ30" s="57"/>
      <c r="AK30" s="46"/>
      <c r="AL30" s="46"/>
      <c r="AM30" s="46"/>
      <c r="AN30" s="46"/>
      <c r="AO30" s="46"/>
      <c r="AP30" s="46"/>
      <c r="AQ30" s="46"/>
      <c r="AR30" s="46"/>
      <c r="AS30" s="46"/>
      <c r="AT30" s="46"/>
      <c r="AU30" s="46"/>
      <c r="AV30" s="57"/>
      <c r="AW30" s="46"/>
      <c r="AX30" s="46"/>
      <c r="AY30" s="46"/>
      <c r="AZ30" s="46"/>
      <c r="BA30" s="46"/>
      <c r="BB30" s="46"/>
      <c r="BC30" s="46"/>
      <c r="BD30" s="46"/>
      <c r="BE30" s="46"/>
      <c r="BF30" s="46"/>
      <c r="BG30" s="57">
        <f t="shared" si="34"/>
        <v>0</v>
      </c>
      <c r="BH30" s="46">
        <f t="shared" si="35"/>
        <v>0</v>
      </c>
      <c r="BI30" s="46">
        <f t="shared" si="36"/>
        <v>0</v>
      </c>
      <c r="BJ30" s="46">
        <f t="shared" si="37"/>
        <v>0</v>
      </c>
      <c r="BK30" s="46">
        <f t="shared" si="38"/>
        <v>0</v>
      </c>
      <c r="BL30" s="46">
        <f t="shared" si="39"/>
        <v>0</v>
      </c>
      <c r="BM30" s="46">
        <f t="shared" si="40"/>
        <v>0</v>
      </c>
      <c r="BN30" s="46">
        <f t="shared" si="41"/>
        <v>0</v>
      </c>
      <c r="BO30" s="46">
        <f t="shared" si="42"/>
        <v>0</v>
      </c>
      <c r="BP30" s="46"/>
      <c r="BQ30" s="46"/>
      <c r="BR30" s="46"/>
      <c r="BS30" s="46"/>
      <c r="BT30" s="46"/>
      <c r="BU30" s="46"/>
      <c r="BV30" s="46"/>
      <c r="BW30" s="46"/>
      <c r="BY30" s="1">
        <v>0</v>
      </c>
      <c r="BZ30" s="1">
        <v>0</v>
      </c>
      <c r="CA30" s="1">
        <v>0</v>
      </c>
      <c r="CB30" s="1">
        <v>0</v>
      </c>
      <c r="CE30" s="1">
        <v>0</v>
      </c>
      <c r="CF30" s="1">
        <v>0</v>
      </c>
      <c r="CG30" s="8" t="s">
        <v>37</v>
      </c>
    </row>
    <row r="31" spans="1:85" ht="12.75">
      <c r="A31" s="42" t="s">
        <v>43</v>
      </c>
      <c r="B31" s="57"/>
      <c r="C31" s="46"/>
      <c r="D31" s="46"/>
      <c r="E31" s="46"/>
      <c r="F31" s="46"/>
      <c r="G31" s="46">
        <v>0</v>
      </c>
      <c r="H31" s="46"/>
      <c r="I31" s="46"/>
      <c r="J31" s="46">
        <v>0</v>
      </c>
      <c r="K31" s="46">
        <v>0</v>
      </c>
      <c r="L31" s="46"/>
      <c r="M31" s="46">
        <v>0</v>
      </c>
      <c r="N31" s="46">
        <v>0</v>
      </c>
      <c r="O31" s="46">
        <v>0</v>
      </c>
      <c r="P31" s="46">
        <v>1</v>
      </c>
      <c r="Q31" s="46">
        <v>0</v>
      </c>
      <c r="R31" s="46">
        <v>0</v>
      </c>
      <c r="S31" s="46">
        <v>1</v>
      </c>
      <c r="T31" s="46">
        <v>0</v>
      </c>
      <c r="U31" s="46"/>
      <c r="V31" s="46">
        <v>1</v>
      </c>
      <c r="W31" s="46">
        <v>0</v>
      </c>
      <c r="X31" s="46">
        <v>0</v>
      </c>
      <c r="Y31" s="46">
        <v>0</v>
      </c>
      <c r="Z31" s="46">
        <v>0</v>
      </c>
      <c r="AA31" s="46">
        <v>5</v>
      </c>
      <c r="AB31" s="46">
        <v>5</v>
      </c>
      <c r="AC31" s="46">
        <v>6</v>
      </c>
      <c r="AD31" s="46">
        <v>4</v>
      </c>
      <c r="AE31" s="1">
        <v>2</v>
      </c>
      <c r="AF31" s="1">
        <v>2</v>
      </c>
      <c r="AG31" s="1">
        <v>2</v>
      </c>
      <c r="AH31" s="1">
        <v>3</v>
      </c>
      <c r="AI31" s="1">
        <v>6</v>
      </c>
      <c r="AJ31" s="57"/>
      <c r="AK31" s="46"/>
      <c r="AL31" s="46"/>
      <c r="AM31" s="46"/>
      <c r="AN31" s="46"/>
      <c r="AO31" s="46"/>
      <c r="AP31" s="46"/>
      <c r="AQ31" s="46"/>
      <c r="AR31" s="46"/>
      <c r="AS31" s="46"/>
      <c r="AT31" s="46"/>
      <c r="AU31" s="46"/>
      <c r="AV31" s="57"/>
      <c r="AW31" s="46"/>
      <c r="AX31" s="46"/>
      <c r="AY31" s="46"/>
      <c r="AZ31" s="46"/>
      <c r="BA31" s="46"/>
      <c r="BB31" s="46"/>
      <c r="BC31" s="46"/>
      <c r="BD31" s="46"/>
      <c r="BE31" s="46"/>
      <c r="BF31" s="46"/>
      <c r="BG31" s="57">
        <f t="shared" si="34"/>
        <v>0</v>
      </c>
      <c r="BH31" s="46">
        <f t="shared" si="35"/>
        <v>0</v>
      </c>
      <c r="BI31" s="46">
        <f t="shared" si="36"/>
        <v>0</v>
      </c>
      <c r="BJ31" s="46">
        <f t="shared" si="37"/>
        <v>0</v>
      </c>
      <c r="BK31" s="46">
        <f t="shared" si="38"/>
        <v>0</v>
      </c>
      <c r="BL31" s="46">
        <f t="shared" si="39"/>
        <v>0</v>
      </c>
      <c r="BM31" s="46">
        <f t="shared" si="40"/>
        <v>0</v>
      </c>
      <c r="BN31" s="46">
        <f t="shared" si="41"/>
        <v>0</v>
      </c>
      <c r="BO31" s="46">
        <f t="shared" si="42"/>
        <v>0</v>
      </c>
      <c r="BP31" s="46"/>
      <c r="BQ31" s="46"/>
      <c r="BR31" s="46"/>
      <c r="BS31" s="46"/>
      <c r="BT31" s="46"/>
      <c r="BU31" s="46"/>
      <c r="BV31" s="46"/>
      <c r="BW31" s="46"/>
      <c r="BY31" s="1">
        <v>0</v>
      </c>
      <c r="BZ31" s="1">
        <v>0</v>
      </c>
      <c r="CA31" s="1">
        <v>0</v>
      </c>
      <c r="CB31" s="1">
        <v>0</v>
      </c>
      <c r="CE31" s="1">
        <v>0</v>
      </c>
      <c r="CF31" s="1">
        <v>0</v>
      </c>
      <c r="CG31" s="8" t="s">
        <v>37</v>
      </c>
    </row>
    <row r="32" spans="1:85" ht="12.75">
      <c r="A32" s="42" t="s">
        <v>44</v>
      </c>
      <c r="B32" s="57"/>
      <c r="C32" s="46"/>
      <c r="D32" s="46"/>
      <c r="E32" s="46"/>
      <c r="F32" s="46"/>
      <c r="G32" s="46">
        <v>0</v>
      </c>
      <c r="H32" s="46"/>
      <c r="I32" s="46"/>
      <c r="J32" s="46">
        <v>0</v>
      </c>
      <c r="K32" s="46">
        <v>0</v>
      </c>
      <c r="L32" s="46"/>
      <c r="M32" s="46">
        <v>0</v>
      </c>
      <c r="N32" s="46">
        <v>0</v>
      </c>
      <c r="O32" s="46">
        <v>1</v>
      </c>
      <c r="P32" s="46">
        <v>1</v>
      </c>
      <c r="Q32" s="46">
        <v>1</v>
      </c>
      <c r="R32" s="46">
        <v>3</v>
      </c>
      <c r="S32" s="46">
        <v>2</v>
      </c>
      <c r="T32" s="46">
        <v>2</v>
      </c>
      <c r="U32" s="46">
        <v>6</v>
      </c>
      <c r="V32" s="46">
        <v>10</v>
      </c>
      <c r="W32" s="46">
        <v>12</v>
      </c>
      <c r="X32" s="46">
        <v>18</v>
      </c>
      <c r="Y32" s="46">
        <v>22</v>
      </c>
      <c r="Z32" s="46">
        <v>23</v>
      </c>
      <c r="AA32" s="46">
        <v>29</v>
      </c>
      <c r="AB32" s="46">
        <v>21</v>
      </c>
      <c r="AC32" s="46">
        <v>9</v>
      </c>
      <c r="AD32" s="46">
        <v>29</v>
      </c>
      <c r="AE32" s="1">
        <v>27</v>
      </c>
      <c r="AF32" s="1">
        <v>28</v>
      </c>
      <c r="AG32" s="1">
        <v>23</v>
      </c>
      <c r="AH32" s="1">
        <v>35</v>
      </c>
      <c r="AI32" s="1">
        <v>40</v>
      </c>
      <c r="AJ32" s="57"/>
      <c r="AK32" s="46"/>
      <c r="AL32" s="46"/>
      <c r="AM32" s="46"/>
      <c r="AN32" s="46"/>
      <c r="AO32" s="46"/>
      <c r="AP32" s="46"/>
      <c r="AQ32" s="46"/>
      <c r="AR32" s="46"/>
      <c r="AS32" s="46"/>
      <c r="AT32" s="46"/>
      <c r="AU32" s="46"/>
      <c r="AV32" s="57"/>
      <c r="AW32" s="46"/>
      <c r="AX32" s="46"/>
      <c r="AY32" s="46"/>
      <c r="AZ32" s="46"/>
      <c r="BA32" s="46"/>
      <c r="BB32" s="46"/>
      <c r="BC32" s="46"/>
      <c r="BD32" s="46"/>
      <c r="BE32" s="46"/>
      <c r="BF32" s="46"/>
      <c r="BG32" s="57">
        <f t="shared" si="34"/>
        <v>0</v>
      </c>
      <c r="BH32" s="46">
        <f t="shared" si="35"/>
        <v>0</v>
      </c>
      <c r="BI32" s="46">
        <f t="shared" si="36"/>
        <v>0</v>
      </c>
      <c r="BJ32" s="46">
        <f t="shared" si="37"/>
        <v>0</v>
      </c>
      <c r="BK32" s="46">
        <f t="shared" si="38"/>
        <v>0</v>
      </c>
      <c r="BL32" s="46">
        <f t="shared" si="39"/>
        <v>0</v>
      </c>
      <c r="BM32" s="46">
        <f t="shared" si="40"/>
        <v>0</v>
      </c>
      <c r="BN32" s="46">
        <f t="shared" si="41"/>
        <v>0</v>
      </c>
      <c r="BO32" s="46">
        <f t="shared" si="42"/>
        <v>0</v>
      </c>
      <c r="BP32" s="46"/>
      <c r="BQ32" s="46"/>
      <c r="BR32" s="46"/>
      <c r="BS32" s="46"/>
      <c r="BT32" s="46"/>
      <c r="BU32" s="46"/>
      <c r="BV32" s="46"/>
      <c r="BW32" s="46"/>
      <c r="BY32" s="1">
        <v>0</v>
      </c>
      <c r="BZ32" s="1">
        <v>0</v>
      </c>
      <c r="CA32" s="1">
        <v>0</v>
      </c>
      <c r="CB32" s="1">
        <v>0</v>
      </c>
      <c r="CE32" s="1">
        <v>0</v>
      </c>
      <c r="CF32" s="1">
        <v>0</v>
      </c>
      <c r="CG32" s="8" t="s">
        <v>37</v>
      </c>
    </row>
    <row r="33" spans="1:85" ht="12.75">
      <c r="A33" s="42" t="s">
        <v>45</v>
      </c>
      <c r="B33" s="57"/>
      <c r="C33" s="46"/>
      <c r="D33" s="46"/>
      <c r="E33" s="46"/>
      <c r="F33" s="46"/>
      <c r="G33" s="46">
        <v>1</v>
      </c>
      <c r="H33" s="46"/>
      <c r="I33" s="46"/>
      <c r="J33" s="46">
        <v>2</v>
      </c>
      <c r="K33" s="46">
        <v>4</v>
      </c>
      <c r="L33" s="46">
        <v>3</v>
      </c>
      <c r="M33" s="46">
        <v>3</v>
      </c>
      <c r="N33" s="46">
        <v>5</v>
      </c>
      <c r="O33" s="46">
        <v>2</v>
      </c>
      <c r="P33" s="46">
        <v>3</v>
      </c>
      <c r="Q33" s="46">
        <v>6</v>
      </c>
      <c r="R33" s="46">
        <v>5</v>
      </c>
      <c r="S33" s="46">
        <v>4</v>
      </c>
      <c r="T33" s="46">
        <v>5</v>
      </c>
      <c r="U33" s="46">
        <v>6</v>
      </c>
      <c r="V33" s="46">
        <v>5</v>
      </c>
      <c r="W33" s="46">
        <v>8</v>
      </c>
      <c r="X33" s="46">
        <v>7</v>
      </c>
      <c r="Y33" s="46">
        <v>5</v>
      </c>
      <c r="Z33" s="46">
        <v>7</v>
      </c>
      <c r="AA33" s="46">
        <v>9</v>
      </c>
      <c r="AB33" s="46">
        <v>7</v>
      </c>
      <c r="AC33" s="46">
        <v>3</v>
      </c>
      <c r="AD33" s="46">
        <v>4</v>
      </c>
      <c r="AE33" s="1">
        <v>7</v>
      </c>
      <c r="AF33" s="1">
        <v>7</v>
      </c>
      <c r="AG33" s="1">
        <v>10</v>
      </c>
      <c r="AH33" s="1">
        <v>10</v>
      </c>
      <c r="AI33" s="1">
        <v>15</v>
      </c>
      <c r="AJ33" s="57"/>
      <c r="AK33" s="46"/>
      <c r="AL33" s="46"/>
      <c r="AM33" s="46"/>
      <c r="AN33" s="46"/>
      <c r="AO33" s="46"/>
      <c r="AP33" s="46"/>
      <c r="AQ33" s="46"/>
      <c r="AR33" s="46"/>
      <c r="AS33" s="46"/>
      <c r="AT33" s="46"/>
      <c r="AU33" s="46"/>
      <c r="AV33" s="57"/>
      <c r="AW33" s="46"/>
      <c r="AX33" s="46"/>
      <c r="AY33" s="46"/>
      <c r="AZ33" s="46"/>
      <c r="BA33" s="46"/>
      <c r="BB33" s="46"/>
      <c r="BC33" s="46"/>
      <c r="BD33" s="46"/>
      <c r="BE33" s="46"/>
      <c r="BF33" s="46"/>
      <c r="BG33" s="57">
        <f t="shared" si="34"/>
        <v>0</v>
      </c>
      <c r="BH33" s="46">
        <f t="shared" si="35"/>
        <v>0</v>
      </c>
      <c r="BI33" s="46">
        <f t="shared" si="36"/>
        <v>0</v>
      </c>
      <c r="BJ33" s="46">
        <f t="shared" si="37"/>
        <v>0</v>
      </c>
      <c r="BK33" s="46">
        <f t="shared" si="38"/>
        <v>0</v>
      </c>
      <c r="BL33" s="46">
        <f t="shared" si="39"/>
        <v>0</v>
      </c>
      <c r="BM33" s="46">
        <f t="shared" si="40"/>
        <v>0</v>
      </c>
      <c r="BN33" s="46">
        <f t="shared" si="41"/>
        <v>0</v>
      </c>
      <c r="BO33" s="46">
        <f t="shared" si="42"/>
        <v>0</v>
      </c>
      <c r="BP33" s="46"/>
      <c r="BQ33" s="46"/>
      <c r="BR33" s="46"/>
      <c r="BS33" s="46"/>
      <c r="BT33" s="46"/>
      <c r="BU33" s="46"/>
      <c r="BV33" s="46"/>
      <c r="BW33" s="46"/>
      <c r="BY33" s="1">
        <v>0</v>
      </c>
      <c r="BZ33" s="1">
        <v>0</v>
      </c>
      <c r="CA33" s="1">
        <v>0</v>
      </c>
      <c r="CB33" s="1">
        <v>0</v>
      </c>
      <c r="CE33" s="1">
        <v>0</v>
      </c>
      <c r="CF33" s="1">
        <v>0</v>
      </c>
      <c r="CG33" s="8" t="s">
        <v>37</v>
      </c>
    </row>
    <row r="34" spans="1:85" ht="12.75">
      <c r="A34" s="42" t="s">
        <v>46</v>
      </c>
      <c r="B34" s="57"/>
      <c r="C34" s="46"/>
      <c r="D34" s="46"/>
      <c r="E34" s="46"/>
      <c r="F34" s="46"/>
      <c r="G34" s="46">
        <v>6</v>
      </c>
      <c r="H34" s="46"/>
      <c r="I34" s="46"/>
      <c r="J34" s="46">
        <v>11</v>
      </c>
      <c r="K34" s="46">
        <v>19</v>
      </c>
      <c r="L34" s="46">
        <v>13</v>
      </c>
      <c r="M34" s="46">
        <v>9</v>
      </c>
      <c r="N34" s="46">
        <v>14</v>
      </c>
      <c r="O34" s="46">
        <v>17</v>
      </c>
      <c r="P34" s="46">
        <v>19</v>
      </c>
      <c r="Q34" s="46">
        <v>18</v>
      </c>
      <c r="R34" s="46">
        <v>9</v>
      </c>
      <c r="S34" s="46">
        <v>22</v>
      </c>
      <c r="T34" s="46">
        <v>18</v>
      </c>
      <c r="U34" s="46">
        <v>12</v>
      </c>
      <c r="V34" s="46">
        <v>18</v>
      </c>
      <c r="W34" s="46">
        <v>18</v>
      </c>
      <c r="X34" s="46">
        <v>19</v>
      </c>
      <c r="Y34" s="46">
        <v>16</v>
      </c>
      <c r="Z34" s="46">
        <v>34</v>
      </c>
      <c r="AA34" s="46">
        <v>12</v>
      </c>
      <c r="AB34" s="46">
        <v>19</v>
      </c>
      <c r="AC34" s="46">
        <v>26</v>
      </c>
      <c r="AD34" s="46">
        <v>13</v>
      </c>
      <c r="AE34" s="1">
        <v>15</v>
      </c>
      <c r="AF34" s="1">
        <v>25</v>
      </c>
      <c r="AG34" s="1">
        <v>19</v>
      </c>
      <c r="AH34" s="1">
        <v>24</v>
      </c>
      <c r="AI34" s="1">
        <v>31</v>
      </c>
      <c r="AJ34" s="57"/>
      <c r="AK34" s="46"/>
      <c r="AL34" s="46"/>
      <c r="AM34" s="46"/>
      <c r="AN34" s="46"/>
      <c r="AO34" s="46"/>
      <c r="AP34" s="46"/>
      <c r="AQ34" s="46"/>
      <c r="AR34" s="46"/>
      <c r="AS34" s="46"/>
      <c r="AT34" s="46"/>
      <c r="AU34" s="46"/>
      <c r="AV34" s="57"/>
      <c r="AW34" s="46"/>
      <c r="AX34" s="46"/>
      <c r="AY34" s="46"/>
      <c r="AZ34" s="46"/>
      <c r="BA34" s="46"/>
      <c r="BB34" s="46"/>
      <c r="BC34" s="46"/>
      <c r="BD34" s="46"/>
      <c r="BE34" s="46"/>
      <c r="BF34" s="46"/>
      <c r="BG34" s="57">
        <f t="shared" si="34"/>
        <v>0</v>
      </c>
      <c r="BH34" s="46">
        <f t="shared" si="35"/>
        <v>0</v>
      </c>
      <c r="BI34" s="46">
        <f t="shared" si="36"/>
        <v>0</v>
      </c>
      <c r="BJ34" s="46">
        <f t="shared" si="37"/>
        <v>0</v>
      </c>
      <c r="BK34" s="46">
        <f t="shared" si="38"/>
        <v>0</v>
      </c>
      <c r="BL34" s="46">
        <f t="shared" si="39"/>
        <v>0</v>
      </c>
      <c r="BM34" s="46">
        <f t="shared" si="40"/>
        <v>0</v>
      </c>
      <c r="BN34" s="46">
        <f t="shared" si="41"/>
        <v>0</v>
      </c>
      <c r="BO34" s="46">
        <f t="shared" si="42"/>
        <v>0</v>
      </c>
      <c r="BP34" s="46"/>
      <c r="BQ34" s="46"/>
      <c r="BR34" s="46"/>
      <c r="BS34" s="46"/>
      <c r="BT34" s="46"/>
      <c r="BU34" s="46"/>
      <c r="BV34" s="46"/>
      <c r="BW34" s="46"/>
      <c r="BY34" s="1">
        <v>0</v>
      </c>
      <c r="BZ34" s="1">
        <v>0</v>
      </c>
      <c r="CA34" s="1">
        <v>0</v>
      </c>
      <c r="CB34" s="1">
        <v>0</v>
      </c>
      <c r="CE34" s="1">
        <v>0</v>
      </c>
      <c r="CF34" s="1">
        <v>0</v>
      </c>
      <c r="CG34" s="8" t="s">
        <v>37</v>
      </c>
    </row>
    <row r="35" spans="1:85" ht="12.75">
      <c r="A35" s="42" t="s">
        <v>47</v>
      </c>
      <c r="B35" s="57"/>
      <c r="C35" s="46"/>
      <c r="D35" s="46"/>
      <c r="E35" s="46"/>
      <c r="F35" s="46"/>
      <c r="G35" s="46">
        <v>1</v>
      </c>
      <c r="H35" s="46"/>
      <c r="I35" s="46"/>
      <c r="J35" s="46">
        <v>1</v>
      </c>
      <c r="K35" s="46">
        <v>1</v>
      </c>
      <c r="L35" s="46">
        <v>2</v>
      </c>
      <c r="M35" s="46">
        <v>2</v>
      </c>
      <c r="N35" s="46">
        <v>3</v>
      </c>
      <c r="O35" s="46">
        <v>2</v>
      </c>
      <c r="P35" s="46">
        <v>1</v>
      </c>
      <c r="Q35" s="46">
        <v>5</v>
      </c>
      <c r="R35" s="46">
        <v>5</v>
      </c>
      <c r="S35" s="46">
        <v>2</v>
      </c>
      <c r="T35" s="46">
        <v>1</v>
      </c>
      <c r="U35" s="46">
        <v>1</v>
      </c>
      <c r="V35" s="46">
        <v>6</v>
      </c>
      <c r="W35" s="46">
        <v>4</v>
      </c>
      <c r="X35" s="46">
        <v>6</v>
      </c>
      <c r="Y35" s="46">
        <v>5</v>
      </c>
      <c r="Z35" s="46">
        <v>7</v>
      </c>
      <c r="AA35" s="46">
        <v>3</v>
      </c>
      <c r="AB35" s="46">
        <v>6</v>
      </c>
      <c r="AC35" s="46">
        <v>4</v>
      </c>
      <c r="AD35" s="46">
        <v>7</v>
      </c>
      <c r="AE35" s="1">
        <v>4</v>
      </c>
      <c r="AF35" s="1">
        <v>6</v>
      </c>
      <c r="AG35" s="1">
        <v>8</v>
      </c>
      <c r="AH35" s="1">
        <v>10</v>
      </c>
      <c r="AI35" s="1">
        <v>9</v>
      </c>
      <c r="AJ35" s="57"/>
      <c r="AK35" s="46"/>
      <c r="AL35" s="46"/>
      <c r="AM35" s="46"/>
      <c r="AN35" s="46"/>
      <c r="AO35" s="46"/>
      <c r="AP35" s="46"/>
      <c r="AQ35" s="46"/>
      <c r="AR35" s="46"/>
      <c r="AS35" s="46"/>
      <c r="AT35" s="46"/>
      <c r="AU35" s="46"/>
      <c r="AV35" s="57"/>
      <c r="AW35" s="46"/>
      <c r="AX35" s="46"/>
      <c r="AY35" s="46"/>
      <c r="AZ35" s="46"/>
      <c r="BA35" s="46"/>
      <c r="BB35" s="46"/>
      <c r="BC35" s="46"/>
      <c r="BD35" s="46"/>
      <c r="BE35" s="46"/>
      <c r="BF35" s="46"/>
      <c r="BG35" s="57">
        <f t="shared" si="34"/>
        <v>0</v>
      </c>
      <c r="BH35" s="46">
        <f t="shared" si="35"/>
        <v>0</v>
      </c>
      <c r="BI35" s="46">
        <f t="shared" si="36"/>
        <v>0</v>
      </c>
      <c r="BJ35" s="46">
        <f t="shared" si="37"/>
        <v>0</v>
      </c>
      <c r="BK35" s="46">
        <f t="shared" si="38"/>
        <v>0</v>
      </c>
      <c r="BL35" s="46">
        <f t="shared" si="39"/>
        <v>0</v>
      </c>
      <c r="BM35" s="46">
        <f t="shared" si="40"/>
        <v>0</v>
      </c>
      <c r="BN35" s="46">
        <f t="shared" si="41"/>
        <v>0</v>
      </c>
      <c r="BO35" s="46">
        <f t="shared" si="42"/>
        <v>0</v>
      </c>
      <c r="BP35" s="46"/>
      <c r="BQ35" s="46"/>
      <c r="BR35" s="46"/>
      <c r="BS35" s="46"/>
      <c r="BT35" s="46"/>
      <c r="BU35" s="46"/>
      <c r="BV35" s="46"/>
      <c r="BW35" s="46"/>
      <c r="BY35" s="1">
        <v>0</v>
      </c>
      <c r="BZ35" s="1">
        <v>0</v>
      </c>
      <c r="CA35" s="1">
        <v>0</v>
      </c>
      <c r="CB35" s="1">
        <v>0</v>
      </c>
      <c r="CE35" s="1">
        <v>0</v>
      </c>
      <c r="CF35" s="1">
        <v>0</v>
      </c>
      <c r="CG35" s="8" t="s">
        <v>37</v>
      </c>
    </row>
    <row r="36" spans="1:85" ht="12.75">
      <c r="A36" s="42" t="s">
        <v>48</v>
      </c>
      <c r="B36" s="57"/>
      <c r="C36" s="46"/>
      <c r="D36" s="46"/>
      <c r="E36" s="46"/>
      <c r="F36" s="46"/>
      <c r="G36" s="46">
        <v>16</v>
      </c>
      <c r="H36" s="46"/>
      <c r="I36" s="46"/>
      <c r="J36" s="46">
        <v>11</v>
      </c>
      <c r="K36" s="46">
        <v>14</v>
      </c>
      <c r="L36" s="46">
        <v>18</v>
      </c>
      <c r="M36" s="46">
        <v>29</v>
      </c>
      <c r="N36" s="46">
        <v>25</v>
      </c>
      <c r="O36" s="46">
        <v>42</v>
      </c>
      <c r="P36" s="46">
        <v>25</v>
      </c>
      <c r="Q36" s="46">
        <v>29</v>
      </c>
      <c r="R36" s="46">
        <v>23</v>
      </c>
      <c r="S36" s="46">
        <v>21</v>
      </c>
      <c r="T36" s="46">
        <v>40</v>
      </c>
      <c r="U36" s="46">
        <v>24</v>
      </c>
      <c r="V36" s="46">
        <v>35</v>
      </c>
      <c r="W36" s="46">
        <v>27</v>
      </c>
      <c r="X36" s="46">
        <v>23</v>
      </c>
      <c r="Y36" s="46">
        <v>33</v>
      </c>
      <c r="Z36" s="46">
        <v>22</v>
      </c>
      <c r="AA36" s="46">
        <v>22</v>
      </c>
      <c r="AB36" s="46">
        <v>23</v>
      </c>
      <c r="AC36" s="46">
        <v>25</v>
      </c>
      <c r="AD36" s="46">
        <v>20</v>
      </c>
      <c r="AE36" s="1">
        <v>27</v>
      </c>
      <c r="AF36" s="1">
        <v>34</v>
      </c>
      <c r="AG36" s="1">
        <v>31</v>
      </c>
      <c r="AH36" s="1">
        <v>30</v>
      </c>
      <c r="AI36" s="1">
        <v>47</v>
      </c>
      <c r="AJ36" s="57"/>
      <c r="AK36" s="46"/>
      <c r="AL36" s="46"/>
      <c r="AM36" s="46"/>
      <c r="AN36" s="46"/>
      <c r="AO36" s="46"/>
      <c r="AP36" s="46"/>
      <c r="AQ36" s="46"/>
      <c r="AR36" s="46"/>
      <c r="AS36" s="46"/>
      <c r="AT36" s="46"/>
      <c r="AU36" s="46"/>
      <c r="AV36" s="57"/>
      <c r="AW36" s="46"/>
      <c r="AX36" s="46"/>
      <c r="AY36" s="46"/>
      <c r="AZ36" s="46"/>
      <c r="BA36" s="46"/>
      <c r="BB36" s="46"/>
      <c r="BC36" s="46"/>
      <c r="BD36" s="46"/>
      <c r="BE36" s="46"/>
      <c r="BF36" s="46"/>
      <c r="BG36" s="57">
        <f t="shared" si="34"/>
        <v>0</v>
      </c>
      <c r="BH36" s="46">
        <f t="shared" si="35"/>
        <v>0</v>
      </c>
      <c r="BI36" s="46">
        <f t="shared" si="36"/>
        <v>0</v>
      </c>
      <c r="BJ36" s="46">
        <f t="shared" si="37"/>
        <v>0</v>
      </c>
      <c r="BK36" s="46">
        <f t="shared" si="38"/>
        <v>0</v>
      </c>
      <c r="BL36" s="46">
        <f t="shared" si="39"/>
        <v>0</v>
      </c>
      <c r="BM36" s="46">
        <f t="shared" si="40"/>
        <v>0</v>
      </c>
      <c r="BN36" s="46">
        <f t="shared" si="41"/>
        <v>0</v>
      </c>
      <c r="BO36" s="46">
        <f t="shared" si="42"/>
        <v>0</v>
      </c>
      <c r="BP36" s="46"/>
      <c r="BQ36" s="46"/>
      <c r="BR36" s="46"/>
      <c r="BS36" s="46">
        <v>1</v>
      </c>
      <c r="BT36" s="46"/>
      <c r="BU36" s="46"/>
      <c r="BV36" s="46"/>
      <c r="BW36" s="46">
        <v>2</v>
      </c>
      <c r="BY36" s="1">
        <v>0</v>
      </c>
      <c r="BZ36" s="1">
        <v>0</v>
      </c>
      <c r="CA36" s="1">
        <v>0</v>
      </c>
      <c r="CB36" s="1">
        <v>0</v>
      </c>
      <c r="CE36" s="1">
        <v>0</v>
      </c>
      <c r="CF36" s="1">
        <v>0</v>
      </c>
      <c r="CG36" s="8" t="s">
        <v>37</v>
      </c>
    </row>
    <row r="37" spans="1:85" ht="12.75">
      <c r="A37" s="47" t="s">
        <v>49</v>
      </c>
      <c r="B37" s="58"/>
      <c r="C37" s="48"/>
      <c r="D37" s="48"/>
      <c r="E37" s="48"/>
      <c r="F37" s="48"/>
      <c r="G37" s="48">
        <v>0</v>
      </c>
      <c r="H37" s="48"/>
      <c r="I37" s="48"/>
      <c r="J37" s="48">
        <v>1</v>
      </c>
      <c r="K37" s="48">
        <v>1</v>
      </c>
      <c r="L37" s="48">
        <v>1</v>
      </c>
      <c r="M37" s="48">
        <v>0</v>
      </c>
      <c r="N37" s="48">
        <v>1</v>
      </c>
      <c r="O37" s="48">
        <v>0</v>
      </c>
      <c r="P37" s="48">
        <v>0</v>
      </c>
      <c r="Q37" s="48">
        <v>0</v>
      </c>
      <c r="R37" s="48">
        <v>0</v>
      </c>
      <c r="S37" s="48">
        <v>1</v>
      </c>
      <c r="T37" s="48">
        <v>0</v>
      </c>
      <c r="U37" s="48">
        <v>1</v>
      </c>
      <c r="V37" s="48">
        <v>0</v>
      </c>
      <c r="W37" s="48">
        <v>0</v>
      </c>
      <c r="X37" s="48">
        <v>1</v>
      </c>
      <c r="Y37" s="48">
        <v>0</v>
      </c>
      <c r="Z37" s="48">
        <v>1</v>
      </c>
      <c r="AA37" s="48">
        <v>0</v>
      </c>
      <c r="AB37" s="48">
        <v>2</v>
      </c>
      <c r="AC37" s="48">
        <v>3</v>
      </c>
      <c r="AD37" s="48">
        <v>1</v>
      </c>
      <c r="AE37" s="1">
        <v>3</v>
      </c>
      <c r="AF37" s="1">
        <v>1</v>
      </c>
      <c r="AG37" s="1">
        <v>1</v>
      </c>
      <c r="AH37" s="1">
        <v>0</v>
      </c>
      <c r="AI37" s="1">
        <v>1</v>
      </c>
      <c r="AJ37" s="58"/>
      <c r="AK37" s="48"/>
      <c r="AL37" s="48"/>
      <c r="AM37" s="48"/>
      <c r="AN37" s="48"/>
      <c r="AO37" s="48"/>
      <c r="AP37" s="48"/>
      <c r="AQ37" s="48"/>
      <c r="AR37" s="48"/>
      <c r="AS37" s="48"/>
      <c r="AT37" s="48"/>
      <c r="AU37" s="48"/>
      <c r="AV37" s="58"/>
      <c r="AW37" s="48"/>
      <c r="AX37" s="48"/>
      <c r="AY37" s="48"/>
      <c r="AZ37" s="48"/>
      <c r="BA37" s="48"/>
      <c r="BB37" s="48"/>
      <c r="BC37" s="48"/>
      <c r="BD37" s="48"/>
      <c r="BE37" s="48"/>
      <c r="BF37" s="48"/>
      <c r="BG37" s="58">
        <f t="shared" si="34"/>
        <v>0</v>
      </c>
      <c r="BH37" s="48">
        <f t="shared" si="35"/>
        <v>0</v>
      </c>
      <c r="BI37" s="48">
        <f t="shared" si="36"/>
        <v>0</v>
      </c>
      <c r="BJ37" s="48">
        <f t="shared" si="37"/>
        <v>0</v>
      </c>
      <c r="BK37" s="48">
        <f t="shared" si="38"/>
        <v>0</v>
      </c>
      <c r="BL37" s="48">
        <f t="shared" si="39"/>
        <v>0</v>
      </c>
      <c r="BM37" s="48">
        <f t="shared" si="40"/>
        <v>0</v>
      </c>
      <c r="BN37" s="48">
        <f t="shared" si="41"/>
        <v>0</v>
      </c>
      <c r="BO37" s="48">
        <f t="shared" si="42"/>
        <v>0</v>
      </c>
      <c r="BP37" s="48"/>
      <c r="BQ37" s="48"/>
      <c r="BR37" s="48"/>
      <c r="BS37" s="48"/>
      <c r="BT37" s="48"/>
      <c r="BU37" s="48"/>
      <c r="BV37" s="48"/>
      <c r="BW37" s="48"/>
      <c r="BY37" s="1">
        <v>0</v>
      </c>
      <c r="BZ37" s="1">
        <v>0</v>
      </c>
      <c r="CA37" s="1">
        <v>0</v>
      </c>
      <c r="CB37" s="1">
        <v>0</v>
      </c>
      <c r="CE37" s="1">
        <v>0</v>
      </c>
      <c r="CF37" s="1">
        <v>0</v>
      </c>
      <c r="CG37" s="8" t="s">
        <v>37</v>
      </c>
    </row>
    <row r="38" spans="1:85" ht="12.75">
      <c r="A38" s="42" t="s">
        <v>50</v>
      </c>
      <c r="B38" s="55">
        <f t="shared" ref="B38:BV38" si="43">SUM(B40:B51)</f>
        <v>0</v>
      </c>
      <c r="C38" s="43">
        <f t="shared" si="43"/>
        <v>0</v>
      </c>
      <c r="D38" s="43">
        <f t="shared" si="43"/>
        <v>0</v>
      </c>
      <c r="E38" s="43">
        <f t="shared" si="43"/>
        <v>0</v>
      </c>
      <c r="F38" s="43">
        <f t="shared" si="43"/>
        <v>0</v>
      </c>
      <c r="G38" s="43">
        <f t="shared" si="43"/>
        <v>671</v>
      </c>
      <c r="H38" s="43">
        <f t="shared" si="43"/>
        <v>0</v>
      </c>
      <c r="I38" s="43">
        <f t="shared" si="43"/>
        <v>0</v>
      </c>
      <c r="J38" s="43">
        <f t="shared" si="43"/>
        <v>756</v>
      </c>
      <c r="K38" s="43">
        <f t="shared" si="43"/>
        <v>837</v>
      </c>
      <c r="L38" s="43">
        <f t="shared" si="43"/>
        <v>916</v>
      </c>
      <c r="M38" s="43">
        <f t="shared" si="43"/>
        <v>962</v>
      </c>
      <c r="N38" s="43">
        <f t="shared" si="43"/>
        <v>964</v>
      </c>
      <c r="O38" s="43">
        <f t="shared" si="43"/>
        <v>936</v>
      </c>
      <c r="P38" s="43">
        <f t="shared" si="43"/>
        <v>1011</v>
      </c>
      <c r="Q38" s="43">
        <f t="shared" si="43"/>
        <v>950</v>
      </c>
      <c r="R38" s="43">
        <f t="shared" si="43"/>
        <v>953</v>
      </c>
      <c r="S38" s="43">
        <f t="shared" si="43"/>
        <v>990</v>
      </c>
      <c r="T38" s="43">
        <f t="shared" si="43"/>
        <v>1092</v>
      </c>
      <c r="U38" s="43">
        <f t="shared" si="43"/>
        <v>1111</v>
      </c>
      <c r="V38" s="43">
        <f t="shared" si="43"/>
        <v>1052</v>
      </c>
      <c r="W38" s="43">
        <f t="shared" si="43"/>
        <v>1036</v>
      </c>
      <c r="X38" s="43">
        <f t="shared" si="43"/>
        <v>1099</v>
      </c>
      <c r="Y38" s="43">
        <f>SUM(Y40:Y51)</f>
        <v>1141</v>
      </c>
      <c r="Z38" s="43">
        <f>SUM(Z40:Z51)</f>
        <v>1137</v>
      </c>
      <c r="AA38" s="43">
        <f>SUM(AA40:AA51)</f>
        <v>1170</v>
      </c>
      <c r="AB38" s="43">
        <f>SUM(AB40:AB51)</f>
        <v>1216</v>
      </c>
      <c r="AC38" s="43">
        <f t="shared" ref="AC38:AD38" si="44">SUM(AC40:AC51)</f>
        <v>1202</v>
      </c>
      <c r="AD38" s="43">
        <f t="shared" si="44"/>
        <v>1294</v>
      </c>
      <c r="AE38" s="43">
        <f t="shared" ref="AE38:AF38" si="45">SUM(AE40:AE51)</f>
        <v>1196</v>
      </c>
      <c r="AF38" s="43">
        <f t="shared" si="45"/>
        <v>1253</v>
      </c>
      <c r="AG38" s="43">
        <f>SUM(AG40:AG51)</f>
        <v>1286</v>
      </c>
      <c r="AH38" s="43">
        <f>SUM(AH40:AH51)</f>
        <v>1370</v>
      </c>
      <c r="AI38" s="43">
        <f>SUM(AI40:AI51)</f>
        <v>1478</v>
      </c>
      <c r="AJ38" s="55">
        <f t="shared" si="43"/>
        <v>0</v>
      </c>
      <c r="AK38" s="43">
        <f t="shared" si="43"/>
        <v>0</v>
      </c>
      <c r="AL38" s="43">
        <f t="shared" si="43"/>
        <v>0</v>
      </c>
      <c r="AM38" s="43">
        <f t="shared" si="43"/>
        <v>0</v>
      </c>
      <c r="AN38" s="43">
        <f t="shared" si="43"/>
        <v>0</v>
      </c>
      <c r="AO38" s="43">
        <f t="shared" si="43"/>
        <v>0</v>
      </c>
      <c r="AP38" s="43">
        <f t="shared" si="43"/>
        <v>0</v>
      </c>
      <c r="AQ38" s="43">
        <f t="shared" si="43"/>
        <v>0</v>
      </c>
      <c r="AR38" s="43">
        <f t="shared" si="43"/>
        <v>8</v>
      </c>
      <c r="AS38" s="43">
        <f t="shared" si="43"/>
        <v>4</v>
      </c>
      <c r="AT38" s="43">
        <f t="shared" si="43"/>
        <v>8</v>
      </c>
      <c r="AU38" s="43">
        <f t="shared" si="43"/>
        <v>7</v>
      </c>
      <c r="AV38" s="55">
        <f t="shared" si="43"/>
        <v>0</v>
      </c>
      <c r="AW38" s="43">
        <f t="shared" si="43"/>
        <v>0</v>
      </c>
      <c r="AX38" s="43">
        <f t="shared" si="43"/>
        <v>0</v>
      </c>
      <c r="AY38" s="43">
        <f t="shared" si="43"/>
        <v>0</v>
      </c>
      <c r="AZ38" s="43">
        <f t="shared" si="43"/>
        <v>0</v>
      </c>
      <c r="BA38" s="43">
        <f t="shared" si="43"/>
        <v>0</v>
      </c>
      <c r="BB38" s="43">
        <f t="shared" si="43"/>
        <v>0</v>
      </c>
      <c r="BC38" s="43">
        <f t="shared" si="43"/>
        <v>0</v>
      </c>
      <c r="BD38" s="43">
        <f t="shared" si="43"/>
        <v>0</v>
      </c>
      <c r="BE38" s="43">
        <f t="shared" si="43"/>
        <v>0</v>
      </c>
      <c r="BF38" s="43">
        <f t="shared" si="43"/>
        <v>0</v>
      </c>
      <c r="BG38" s="55">
        <f t="shared" si="43"/>
        <v>0</v>
      </c>
      <c r="BH38" s="43">
        <f t="shared" si="43"/>
        <v>0</v>
      </c>
      <c r="BI38" s="43">
        <f t="shared" si="43"/>
        <v>0</v>
      </c>
      <c r="BJ38" s="43">
        <f t="shared" si="43"/>
        <v>0</v>
      </c>
      <c r="BK38" s="43">
        <f t="shared" si="43"/>
        <v>0</v>
      </c>
      <c r="BL38" s="43">
        <f t="shared" si="43"/>
        <v>8</v>
      </c>
      <c r="BM38" s="43">
        <f t="shared" si="43"/>
        <v>4</v>
      </c>
      <c r="BN38" s="43">
        <f t="shared" si="43"/>
        <v>8</v>
      </c>
      <c r="BO38" s="43">
        <f t="shared" si="43"/>
        <v>7</v>
      </c>
      <c r="BP38" s="43">
        <f t="shared" si="43"/>
        <v>13</v>
      </c>
      <c r="BQ38" s="43">
        <f t="shared" si="43"/>
        <v>17</v>
      </c>
      <c r="BR38" s="43">
        <f t="shared" si="43"/>
        <v>5</v>
      </c>
      <c r="BS38" s="43">
        <f t="shared" si="43"/>
        <v>15</v>
      </c>
      <c r="BT38" s="43">
        <f t="shared" si="43"/>
        <v>4</v>
      </c>
      <c r="BU38" s="43">
        <f t="shared" si="43"/>
        <v>25</v>
      </c>
      <c r="BV38" s="43">
        <f t="shared" si="43"/>
        <v>22</v>
      </c>
      <c r="BW38" s="43">
        <f>SUM(BW40:BW51)</f>
        <v>40</v>
      </c>
      <c r="BX38" s="43">
        <f>SUM(BX40:BX51)</f>
        <v>45</v>
      </c>
      <c r="BY38" s="43">
        <f>SUM(BY40:BY51)</f>
        <v>59</v>
      </c>
      <c r="BZ38" s="43">
        <f>SUM(BZ40:BZ51)</f>
        <v>105</v>
      </c>
      <c r="CA38" s="43">
        <f t="shared" ref="CA38:CB38" si="46">SUM(CA40:CA51)</f>
        <v>50</v>
      </c>
      <c r="CB38" s="43">
        <f t="shared" si="46"/>
        <v>11</v>
      </c>
      <c r="CC38" s="43">
        <f t="shared" ref="CC38:CD38" si="47">SUM(CC40:CC51)</f>
        <v>49</v>
      </c>
      <c r="CD38" s="43">
        <f t="shared" si="47"/>
        <v>28</v>
      </c>
      <c r="CE38" s="43">
        <f>SUM(CE40:CE51)</f>
        <v>2</v>
      </c>
      <c r="CF38" s="43">
        <f>SUM(CF40:CF51)</f>
        <v>4</v>
      </c>
      <c r="CG38" s="161">
        <f>SUM(CG40:CG51)</f>
        <v>24</v>
      </c>
    </row>
    <row r="39" spans="1:85" ht="12.75">
      <c r="A39" s="44" t="s">
        <v>131</v>
      </c>
      <c r="B39" s="56">
        <f t="shared" ref="B39:BV39" si="48">(B38/B4)*100</f>
        <v>0</v>
      </c>
      <c r="C39" s="45">
        <f t="shared" si="48"/>
        <v>0</v>
      </c>
      <c r="D39" s="45">
        <f t="shared" si="48"/>
        <v>0</v>
      </c>
      <c r="E39" s="45">
        <f t="shared" si="48"/>
        <v>0</v>
      </c>
      <c r="F39" s="45">
        <f t="shared" si="48"/>
        <v>0</v>
      </c>
      <c r="G39" s="45">
        <f t="shared" si="48"/>
        <v>20.107881330536408</v>
      </c>
      <c r="H39" s="45">
        <f t="shared" si="48"/>
        <v>0</v>
      </c>
      <c r="I39" s="45">
        <f t="shared" si="48"/>
        <v>0</v>
      </c>
      <c r="J39" s="45">
        <f t="shared" si="48"/>
        <v>21.224031443009544</v>
      </c>
      <c r="K39" s="45">
        <f t="shared" si="48"/>
        <v>20.56005895357406</v>
      </c>
      <c r="L39" s="45">
        <f t="shared" si="48"/>
        <v>21.179190751445088</v>
      </c>
      <c r="M39" s="45">
        <f t="shared" si="48"/>
        <v>20.674833440790888</v>
      </c>
      <c r="N39" s="45">
        <f t="shared" si="48"/>
        <v>19.641401792991033</v>
      </c>
      <c r="O39" s="45">
        <f t="shared" si="48"/>
        <v>18.066010422698319</v>
      </c>
      <c r="P39" s="45">
        <f t="shared" si="48"/>
        <v>18.890134529147982</v>
      </c>
      <c r="Q39" s="45">
        <f t="shared" si="48"/>
        <v>17.783601647323099</v>
      </c>
      <c r="R39" s="45">
        <f t="shared" si="48"/>
        <v>17.618783508966537</v>
      </c>
      <c r="S39" s="45">
        <f t="shared" si="48"/>
        <v>17.56876663708962</v>
      </c>
      <c r="T39" s="45">
        <f t="shared" si="48"/>
        <v>18.279209909608301</v>
      </c>
      <c r="U39" s="45">
        <f t="shared" si="48"/>
        <v>18.955809588807369</v>
      </c>
      <c r="V39" s="45">
        <f t="shared" si="48"/>
        <v>17.408571901373492</v>
      </c>
      <c r="W39" s="45">
        <f t="shared" si="48"/>
        <v>17.691256830601095</v>
      </c>
      <c r="X39" s="45">
        <f t="shared" si="48"/>
        <v>18.120362737015665</v>
      </c>
      <c r="Y39" s="45">
        <f>(Y38/Y4)*100</f>
        <v>19.144295302013422</v>
      </c>
      <c r="Z39" s="45">
        <f>(Z38/Z4)*100</f>
        <v>18.590582079790714</v>
      </c>
      <c r="AA39" s="45">
        <f>(AA38/AA4)*100</f>
        <v>17.756867506450146</v>
      </c>
      <c r="AB39" s="45">
        <f>(AB38/AB4)*100</f>
        <v>18.27472197174632</v>
      </c>
      <c r="AC39" s="45">
        <f t="shared" ref="AC39:AF39" si="49">(AC38/AC4)*100</f>
        <v>17.996706093726605</v>
      </c>
      <c r="AD39" s="45">
        <f t="shared" si="49"/>
        <v>18.375461516614596</v>
      </c>
      <c r="AE39" s="45">
        <f t="shared" si="49"/>
        <v>17.371096586782862</v>
      </c>
      <c r="AF39" s="45">
        <f t="shared" si="49"/>
        <v>17.715255195815072</v>
      </c>
      <c r="AG39" s="45">
        <f>(AG38/AG4)*100</f>
        <v>17.568306010928961</v>
      </c>
      <c r="AH39" s="45">
        <f>(AH38/AH4)*100</f>
        <v>18.085808580858085</v>
      </c>
      <c r="AI39" s="45">
        <f>(AI38/AI4)*100</f>
        <v>18.419740777666998</v>
      </c>
      <c r="AJ39" s="56">
        <f t="shared" si="48"/>
        <v>0</v>
      </c>
      <c r="AK39" s="45">
        <f t="shared" si="48"/>
        <v>0</v>
      </c>
      <c r="AL39" s="45">
        <f t="shared" si="48"/>
        <v>0</v>
      </c>
      <c r="AM39" s="45">
        <f t="shared" si="48"/>
        <v>0</v>
      </c>
      <c r="AN39" s="45">
        <f t="shared" si="48"/>
        <v>0</v>
      </c>
      <c r="AO39" s="45">
        <f t="shared" si="48"/>
        <v>0</v>
      </c>
      <c r="AP39" s="45">
        <f t="shared" si="48"/>
        <v>0</v>
      </c>
      <c r="AQ39" s="45">
        <f t="shared" si="48"/>
        <v>0</v>
      </c>
      <c r="AR39" s="45">
        <f t="shared" si="48"/>
        <v>0.91638029782359687</v>
      </c>
      <c r="AS39" s="45">
        <f t="shared" si="48"/>
        <v>0.44994375703037126</v>
      </c>
      <c r="AT39" s="45">
        <f t="shared" si="48"/>
        <v>0.84121976866456361</v>
      </c>
      <c r="AU39" s="45">
        <f t="shared" si="48"/>
        <v>0.63405797101449279</v>
      </c>
      <c r="AV39" s="56">
        <f t="shared" si="48"/>
        <v>0</v>
      </c>
      <c r="AW39" s="45">
        <f t="shared" si="48"/>
        <v>0</v>
      </c>
      <c r="AX39" s="45">
        <f t="shared" si="48"/>
        <v>0</v>
      </c>
      <c r="AY39" s="45">
        <f t="shared" si="48"/>
        <v>0</v>
      </c>
      <c r="AZ39" s="45">
        <f t="shared" si="48"/>
        <v>0</v>
      </c>
      <c r="BA39" s="45">
        <f t="shared" si="48"/>
        <v>0</v>
      </c>
      <c r="BB39" s="45">
        <f t="shared" si="48"/>
        <v>0</v>
      </c>
      <c r="BC39" s="45">
        <f t="shared" si="48"/>
        <v>0</v>
      </c>
      <c r="BD39" s="45">
        <f t="shared" si="48"/>
        <v>0</v>
      </c>
      <c r="BE39" s="45">
        <f t="shared" si="48"/>
        <v>0</v>
      </c>
      <c r="BF39" s="45">
        <f t="shared" si="48"/>
        <v>0</v>
      </c>
      <c r="BG39" s="56">
        <f t="shared" si="48"/>
        <v>0</v>
      </c>
      <c r="BH39" s="45">
        <f t="shared" si="48"/>
        <v>0</v>
      </c>
      <c r="BI39" s="45">
        <f t="shared" si="48"/>
        <v>0</v>
      </c>
      <c r="BJ39" s="45">
        <f t="shared" si="48"/>
        <v>0</v>
      </c>
      <c r="BK39" s="45">
        <f t="shared" si="48"/>
        <v>0</v>
      </c>
      <c r="BL39" s="45">
        <f t="shared" si="48"/>
        <v>0.91638029782359687</v>
      </c>
      <c r="BM39" s="45">
        <f t="shared" si="48"/>
        <v>0.44994375703037126</v>
      </c>
      <c r="BN39" s="45">
        <f t="shared" si="48"/>
        <v>0.84121976866456361</v>
      </c>
      <c r="BO39" s="45">
        <f t="shared" si="48"/>
        <v>0.63405797101449279</v>
      </c>
      <c r="BP39" s="45">
        <f t="shared" si="48"/>
        <v>1.2037037037037037</v>
      </c>
      <c r="BQ39" s="45">
        <f t="shared" si="48"/>
        <v>1.5070921985815602</v>
      </c>
      <c r="BR39" s="45">
        <f t="shared" si="48"/>
        <v>0.39463299131807422</v>
      </c>
      <c r="BS39" s="45">
        <f t="shared" si="48"/>
        <v>1.2305168170631664</v>
      </c>
      <c r="BT39" s="45">
        <f t="shared" si="48"/>
        <v>0.30983733539891561</v>
      </c>
      <c r="BU39" s="45">
        <f t="shared" si="48"/>
        <v>2.0048115477145148</v>
      </c>
      <c r="BV39" s="45">
        <f t="shared" si="48"/>
        <v>1.6553799849510911</v>
      </c>
      <c r="BW39" s="45">
        <f>(BW38/BW4)*100</f>
        <v>3.5460992907801421</v>
      </c>
      <c r="BX39" s="45">
        <f>(BX38/BX4)*100</f>
        <v>3.7625418060200673</v>
      </c>
      <c r="BY39" s="45">
        <f>(BY38/BY4)*100</f>
        <v>4.6974522292993637</v>
      </c>
      <c r="BZ39" s="45">
        <f>(BZ38/BZ4)*100</f>
        <v>7.5593952483801292</v>
      </c>
      <c r="CA39" s="45">
        <f t="shared" ref="CA39:CD39" si="50">(CA38/CA4)*100</f>
        <v>4.0096230954290295</v>
      </c>
      <c r="CB39" s="45">
        <f t="shared" si="50"/>
        <v>0.95902353966870102</v>
      </c>
      <c r="CC39" s="45">
        <f t="shared" si="50"/>
        <v>4.0098199672667754</v>
      </c>
      <c r="CD39" s="45">
        <f t="shared" si="50"/>
        <v>1.9914651493598861</v>
      </c>
      <c r="CE39" s="45">
        <f>(CE38/CE4)*100</f>
        <v>0.1529051987767584</v>
      </c>
      <c r="CF39" s="45">
        <f>(CF38/CF4)*100</f>
        <v>0.32573289902280134</v>
      </c>
      <c r="CG39" s="160">
        <f>(CG38/CG4)*100</f>
        <v>1.8779342723004695</v>
      </c>
    </row>
    <row r="40" spans="1:85" ht="12.75">
      <c r="A40" s="42" t="s">
        <v>51</v>
      </c>
      <c r="B40" s="57"/>
      <c r="C40" s="46"/>
      <c r="D40" s="46"/>
      <c r="E40" s="46"/>
      <c r="F40" s="46"/>
      <c r="G40" s="46">
        <v>140</v>
      </c>
      <c r="H40" s="46"/>
      <c r="I40" s="46"/>
      <c r="J40" s="46">
        <v>163</v>
      </c>
      <c r="K40" s="46">
        <v>209</v>
      </c>
      <c r="L40" s="46">
        <v>229</v>
      </c>
      <c r="M40" s="46">
        <v>240</v>
      </c>
      <c r="N40" s="46">
        <v>274</v>
      </c>
      <c r="O40" s="46">
        <v>234</v>
      </c>
      <c r="P40" s="46">
        <v>246</v>
      </c>
      <c r="Q40" s="46">
        <v>242</v>
      </c>
      <c r="R40" s="46">
        <v>211</v>
      </c>
      <c r="S40" s="46">
        <v>234</v>
      </c>
      <c r="T40" s="46">
        <v>257</v>
      </c>
      <c r="U40" s="46">
        <v>248</v>
      </c>
      <c r="V40" s="46">
        <v>248</v>
      </c>
      <c r="W40" s="46">
        <v>260</v>
      </c>
      <c r="X40" s="46">
        <v>277</v>
      </c>
      <c r="Y40" s="46">
        <v>274</v>
      </c>
      <c r="Z40" s="46">
        <v>232</v>
      </c>
      <c r="AA40" s="4">
        <v>259</v>
      </c>
      <c r="AB40" s="4">
        <v>302</v>
      </c>
      <c r="AC40" s="4">
        <v>314</v>
      </c>
      <c r="AD40" s="4">
        <v>321</v>
      </c>
      <c r="AE40" s="1">
        <v>343</v>
      </c>
      <c r="AF40" s="1">
        <v>384</v>
      </c>
      <c r="AG40" s="1">
        <v>366</v>
      </c>
      <c r="AH40" s="1">
        <v>401</v>
      </c>
      <c r="AI40" s="1">
        <v>448</v>
      </c>
      <c r="AJ40" s="57"/>
      <c r="AK40" s="46"/>
      <c r="AL40" s="46"/>
      <c r="AM40" s="46"/>
      <c r="AN40" s="46"/>
      <c r="AO40" s="46"/>
      <c r="AP40" s="46"/>
      <c r="AQ40" s="46"/>
      <c r="AR40" s="46"/>
      <c r="AS40" s="46"/>
      <c r="AT40" s="46">
        <v>0</v>
      </c>
      <c r="AU40" s="46"/>
      <c r="AV40" s="57"/>
      <c r="AW40" s="46"/>
      <c r="AX40" s="46"/>
      <c r="AY40" s="46"/>
      <c r="AZ40" s="46"/>
      <c r="BA40" s="46"/>
      <c r="BB40" s="46"/>
      <c r="BC40" s="46"/>
      <c r="BD40" s="46"/>
      <c r="BE40" s="46"/>
      <c r="BF40" s="46"/>
      <c r="BG40" s="57">
        <f t="shared" ref="BG40:BG51" si="51">IF(AK40&gt;AV40,(AK40),(AV40))</f>
        <v>0</v>
      </c>
      <c r="BH40" s="46">
        <f t="shared" ref="BH40:BH51" si="52">IF(AN40&gt;AY40,(AN40),(AY40))</f>
        <v>0</v>
      </c>
      <c r="BI40" s="46">
        <f t="shared" ref="BI40:BI51" si="53">IF(AO40&gt;AZ40,(AO40),(AZ40))</f>
        <v>0</v>
      </c>
      <c r="BJ40" s="46">
        <f t="shared" ref="BJ40:BJ51" si="54">IF(AP40&gt;BA40,(AP40),(BA40))</f>
        <v>0</v>
      </c>
      <c r="BK40" s="46">
        <f t="shared" ref="BK40:BK51" si="55">IF(AQ40&gt;BB40,(AQ40),(BB40))</f>
        <v>0</v>
      </c>
      <c r="BL40" s="46">
        <f t="shared" ref="BL40:BL51" si="56">IF(AR40&gt;BC40,(AR40),(BC40))</f>
        <v>0</v>
      </c>
      <c r="BM40" s="46">
        <f t="shared" ref="BM40:BM51" si="57">IF(AS40&gt;BD40,(AS40),(BD40))</f>
        <v>0</v>
      </c>
      <c r="BN40" s="46">
        <f t="shared" ref="BN40:BN51" si="58">IF(AT40&gt;BE40,(AT40),(BE40))</f>
        <v>0</v>
      </c>
      <c r="BO40" s="46">
        <f t="shared" ref="BO40:BO51" si="59">IF(AU40&gt;BF40,(AU40),(BF40))</f>
        <v>0</v>
      </c>
      <c r="BP40" s="46"/>
      <c r="BQ40" s="46"/>
      <c r="BR40" s="46"/>
      <c r="BS40" s="46"/>
      <c r="BT40" s="46"/>
      <c r="BU40" s="46"/>
      <c r="BV40" s="46">
        <v>0</v>
      </c>
      <c r="BW40" s="46">
        <v>0</v>
      </c>
      <c r="BY40" s="1">
        <v>13</v>
      </c>
      <c r="BZ40" s="1">
        <v>28</v>
      </c>
      <c r="CB40" s="1">
        <v>0</v>
      </c>
      <c r="CC40" s="1">
        <v>43</v>
      </c>
      <c r="CD40" s="1">
        <v>26</v>
      </c>
      <c r="CG40" s="8">
        <v>24</v>
      </c>
    </row>
    <row r="41" spans="1:85" ht="12.75">
      <c r="A41" s="42" t="s">
        <v>52</v>
      </c>
      <c r="B41" s="57"/>
      <c r="C41" s="46"/>
      <c r="D41" s="46"/>
      <c r="E41" s="46"/>
      <c r="F41" s="46"/>
      <c r="G41" s="46">
        <v>42</v>
      </c>
      <c r="H41" s="46"/>
      <c r="I41" s="46"/>
      <c r="J41" s="46">
        <v>53</v>
      </c>
      <c r="K41" s="46">
        <v>46</v>
      </c>
      <c r="L41" s="46">
        <v>58</v>
      </c>
      <c r="M41" s="46">
        <v>61</v>
      </c>
      <c r="N41" s="46">
        <v>73</v>
      </c>
      <c r="O41" s="46">
        <v>68</v>
      </c>
      <c r="P41" s="46">
        <v>80</v>
      </c>
      <c r="Q41" s="46">
        <v>75</v>
      </c>
      <c r="R41" s="46">
        <v>79</v>
      </c>
      <c r="S41" s="46">
        <v>77</v>
      </c>
      <c r="T41" s="46">
        <v>78</v>
      </c>
      <c r="U41" s="46">
        <v>89</v>
      </c>
      <c r="V41" s="46">
        <v>74</v>
      </c>
      <c r="W41" s="46">
        <v>96</v>
      </c>
      <c r="X41" s="46">
        <v>83</v>
      </c>
      <c r="Y41" s="46">
        <v>70</v>
      </c>
      <c r="Z41" s="46">
        <v>84</v>
      </c>
      <c r="AA41" s="4">
        <v>83</v>
      </c>
      <c r="AB41" s="4">
        <v>88</v>
      </c>
      <c r="AC41" s="4">
        <v>90</v>
      </c>
      <c r="AD41" s="4">
        <v>102</v>
      </c>
      <c r="AE41" s="1">
        <v>118</v>
      </c>
      <c r="AF41" s="1">
        <v>115</v>
      </c>
      <c r="AG41" s="1">
        <v>110</v>
      </c>
      <c r="AH41" s="1">
        <v>139</v>
      </c>
      <c r="AI41" s="1">
        <v>103</v>
      </c>
      <c r="AJ41" s="57"/>
      <c r="AK41" s="46"/>
      <c r="AL41" s="46"/>
      <c r="AM41" s="46"/>
      <c r="AN41" s="46"/>
      <c r="AO41" s="46"/>
      <c r="AP41" s="46"/>
      <c r="AQ41" s="46"/>
      <c r="AR41" s="46"/>
      <c r="AS41" s="46"/>
      <c r="AT41" s="46"/>
      <c r="AU41" s="46"/>
      <c r="AV41" s="57"/>
      <c r="AW41" s="46"/>
      <c r="AX41" s="46"/>
      <c r="AY41" s="46"/>
      <c r="AZ41" s="46"/>
      <c r="BA41" s="46"/>
      <c r="BB41" s="46"/>
      <c r="BC41" s="46"/>
      <c r="BD41" s="46"/>
      <c r="BE41" s="46"/>
      <c r="BF41" s="46"/>
      <c r="BG41" s="57">
        <f t="shared" si="51"/>
        <v>0</v>
      </c>
      <c r="BH41" s="46">
        <f t="shared" si="52"/>
        <v>0</v>
      </c>
      <c r="BI41" s="46">
        <f t="shared" si="53"/>
        <v>0</v>
      </c>
      <c r="BJ41" s="46">
        <f t="shared" si="54"/>
        <v>0</v>
      </c>
      <c r="BK41" s="46">
        <f t="shared" si="55"/>
        <v>0</v>
      </c>
      <c r="BL41" s="46">
        <f t="shared" si="56"/>
        <v>0</v>
      </c>
      <c r="BM41" s="46">
        <f t="shared" si="57"/>
        <v>0</v>
      </c>
      <c r="BN41" s="46">
        <f t="shared" si="58"/>
        <v>0</v>
      </c>
      <c r="BO41" s="46">
        <f t="shared" si="59"/>
        <v>0</v>
      </c>
      <c r="BP41" s="46"/>
      <c r="BQ41" s="46"/>
      <c r="BR41" s="46"/>
      <c r="BS41" s="46"/>
      <c r="BT41" s="46"/>
      <c r="BU41" s="46"/>
      <c r="BV41" s="46"/>
      <c r="BW41" s="46"/>
      <c r="BY41" s="1">
        <v>0</v>
      </c>
      <c r="BZ41" s="1">
        <v>0</v>
      </c>
      <c r="CB41" s="1">
        <v>0</v>
      </c>
      <c r="CF41" s="1">
        <v>3</v>
      </c>
      <c r="CG41" s="8" t="s">
        <v>37</v>
      </c>
    </row>
    <row r="42" spans="1:85" ht="12.75">
      <c r="A42" s="42" t="s">
        <v>53</v>
      </c>
      <c r="B42" s="57"/>
      <c r="C42" s="46"/>
      <c r="D42" s="46"/>
      <c r="E42" s="46"/>
      <c r="F42" s="46"/>
      <c r="G42" s="46">
        <v>24</v>
      </c>
      <c r="H42" s="46"/>
      <c r="I42" s="46"/>
      <c r="J42" s="46">
        <v>46</v>
      </c>
      <c r="K42" s="46">
        <v>53</v>
      </c>
      <c r="L42" s="46">
        <v>51</v>
      </c>
      <c r="M42" s="46">
        <v>58</v>
      </c>
      <c r="N42" s="46">
        <v>44</v>
      </c>
      <c r="O42" s="46">
        <v>47</v>
      </c>
      <c r="P42" s="46">
        <v>27</v>
      </c>
      <c r="Q42" s="46">
        <v>29</v>
      </c>
      <c r="R42" s="46">
        <v>39</v>
      </c>
      <c r="S42" s="46">
        <v>41</v>
      </c>
      <c r="T42" s="46">
        <v>36</v>
      </c>
      <c r="U42" s="46">
        <v>42</v>
      </c>
      <c r="V42" s="46">
        <v>35</v>
      </c>
      <c r="W42" s="46">
        <v>35</v>
      </c>
      <c r="X42" s="46">
        <v>37</v>
      </c>
      <c r="Y42" s="46">
        <v>46</v>
      </c>
      <c r="Z42" s="46">
        <v>63</v>
      </c>
      <c r="AA42" s="4">
        <v>43</v>
      </c>
      <c r="AB42" s="4">
        <v>34</v>
      </c>
      <c r="AC42" s="4">
        <v>46</v>
      </c>
      <c r="AD42" s="4">
        <v>51</v>
      </c>
      <c r="AE42" s="1">
        <v>51</v>
      </c>
      <c r="AF42" s="1">
        <v>44</v>
      </c>
      <c r="AG42" s="1">
        <v>64</v>
      </c>
      <c r="AH42" s="1">
        <v>48</v>
      </c>
      <c r="AI42" s="1">
        <v>51</v>
      </c>
      <c r="AJ42" s="57"/>
      <c r="AK42" s="46"/>
      <c r="AL42" s="46"/>
      <c r="AM42" s="46"/>
      <c r="AN42" s="46"/>
      <c r="AO42" s="46"/>
      <c r="AP42" s="46"/>
      <c r="AQ42" s="46"/>
      <c r="AR42" s="46"/>
      <c r="AS42" s="46"/>
      <c r="AT42" s="46"/>
      <c r="AU42" s="46"/>
      <c r="AV42" s="57"/>
      <c r="AW42" s="46"/>
      <c r="AX42" s="46"/>
      <c r="AY42" s="46"/>
      <c r="AZ42" s="46"/>
      <c r="BA42" s="46"/>
      <c r="BB42" s="46"/>
      <c r="BC42" s="46"/>
      <c r="BD42" s="46"/>
      <c r="BE42" s="46"/>
      <c r="BF42" s="46"/>
      <c r="BG42" s="57">
        <f t="shared" si="51"/>
        <v>0</v>
      </c>
      <c r="BH42" s="46">
        <f t="shared" si="52"/>
        <v>0</v>
      </c>
      <c r="BI42" s="46">
        <f t="shared" si="53"/>
        <v>0</v>
      </c>
      <c r="BJ42" s="46">
        <f t="shared" si="54"/>
        <v>0</v>
      </c>
      <c r="BK42" s="46">
        <f t="shared" si="55"/>
        <v>0</v>
      </c>
      <c r="BL42" s="46">
        <f t="shared" si="56"/>
        <v>0</v>
      </c>
      <c r="BM42" s="46">
        <f t="shared" si="57"/>
        <v>0</v>
      </c>
      <c r="BN42" s="46">
        <f t="shared" si="58"/>
        <v>0</v>
      </c>
      <c r="BO42" s="46">
        <f t="shared" si="59"/>
        <v>0</v>
      </c>
      <c r="BP42" s="46"/>
      <c r="BQ42" s="46"/>
      <c r="BR42" s="46"/>
      <c r="BS42" s="46"/>
      <c r="BT42" s="46"/>
      <c r="BU42" s="46"/>
      <c r="BV42" s="46"/>
      <c r="BW42" s="46"/>
      <c r="BY42" s="1">
        <v>0</v>
      </c>
      <c r="BZ42" s="1">
        <v>0</v>
      </c>
      <c r="CB42" s="1">
        <v>0</v>
      </c>
      <c r="CG42" s="8" t="s">
        <v>37</v>
      </c>
    </row>
    <row r="43" spans="1:85" ht="12.75">
      <c r="A43" s="42" t="s">
        <v>54</v>
      </c>
      <c r="B43" s="57"/>
      <c r="C43" s="46"/>
      <c r="D43" s="46"/>
      <c r="E43" s="46"/>
      <c r="F43" s="46"/>
      <c r="G43" s="46">
        <v>25</v>
      </c>
      <c r="H43" s="46"/>
      <c r="I43" s="46"/>
      <c r="J43" s="46">
        <v>13</v>
      </c>
      <c r="K43" s="46">
        <v>17</v>
      </c>
      <c r="L43" s="46">
        <v>23</v>
      </c>
      <c r="M43" s="46">
        <v>18</v>
      </c>
      <c r="N43" s="46">
        <v>23</v>
      </c>
      <c r="O43" s="46">
        <v>19</v>
      </c>
      <c r="P43" s="46">
        <v>18</v>
      </c>
      <c r="Q43" s="46">
        <v>27</v>
      </c>
      <c r="R43" s="46">
        <v>25</v>
      </c>
      <c r="S43" s="46">
        <v>20</v>
      </c>
      <c r="T43" s="46">
        <v>31</v>
      </c>
      <c r="U43" s="46">
        <v>27</v>
      </c>
      <c r="V43" s="46">
        <v>30</v>
      </c>
      <c r="W43" s="46">
        <v>22</v>
      </c>
      <c r="X43" s="46">
        <v>18</v>
      </c>
      <c r="Y43" s="46">
        <v>27</v>
      </c>
      <c r="Z43" s="46">
        <v>24</v>
      </c>
      <c r="AA43" s="4">
        <v>25</v>
      </c>
      <c r="AB43" s="4">
        <v>20</v>
      </c>
      <c r="AC43" s="4">
        <v>34</v>
      </c>
      <c r="AD43" s="4">
        <v>31</v>
      </c>
      <c r="AE43" s="1">
        <v>23</v>
      </c>
      <c r="AF43" s="1">
        <v>30</v>
      </c>
      <c r="AG43" s="1">
        <v>17</v>
      </c>
      <c r="AH43" s="1">
        <v>27</v>
      </c>
      <c r="AI43" s="1">
        <v>25</v>
      </c>
      <c r="AJ43" s="57"/>
      <c r="AK43" s="46"/>
      <c r="AL43" s="46"/>
      <c r="AM43" s="46"/>
      <c r="AN43" s="46"/>
      <c r="AO43" s="46"/>
      <c r="AP43" s="46"/>
      <c r="AQ43" s="46"/>
      <c r="AR43" s="46"/>
      <c r="AS43" s="46"/>
      <c r="AT43" s="46"/>
      <c r="AU43" s="46"/>
      <c r="AV43" s="57"/>
      <c r="AW43" s="46"/>
      <c r="AX43" s="46"/>
      <c r="AY43" s="46"/>
      <c r="AZ43" s="46"/>
      <c r="BA43" s="46"/>
      <c r="BB43" s="46"/>
      <c r="BC43" s="46"/>
      <c r="BD43" s="46"/>
      <c r="BE43" s="46"/>
      <c r="BF43" s="46"/>
      <c r="BG43" s="57">
        <f t="shared" si="51"/>
        <v>0</v>
      </c>
      <c r="BH43" s="46">
        <f t="shared" si="52"/>
        <v>0</v>
      </c>
      <c r="BI43" s="46">
        <f t="shared" si="53"/>
        <v>0</v>
      </c>
      <c r="BJ43" s="46">
        <f t="shared" si="54"/>
        <v>0</v>
      </c>
      <c r="BK43" s="46">
        <f t="shared" si="55"/>
        <v>0</v>
      </c>
      <c r="BL43" s="46">
        <f t="shared" si="56"/>
        <v>0</v>
      </c>
      <c r="BM43" s="46">
        <f t="shared" si="57"/>
        <v>0</v>
      </c>
      <c r="BN43" s="46">
        <f t="shared" si="58"/>
        <v>0</v>
      </c>
      <c r="BO43" s="46">
        <f t="shared" si="59"/>
        <v>0</v>
      </c>
      <c r="BP43" s="46"/>
      <c r="BQ43" s="46"/>
      <c r="BR43" s="46"/>
      <c r="BS43" s="46"/>
      <c r="BT43" s="46"/>
      <c r="BU43" s="46"/>
      <c r="BV43" s="46"/>
      <c r="BW43" s="46"/>
      <c r="BY43" s="1">
        <v>0</v>
      </c>
      <c r="BZ43" s="1">
        <v>0</v>
      </c>
      <c r="CB43" s="1">
        <v>0</v>
      </c>
      <c r="CG43" s="8" t="s">
        <v>37</v>
      </c>
    </row>
    <row r="44" spans="1:85" ht="12.75">
      <c r="A44" s="42" t="s">
        <v>55</v>
      </c>
      <c r="B44" s="57"/>
      <c r="C44" s="46"/>
      <c r="D44" s="46"/>
      <c r="E44" s="46"/>
      <c r="F44" s="46"/>
      <c r="G44" s="46">
        <v>172</v>
      </c>
      <c r="H44" s="46"/>
      <c r="I44" s="46"/>
      <c r="J44" s="46">
        <v>194</v>
      </c>
      <c r="K44" s="46">
        <v>184</v>
      </c>
      <c r="L44" s="46">
        <v>199</v>
      </c>
      <c r="M44" s="46">
        <v>195</v>
      </c>
      <c r="N44" s="46">
        <v>167</v>
      </c>
      <c r="O44" s="46">
        <v>192</v>
      </c>
      <c r="P44" s="46">
        <v>195</v>
      </c>
      <c r="Q44" s="46">
        <v>171</v>
      </c>
      <c r="R44" s="46">
        <v>214</v>
      </c>
      <c r="S44" s="46">
        <v>255</v>
      </c>
      <c r="T44" s="46">
        <v>263</v>
      </c>
      <c r="U44" s="46">
        <v>277</v>
      </c>
      <c r="V44" s="46">
        <v>263</v>
      </c>
      <c r="W44" s="46">
        <v>253</v>
      </c>
      <c r="X44" s="46">
        <v>269</v>
      </c>
      <c r="Y44" s="46">
        <v>270</v>
      </c>
      <c r="Z44" s="46">
        <v>270</v>
      </c>
      <c r="AA44" s="4">
        <v>277</v>
      </c>
      <c r="AB44" s="4">
        <v>249</v>
      </c>
      <c r="AC44" s="4">
        <v>276</v>
      </c>
      <c r="AD44" s="4">
        <v>253</v>
      </c>
      <c r="AE44" s="1">
        <v>187</v>
      </c>
      <c r="AF44" s="1">
        <v>198</v>
      </c>
      <c r="AG44" s="1">
        <v>216</v>
      </c>
      <c r="AH44" s="1">
        <v>190</v>
      </c>
      <c r="AI44" s="1">
        <v>249</v>
      </c>
      <c r="AJ44" s="57"/>
      <c r="AK44" s="46"/>
      <c r="AL44" s="46"/>
      <c r="AM44" s="46"/>
      <c r="AN44" s="46"/>
      <c r="AO44" s="46"/>
      <c r="AP44" s="46"/>
      <c r="AQ44" s="46"/>
      <c r="AR44" s="46"/>
      <c r="AS44" s="46"/>
      <c r="AT44" s="46"/>
      <c r="AU44" s="46"/>
      <c r="AV44" s="57"/>
      <c r="AW44" s="46"/>
      <c r="AX44" s="46"/>
      <c r="AY44" s="46"/>
      <c r="AZ44" s="46"/>
      <c r="BA44" s="46"/>
      <c r="BB44" s="46"/>
      <c r="BC44" s="46"/>
      <c r="BD44" s="46"/>
      <c r="BE44" s="46"/>
      <c r="BF44" s="46"/>
      <c r="BG44" s="57">
        <f t="shared" si="51"/>
        <v>0</v>
      </c>
      <c r="BH44" s="46">
        <f t="shared" si="52"/>
        <v>0</v>
      </c>
      <c r="BI44" s="46">
        <f t="shared" si="53"/>
        <v>0</v>
      </c>
      <c r="BJ44" s="46">
        <f t="shared" si="54"/>
        <v>0</v>
      </c>
      <c r="BK44" s="46">
        <f t="shared" si="55"/>
        <v>0</v>
      </c>
      <c r="BL44" s="46">
        <f t="shared" si="56"/>
        <v>0</v>
      </c>
      <c r="BM44" s="46">
        <f t="shared" si="57"/>
        <v>0</v>
      </c>
      <c r="BN44" s="46">
        <f t="shared" si="58"/>
        <v>0</v>
      </c>
      <c r="BO44" s="46">
        <f t="shared" si="59"/>
        <v>0</v>
      </c>
      <c r="BP44" s="46"/>
      <c r="BQ44" s="46"/>
      <c r="BR44" s="46"/>
      <c r="BS44" s="46">
        <v>1</v>
      </c>
      <c r="BT44" s="46"/>
      <c r="BU44" s="46"/>
      <c r="BV44" s="46">
        <v>5</v>
      </c>
      <c r="BW44" s="46">
        <v>8</v>
      </c>
      <c r="BX44" s="1">
        <v>7</v>
      </c>
      <c r="BY44" s="1">
        <v>11</v>
      </c>
      <c r="BZ44" s="1">
        <v>3</v>
      </c>
      <c r="CA44" s="1">
        <v>8</v>
      </c>
      <c r="CB44" s="1">
        <v>11</v>
      </c>
      <c r="CC44" s="1">
        <v>5</v>
      </c>
      <c r="CD44" s="1">
        <v>0</v>
      </c>
      <c r="CG44" s="8" t="s">
        <v>37</v>
      </c>
    </row>
    <row r="45" spans="1:85" ht="12.75">
      <c r="A45" s="42" t="s">
        <v>56</v>
      </c>
      <c r="B45" s="57"/>
      <c r="C45" s="46"/>
      <c r="D45" s="46"/>
      <c r="E45" s="46"/>
      <c r="F45" s="46"/>
      <c r="G45" s="46">
        <v>22</v>
      </c>
      <c r="H45" s="46"/>
      <c r="I45" s="46"/>
      <c r="J45" s="46">
        <v>34</v>
      </c>
      <c r="K45" s="46">
        <v>43</v>
      </c>
      <c r="L45" s="46">
        <v>33</v>
      </c>
      <c r="M45" s="46">
        <v>47</v>
      </c>
      <c r="N45" s="46">
        <v>39</v>
      </c>
      <c r="O45" s="46">
        <v>31</v>
      </c>
      <c r="P45" s="46">
        <v>55</v>
      </c>
      <c r="Q45" s="46">
        <v>34</v>
      </c>
      <c r="R45" s="46">
        <v>41</v>
      </c>
      <c r="S45" s="46">
        <v>44</v>
      </c>
      <c r="T45" s="46">
        <v>56</v>
      </c>
      <c r="U45" s="46">
        <v>49</v>
      </c>
      <c r="V45" s="46">
        <v>49</v>
      </c>
      <c r="W45" s="46">
        <v>38</v>
      </c>
      <c r="X45" s="46">
        <v>48</v>
      </c>
      <c r="Y45" s="46">
        <v>52</v>
      </c>
      <c r="Z45" s="46">
        <v>39</v>
      </c>
      <c r="AA45" s="4">
        <v>57</v>
      </c>
      <c r="AB45" s="4">
        <v>61</v>
      </c>
      <c r="AC45" s="4">
        <v>48</v>
      </c>
      <c r="AD45" s="4">
        <v>52</v>
      </c>
      <c r="AE45" s="1">
        <v>43</v>
      </c>
      <c r="AF45" s="1">
        <v>52</v>
      </c>
      <c r="AG45" s="1">
        <v>63</v>
      </c>
      <c r="AH45" s="1">
        <v>63</v>
      </c>
      <c r="AI45" s="1">
        <v>87</v>
      </c>
      <c r="AJ45" s="57"/>
      <c r="AK45" s="46"/>
      <c r="AL45" s="46"/>
      <c r="AM45" s="46"/>
      <c r="AN45" s="46"/>
      <c r="AO45" s="46"/>
      <c r="AP45" s="46"/>
      <c r="AQ45" s="46"/>
      <c r="AR45" s="46"/>
      <c r="AS45" s="46"/>
      <c r="AT45" s="46"/>
      <c r="AU45" s="46"/>
      <c r="AV45" s="57"/>
      <c r="AW45" s="46"/>
      <c r="AX45" s="46"/>
      <c r="AY45" s="46"/>
      <c r="AZ45" s="46"/>
      <c r="BA45" s="46"/>
      <c r="BB45" s="46"/>
      <c r="BC45" s="46"/>
      <c r="BD45" s="46"/>
      <c r="BE45" s="46"/>
      <c r="BF45" s="46"/>
      <c r="BG45" s="57">
        <f t="shared" si="51"/>
        <v>0</v>
      </c>
      <c r="BH45" s="46">
        <f t="shared" si="52"/>
        <v>0</v>
      </c>
      <c r="BI45" s="46">
        <f t="shared" si="53"/>
        <v>0</v>
      </c>
      <c r="BJ45" s="46">
        <f t="shared" si="54"/>
        <v>0</v>
      </c>
      <c r="BK45" s="46">
        <f t="shared" si="55"/>
        <v>0</v>
      </c>
      <c r="BL45" s="46">
        <f t="shared" si="56"/>
        <v>0</v>
      </c>
      <c r="BM45" s="46">
        <f t="shared" si="57"/>
        <v>0</v>
      </c>
      <c r="BN45" s="46">
        <f t="shared" si="58"/>
        <v>0</v>
      </c>
      <c r="BO45" s="46">
        <f t="shared" si="59"/>
        <v>0</v>
      </c>
      <c r="BP45" s="46"/>
      <c r="BQ45" s="46"/>
      <c r="BR45" s="46"/>
      <c r="BS45" s="46"/>
      <c r="BT45" s="46"/>
      <c r="BU45" s="46"/>
      <c r="BV45" s="46"/>
      <c r="BW45" s="46"/>
      <c r="BY45" s="1">
        <v>0</v>
      </c>
      <c r="BZ45" s="1">
        <v>0</v>
      </c>
      <c r="CB45" s="1">
        <v>0</v>
      </c>
      <c r="CG45" s="8" t="s">
        <v>37</v>
      </c>
    </row>
    <row r="46" spans="1:85" ht="12.75">
      <c r="A46" s="42" t="s">
        <v>57</v>
      </c>
      <c r="B46" s="57"/>
      <c r="C46" s="46"/>
      <c r="D46" s="46"/>
      <c r="E46" s="46"/>
      <c r="F46" s="46"/>
      <c r="G46" s="46">
        <v>58</v>
      </c>
      <c r="H46" s="46"/>
      <c r="I46" s="46"/>
      <c r="J46" s="46">
        <v>61</v>
      </c>
      <c r="K46" s="46">
        <v>59</v>
      </c>
      <c r="L46" s="46">
        <v>60</v>
      </c>
      <c r="M46" s="46">
        <v>67</v>
      </c>
      <c r="N46" s="46">
        <v>81</v>
      </c>
      <c r="O46" s="46">
        <v>94</v>
      </c>
      <c r="P46" s="46">
        <v>90</v>
      </c>
      <c r="Q46" s="46">
        <v>101</v>
      </c>
      <c r="R46" s="46">
        <v>96</v>
      </c>
      <c r="S46" s="46">
        <v>92</v>
      </c>
      <c r="T46" s="46">
        <v>119</v>
      </c>
      <c r="U46" s="46">
        <v>110</v>
      </c>
      <c r="V46" s="46">
        <v>93</v>
      </c>
      <c r="W46" s="46">
        <v>82</v>
      </c>
      <c r="X46" s="46">
        <v>91</v>
      </c>
      <c r="Y46" s="46">
        <v>106</v>
      </c>
      <c r="Z46" s="46">
        <v>136</v>
      </c>
      <c r="AA46" s="4">
        <v>114</v>
      </c>
      <c r="AB46" s="4">
        <v>119</v>
      </c>
      <c r="AC46" s="4">
        <v>95</v>
      </c>
      <c r="AD46" s="4">
        <v>110</v>
      </c>
      <c r="AE46" s="1">
        <v>113</v>
      </c>
      <c r="AF46" s="1">
        <v>132</v>
      </c>
      <c r="AG46" s="1">
        <v>127</v>
      </c>
      <c r="AH46" s="1">
        <v>136</v>
      </c>
      <c r="AI46" s="1">
        <v>160</v>
      </c>
      <c r="AJ46" s="57"/>
      <c r="AK46" s="46"/>
      <c r="AL46" s="46"/>
      <c r="AM46" s="46"/>
      <c r="AN46" s="46"/>
      <c r="AO46" s="46"/>
      <c r="AP46" s="46"/>
      <c r="AQ46" s="46"/>
      <c r="AR46" s="46"/>
      <c r="AS46" s="46"/>
      <c r="AT46" s="46"/>
      <c r="AU46" s="46"/>
      <c r="AV46" s="57"/>
      <c r="AW46" s="46"/>
      <c r="AX46" s="46"/>
      <c r="AY46" s="46"/>
      <c r="AZ46" s="46"/>
      <c r="BA46" s="46"/>
      <c r="BB46" s="46"/>
      <c r="BC46" s="46"/>
      <c r="BD46" s="46"/>
      <c r="BE46" s="46">
        <v>0</v>
      </c>
      <c r="BF46" s="46"/>
      <c r="BG46" s="57">
        <f t="shared" si="51"/>
        <v>0</v>
      </c>
      <c r="BH46" s="46">
        <f t="shared" si="52"/>
        <v>0</v>
      </c>
      <c r="BI46" s="46">
        <f t="shared" si="53"/>
        <v>0</v>
      </c>
      <c r="BJ46" s="46">
        <f t="shared" si="54"/>
        <v>0</v>
      </c>
      <c r="BK46" s="46">
        <f t="shared" si="55"/>
        <v>0</v>
      </c>
      <c r="BL46" s="46">
        <f t="shared" si="56"/>
        <v>0</v>
      </c>
      <c r="BM46" s="46">
        <f t="shared" si="57"/>
        <v>0</v>
      </c>
      <c r="BN46" s="46">
        <f t="shared" si="58"/>
        <v>0</v>
      </c>
      <c r="BO46" s="46">
        <f t="shared" si="59"/>
        <v>0</v>
      </c>
      <c r="BP46" s="46"/>
      <c r="BQ46" s="46"/>
      <c r="BR46" s="46"/>
      <c r="BS46" s="46"/>
      <c r="BT46" s="46"/>
      <c r="BU46" s="46"/>
      <c r="BV46" s="46"/>
      <c r="BW46" s="46"/>
      <c r="BY46" s="1">
        <v>0</v>
      </c>
      <c r="BZ46" s="1">
        <v>0</v>
      </c>
      <c r="CB46" s="1">
        <v>0</v>
      </c>
      <c r="CG46" s="8" t="s">
        <v>37</v>
      </c>
    </row>
    <row r="47" spans="1:85" ht="12.75">
      <c r="A47" s="42" t="s">
        <v>58</v>
      </c>
      <c r="B47" s="57"/>
      <c r="C47" s="46"/>
      <c r="D47" s="46"/>
      <c r="E47" s="46"/>
      <c r="F47" s="46"/>
      <c r="G47" s="46">
        <v>20</v>
      </c>
      <c r="H47" s="46"/>
      <c r="I47" s="46"/>
      <c r="J47" s="46">
        <v>15</v>
      </c>
      <c r="K47" s="46">
        <v>19</v>
      </c>
      <c r="L47" s="46">
        <v>23</v>
      </c>
      <c r="M47" s="46">
        <v>28</v>
      </c>
      <c r="N47" s="46">
        <v>17</v>
      </c>
      <c r="O47" s="46">
        <v>9</v>
      </c>
      <c r="P47" s="46">
        <v>13</v>
      </c>
      <c r="Q47" s="46">
        <v>13</v>
      </c>
      <c r="R47" s="46">
        <v>17</v>
      </c>
      <c r="S47" s="46">
        <v>21</v>
      </c>
      <c r="T47" s="46">
        <v>19</v>
      </c>
      <c r="U47" s="46">
        <v>17</v>
      </c>
      <c r="V47" s="46">
        <v>27</v>
      </c>
      <c r="W47" s="46">
        <v>17</v>
      </c>
      <c r="X47" s="46">
        <v>25</v>
      </c>
      <c r="Y47" s="46">
        <v>25</v>
      </c>
      <c r="Z47" s="46">
        <v>19</v>
      </c>
      <c r="AA47" s="4">
        <v>23</v>
      </c>
      <c r="AB47" s="4">
        <v>25</v>
      </c>
      <c r="AC47" s="4">
        <v>23</v>
      </c>
      <c r="AD47" s="4">
        <v>34</v>
      </c>
      <c r="AE47" s="1">
        <v>22</v>
      </c>
      <c r="AF47" s="1">
        <v>33</v>
      </c>
      <c r="AG47" s="1">
        <v>30</v>
      </c>
      <c r="AH47" s="1">
        <v>37</v>
      </c>
      <c r="AI47" s="1">
        <v>27</v>
      </c>
      <c r="AJ47" s="57"/>
      <c r="AK47" s="46"/>
      <c r="AL47" s="46"/>
      <c r="AM47" s="46"/>
      <c r="AN47" s="46"/>
      <c r="AO47" s="46"/>
      <c r="AP47" s="46"/>
      <c r="AQ47" s="46"/>
      <c r="AR47" s="46"/>
      <c r="AS47" s="46"/>
      <c r="AT47" s="46"/>
      <c r="AU47" s="46"/>
      <c r="AV47" s="57"/>
      <c r="AW47" s="46"/>
      <c r="AX47" s="46"/>
      <c r="AY47" s="46"/>
      <c r="AZ47" s="46"/>
      <c r="BA47" s="46"/>
      <c r="BB47" s="46"/>
      <c r="BC47" s="46"/>
      <c r="BD47" s="46"/>
      <c r="BE47" s="46"/>
      <c r="BF47" s="46"/>
      <c r="BG47" s="57">
        <f t="shared" si="51"/>
        <v>0</v>
      </c>
      <c r="BH47" s="46">
        <f t="shared" si="52"/>
        <v>0</v>
      </c>
      <c r="BI47" s="46">
        <f t="shared" si="53"/>
        <v>0</v>
      </c>
      <c r="BJ47" s="46">
        <f t="shared" si="54"/>
        <v>0</v>
      </c>
      <c r="BK47" s="46">
        <f t="shared" si="55"/>
        <v>0</v>
      </c>
      <c r="BL47" s="46">
        <f t="shared" si="56"/>
        <v>0</v>
      </c>
      <c r="BM47" s="46">
        <f t="shared" si="57"/>
        <v>0</v>
      </c>
      <c r="BN47" s="46">
        <f t="shared" si="58"/>
        <v>0</v>
      </c>
      <c r="BO47" s="46">
        <f t="shared" si="59"/>
        <v>0</v>
      </c>
      <c r="BP47" s="46"/>
      <c r="BQ47" s="46"/>
      <c r="BR47" s="46"/>
      <c r="BS47" s="46"/>
      <c r="BT47" s="46"/>
      <c r="BU47" s="46"/>
      <c r="BV47" s="46"/>
      <c r="BW47" s="46"/>
      <c r="BY47" s="1">
        <v>0</v>
      </c>
      <c r="BZ47" s="1">
        <v>0</v>
      </c>
      <c r="CB47" s="1">
        <v>0</v>
      </c>
      <c r="CG47" s="8" t="s">
        <v>37</v>
      </c>
    </row>
    <row r="48" spans="1:85" ht="12.75">
      <c r="A48" s="42" t="s">
        <v>59</v>
      </c>
      <c r="B48" s="57"/>
      <c r="C48" s="46"/>
      <c r="D48" s="46"/>
      <c r="E48" s="46"/>
      <c r="F48" s="46"/>
      <c r="G48" s="46">
        <v>0</v>
      </c>
      <c r="H48" s="46"/>
      <c r="I48" s="46"/>
      <c r="J48" s="46">
        <v>0</v>
      </c>
      <c r="K48" s="46">
        <v>1</v>
      </c>
      <c r="L48" s="46"/>
      <c r="M48" s="46">
        <v>0</v>
      </c>
      <c r="N48" s="46">
        <v>1</v>
      </c>
      <c r="O48" s="46">
        <v>0</v>
      </c>
      <c r="P48" s="46">
        <v>0</v>
      </c>
      <c r="Q48" s="46">
        <v>2</v>
      </c>
      <c r="R48" s="46">
        <v>0</v>
      </c>
      <c r="S48" s="46">
        <v>1</v>
      </c>
      <c r="T48" s="46">
        <v>0</v>
      </c>
      <c r="U48" s="46">
        <v>2</v>
      </c>
      <c r="V48" s="46">
        <v>1</v>
      </c>
      <c r="W48" s="46">
        <v>0</v>
      </c>
      <c r="X48" s="46">
        <v>0</v>
      </c>
      <c r="Y48" s="46">
        <v>2</v>
      </c>
      <c r="Z48" s="46">
        <v>3</v>
      </c>
      <c r="AA48" s="4">
        <v>2</v>
      </c>
      <c r="AB48" s="4">
        <v>3</v>
      </c>
      <c r="AC48" s="4">
        <v>6</v>
      </c>
      <c r="AD48" s="4">
        <v>1</v>
      </c>
      <c r="AE48" s="1">
        <v>2</v>
      </c>
      <c r="AF48" s="1">
        <v>3</v>
      </c>
      <c r="AG48" s="1">
        <v>8</v>
      </c>
      <c r="AH48" s="1">
        <v>15</v>
      </c>
      <c r="AI48" s="1">
        <v>8</v>
      </c>
      <c r="AJ48" s="57"/>
      <c r="AK48" s="46"/>
      <c r="AL48" s="46"/>
      <c r="AM48" s="46"/>
      <c r="AN48" s="46"/>
      <c r="AO48" s="46"/>
      <c r="AP48" s="46"/>
      <c r="AQ48" s="46"/>
      <c r="AR48" s="46"/>
      <c r="AS48" s="46"/>
      <c r="AT48" s="46"/>
      <c r="AU48" s="46"/>
      <c r="AV48" s="57"/>
      <c r="AW48" s="46"/>
      <c r="AX48" s="46"/>
      <c r="AY48" s="46"/>
      <c r="AZ48" s="46"/>
      <c r="BA48" s="46"/>
      <c r="BB48" s="46"/>
      <c r="BC48" s="46"/>
      <c r="BD48" s="46"/>
      <c r="BE48" s="46"/>
      <c r="BF48" s="46"/>
      <c r="BG48" s="57">
        <f t="shared" si="51"/>
        <v>0</v>
      </c>
      <c r="BH48" s="46">
        <f t="shared" si="52"/>
        <v>0</v>
      </c>
      <c r="BI48" s="46">
        <f t="shared" si="53"/>
        <v>0</v>
      </c>
      <c r="BJ48" s="46">
        <f t="shared" si="54"/>
        <v>0</v>
      </c>
      <c r="BK48" s="46">
        <f t="shared" si="55"/>
        <v>0</v>
      </c>
      <c r="BL48" s="46">
        <f t="shared" si="56"/>
        <v>0</v>
      </c>
      <c r="BM48" s="46">
        <f t="shared" si="57"/>
        <v>0</v>
      </c>
      <c r="BN48" s="46">
        <f t="shared" si="58"/>
        <v>0</v>
      </c>
      <c r="BO48" s="46">
        <f t="shared" si="59"/>
        <v>0</v>
      </c>
      <c r="BP48" s="46"/>
      <c r="BQ48" s="46"/>
      <c r="BR48" s="46"/>
      <c r="BS48" s="46"/>
      <c r="BT48" s="46"/>
      <c r="BU48" s="46"/>
      <c r="BV48" s="46"/>
      <c r="BW48" s="46"/>
      <c r="BY48" s="1">
        <v>0</v>
      </c>
      <c r="BZ48" s="1">
        <v>0</v>
      </c>
      <c r="CB48" s="1">
        <v>0</v>
      </c>
      <c r="CG48" s="8" t="s">
        <v>37</v>
      </c>
    </row>
    <row r="49" spans="1:85" ht="12.75">
      <c r="A49" s="42" t="s">
        <v>60</v>
      </c>
      <c r="B49" s="57"/>
      <c r="C49" s="46"/>
      <c r="D49" s="46"/>
      <c r="E49" s="46"/>
      <c r="F49" s="46"/>
      <c r="G49" s="46">
        <v>145</v>
      </c>
      <c r="H49" s="46"/>
      <c r="I49" s="46"/>
      <c r="J49" s="46">
        <v>156</v>
      </c>
      <c r="K49" s="46">
        <v>179</v>
      </c>
      <c r="L49" s="46">
        <v>219</v>
      </c>
      <c r="M49" s="46">
        <v>208</v>
      </c>
      <c r="N49" s="46">
        <v>202</v>
      </c>
      <c r="O49" s="46">
        <v>198</v>
      </c>
      <c r="P49" s="46">
        <v>233</v>
      </c>
      <c r="Q49" s="46">
        <v>211</v>
      </c>
      <c r="R49" s="46">
        <v>195</v>
      </c>
      <c r="S49" s="46">
        <v>179</v>
      </c>
      <c r="T49" s="46">
        <v>196</v>
      </c>
      <c r="U49" s="46">
        <v>209</v>
      </c>
      <c r="V49" s="46">
        <v>197</v>
      </c>
      <c r="W49" s="46">
        <v>191</v>
      </c>
      <c r="X49" s="46">
        <v>201</v>
      </c>
      <c r="Y49" s="46">
        <v>208</v>
      </c>
      <c r="Z49" s="46">
        <v>222</v>
      </c>
      <c r="AA49" s="4">
        <v>238</v>
      </c>
      <c r="AB49" s="4">
        <v>263</v>
      </c>
      <c r="AC49" s="4">
        <v>212</v>
      </c>
      <c r="AD49" s="4">
        <v>268</v>
      </c>
      <c r="AE49" s="1">
        <v>237</v>
      </c>
      <c r="AF49" s="1">
        <v>215</v>
      </c>
      <c r="AG49" s="1">
        <v>230</v>
      </c>
      <c r="AH49" s="1">
        <v>251</v>
      </c>
      <c r="AI49" s="1">
        <v>261</v>
      </c>
      <c r="AJ49" s="57"/>
      <c r="AK49" s="46"/>
      <c r="AL49" s="46"/>
      <c r="AM49" s="46"/>
      <c r="AN49" s="46"/>
      <c r="AO49" s="46"/>
      <c r="AP49" s="46"/>
      <c r="AQ49" s="46"/>
      <c r="AR49" s="46">
        <v>8</v>
      </c>
      <c r="AS49" s="46">
        <v>4</v>
      </c>
      <c r="AT49" s="46">
        <v>8</v>
      </c>
      <c r="AU49" s="46">
        <v>7</v>
      </c>
      <c r="AV49" s="57"/>
      <c r="AW49" s="46"/>
      <c r="AX49" s="46"/>
      <c r="AY49" s="46"/>
      <c r="AZ49" s="46"/>
      <c r="BA49" s="46"/>
      <c r="BB49" s="46"/>
      <c r="BC49" s="46"/>
      <c r="BD49" s="46"/>
      <c r="BE49" s="46"/>
      <c r="BF49" s="46"/>
      <c r="BG49" s="57">
        <f t="shared" si="51"/>
        <v>0</v>
      </c>
      <c r="BH49" s="46">
        <f t="shared" si="52"/>
        <v>0</v>
      </c>
      <c r="BI49" s="46">
        <f t="shared" si="53"/>
        <v>0</v>
      </c>
      <c r="BJ49" s="46">
        <f t="shared" si="54"/>
        <v>0</v>
      </c>
      <c r="BK49" s="46">
        <f t="shared" si="55"/>
        <v>0</v>
      </c>
      <c r="BL49" s="46">
        <f t="shared" si="56"/>
        <v>8</v>
      </c>
      <c r="BM49" s="46">
        <f t="shared" si="57"/>
        <v>4</v>
      </c>
      <c r="BN49" s="46">
        <f t="shared" si="58"/>
        <v>8</v>
      </c>
      <c r="BO49" s="46">
        <f t="shared" si="59"/>
        <v>7</v>
      </c>
      <c r="BP49" s="46">
        <v>13</v>
      </c>
      <c r="BQ49" s="46">
        <v>17</v>
      </c>
      <c r="BR49" s="46">
        <v>5</v>
      </c>
      <c r="BS49" s="46">
        <v>14</v>
      </c>
      <c r="BT49" s="46">
        <v>4</v>
      </c>
      <c r="BU49" s="46">
        <v>25</v>
      </c>
      <c r="BV49" s="46">
        <v>17</v>
      </c>
      <c r="BW49" s="46">
        <v>32</v>
      </c>
      <c r="BX49" s="1">
        <v>38</v>
      </c>
      <c r="BY49" s="1">
        <v>35</v>
      </c>
      <c r="BZ49" s="1">
        <v>74</v>
      </c>
      <c r="CA49" s="1">
        <v>42</v>
      </c>
      <c r="CB49" s="1">
        <v>0</v>
      </c>
      <c r="CC49" s="1">
        <v>1</v>
      </c>
      <c r="CD49" s="1">
        <v>2</v>
      </c>
      <c r="CE49" s="1">
        <v>2</v>
      </c>
      <c r="CF49" s="1">
        <v>1</v>
      </c>
      <c r="CG49" s="8" t="s">
        <v>37</v>
      </c>
    </row>
    <row r="50" spans="1:85" ht="12.75">
      <c r="A50" s="42" t="s">
        <v>61</v>
      </c>
      <c r="B50" s="57"/>
      <c r="C50" s="46"/>
      <c r="D50" s="46"/>
      <c r="E50" s="46"/>
      <c r="F50" s="46"/>
      <c r="G50" s="46">
        <v>1</v>
      </c>
      <c r="H50" s="46"/>
      <c r="I50" s="46"/>
      <c r="J50" s="46">
        <v>0</v>
      </c>
      <c r="K50" s="46">
        <v>0</v>
      </c>
      <c r="L50" s="46"/>
      <c r="M50" s="46">
        <v>0</v>
      </c>
      <c r="N50" s="46">
        <v>1</v>
      </c>
      <c r="O50" s="46">
        <v>0</v>
      </c>
      <c r="P50" s="46">
        <v>1</v>
      </c>
      <c r="Q50" s="46">
        <v>2</v>
      </c>
      <c r="R50" s="46">
        <v>3</v>
      </c>
      <c r="S50" s="46">
        <v>1</v>
      </c>
      <c r="T50" s="46">
        <v>1</v>
      </c>
      <c r="U50" s="46"/>
      <c r="V50" s="46">
        <v>1</v>
      </c>
      <c r="W50" s="46">
        <v>1</v>
      </c>
      <c r="X50" s="46">
        <v>0</v>
      </c>
      <c r="Y50" s="46">
        <v>0</v>
      </c>
      <c r="Z50" s="46">
        <v>3</v>
      </c>
      <c r="AA50" s="4">
        <v>0</v>
      </c>
      <c r="AB50" s="4">
        <v>4</v>
      </c>
      <c r="AC50" s="4">
        <v>2</v>
      </c>
      <c r="AD50" s="4">
        <v>3</v>
      </c>
      <c r="AE50" s="1">
        <v>2</v>
      </c>
      <c r="AF50" s="1">
        <v>4</v>
      </c>
      <c r="AG50" s="1">
        <v>1</v>
      </c>
      <c r="AH50" s="1">
        <v>6</v>
      </c>
      <c r="AI50" s="1">
        <v>2</v>
      </c>
      <c r="AJ50" s="57"/>
      <c r="AK50" s="46"/>
      <c r="AL50" s="46"/>
      <c r="AM50" s="46"/>
      <c r="AN50" s="46"/>
      <c r="AO50" s="46"/>
      <c r="AP50" s="46"/>
      <c r="AQ50" s="46"/>
      <c r="AR50" s="46"/>
      <c r="AS50" s="46"/>
      <c r="AT50" s="46"/>
      <c r="AU50" s="46"/>
      <c r="AV50" s="57"/>
      <c r="AW50" s="46"/>
      <c r="AX50" s="46"/>
      <c r="AY50" s="46"/>
      <c r="AZ50" s="46"/>
      <c r="BA50" s="46"/>
      <c r="BB50" s="46"/>
      <c r="BC50" s="46"/>
      <c r="BD50" s="46"/>
      <c r="BE50" s="46"/>
      <c r="BF50" s="46"/>
      <c r="BG50" s="57">
        <f t="shared" si="51"/>
        <v>0</v>
      </c>
      <c r="BH50" s="46">
        <f t="shared" si="52"/>
        <v>0</v>
      </c>
      <c r="BI50" s="46">
        <f t="shared" si="53"/>
        <v>0</v>
      </c>
      <c r="BJ50" s="46">
        <f t="shared" si="54"/>
        <v>0</v>
      </c>
      <c r="BK50" s="46">
        <f t="shared" si="55"/>
        <v>0</v>
      </c>
      <c r="BL50" s="46">
        <f t="shared" si="56"/>
        <v>0</v>
      </c>
      <c r="BM50" s="46">
        <f t="shared" si="57"/>
        <v>0</v>
      </c>
      <c r="BN50" s="46">
        <f t="shared" si="58"/>
        <v>0</v>
      </c>
      <c r="BO50" s="46">
        <f t="shared" si="59"/>
        <v>0</v>
      </c>
      <c r="BP50" s="46"/>
      <c r="BQ50" s="46"/>
      <c r="BR50" s="46"/>
      <c r="BS50" s="46"/>
      <c r="BT50" s="46"/>
      <c r="BU50" s="46"/>
      <c r="BV50" s="46"/>
      <c r="BW50" s="46"/>
      <c r="BY50" s="1">
        <v>0</v>
      </c>
      <c r="BZ50" s="1">
        <v>0</v>
      </c>
      <c r="CB50" s="1">
        <v>0</v>
      </c>
      <c r="CG50" s="8" t="s">
        <v>37</v>
      </c>
    </row>
    <row r="51" spans="1:85" ht="12.75">
      <c r="A51" s="47" t="s">
        <v>62</v>
      </c>
      <c r="B51" s="58"/>
      <c r="C51" s="48"/>
      <c r="D51" s="48"/>
      <c r="E51" s="48"/>
      <c r="F51" s="48"/>
      <c r="G51" s="48">
        <v>22</v>
      </c>
      <c r="H51" s="48"/>
      <c r="I51" s="48"/>
      <c r="J51" s="48">
        <v>21</v>
      </c>
      <c r="K51" s="48">
        <v>27</v>
      </c>
      <c r="L51" s="48">
        <v>21</v>
      </c>
      <c r="M51" s="48">
        <v>40</v>
      </c>
      <c r="N51" s="48">
        <v>42</v>
      </c>
      <c r="O51" s="48">
        <v>44</v>
      </c>
      <c r="P51" s="48">
        <v>53</v>
      </c>
      <c r="Q51" s="48">
        <v>43</v>
      </c>
      <c r="R51" s="48">
        <v>33</v>
      </c>
      <c r="S51" s="48">
        <v>25</v>
      </c>
      <c r="T51" s="48">
        <v>36</v>
      </c>
      <c r="U51" s="48">
        <v>41</v>
      </c>
      <c r="V51" s="48">
        <v>34</v>
      </c>
      <c r="W51" s="48">
        <v>41</v>
      </c>
      <c r="X51" s="48">
        <v>50</v>
      </c>
      <c r="Y51" s="48">
        <v>61</v>
      </c>
      <c r="Z51" s="48">
        <v>42</v>
      </c>
      <c r="AA51" s="94">
        <v>49</v>
      </c>
      <c r="AB51" s="94">
        <v>48</v>
      </c>
      <c r="AC51" s="94">
        <v>56</v>
      </c>
      <c r="AD51" s="94">
        <v>68</v>
      </c>
      <c r="AE51" s="1">
        <v>55</v>
      </c>
      <c r="AF51" s="1">
        <v>43</v>
      </c>
      <c r="AG51" s="1">
        <v>54</v>
      </c>
      <c r="AH51" s="1">
        <v>57</v>
      </c>
      <c r="AI51" s="1">
        <v>57</v>
      </c>
      <c r="AJ51" s="58"/>
      <c r="AK51" s="48"/>
      <c r="AL51" s="48"/>
      <c r="AM51" s="48"/>
      <c r="AN51" s="48"/>
      <c r="AO51" s="48"/>
      <c r="AP51" s="48"/>
      <c r="AQ51" s="48"/>
      <c r="AR51" s="48"/>
      <c r="AS51" s="48"/>
      <c r="AT51" s="48"/>
      <c r="AU51" s="48"/>
      <c r="AV51" s="58"/>
      <c r="AW51" s="48"/>
      <c r="AX51" s="48"/>
      <c r="AY51" s="48"/>
      <c r="AZ51" s="48"/>
      <c r="BA51" s="48"/>
      <c r="BB51" s="48"/>
      <c r="BC51" s="48"/>
      <c r="BD51" s="48"/>
      <c r="BE51" s="48"/>
      <c r="BF51" s="48"/>
      <c r="BG51" s="58">
        <f t="shared" si="51"/>
        <v>0</v>
      </c>
      <c r="BH51" s="48">
        <f t="shared" si="52"/>
        <v>0</v>
      </c>
      <c r="BI51" s="48">
        <f t="shared" si="53"/>
        <v>0</v>
      </c>
      <c r="BJ51" s="48">
        <f t="shared" si="54"/>
        <v>0</v>
      </c>
      <c r="BK51" s="48">
        <f t="shared" si="55"/>
        <v>0</v>
      </c>
      <c r="BL51" s="48">
        <f t="shared" si="56"/>
        <v>0</v>
      </c>
      <c r="BM51" s="48">
        <f t="shared" si="57"/>
        <v>0</v>
      </c>
      <c r="BN51" s="48">
        <f t="shared" si="58"/>
        <v>0</v>
      </c>
      <c r="BO51" s="48">
        <f t="shared" si="59"/>
        <v>0</v>
      </c>
      <c r="BP51" s="48"/>
      <c r="BQ51" s="48"/>
      <c r="BR51" s="48"/>
      <c r="BS51" s="48"/>
      <c r="BT51" s="48"/>
      <c r="BU51" s="48"/>
      <c r="BV51" s="48"/>
      <c r="BW51" s="48"/>
      <c r="BY51" s="1">
        <v>0</v>
      </c>
      <c r="BZ51" s="1">
        <v>0</v>
      </c>
      <c r="CB51" s="1">
        <v>0</v>
      </c>
      <c r="CG51" s="8" t="s">
        <v>37</v>
      </c>
    </row>
    <row r="52" spans="1:85" ht="12.75">
      <c r="A52" s="42" t="s">
        <v>63</v>
      </c>
      <c r="B52" s="55">
        <f t="shared" ref="B52:BV52" si="60">SUM(B54:B62)</f>
        <v>0</v>
      </c>
      <c r="C52" s="43">
        <f t="shared" si="60"/>
        <v>0</v>
      </c>
      <c r="D52" s="43">
        <f t="shared" si="60"/>
        <v>0</v>
      </c>
      <c r="E52" s="43">
        <f t="shared" si="60"/>
        <v>0</v>
      </c>
      <c r="F52" s="43">
        <f t="shared" si="60"/>
        <v>0</v>
      </c>
      <c r="G52" s="43">
        <f t="shared" si="60"/>
        <v>684</v>
      </c>
      <c r="H52" s="43">
        <f t="shared" si="60"/>
        <v>0</v>
      </c>
      <c r="I52" s="43">
        <f t="shared" si="60"/>
        <v>0</v>
      </c>
      <c r="J52" s="43">
        <f t="shared" si="60"/>
        <v>896</v>
      </c>
      <c r="K52" s="43">
        <f t="shared" si="60"/>
        <v>985</v>
      </c>
      <c r="L52" s="43">
        <f t="shared" si="60"/>
        <v>980</v>
      </c>
      <c r="M52" s="43">
        <f t="shared" si="60"/>
        <v>1048</v>
      </c>
      <c r="N52" s="43">
        <f t="shared" si="60"/>
        <v>1124</v>
      </c>
      <c r="O52" s="43">
        <f t="shared" si="60"/>
        <v>1199</v>
      </c>
      <c r="P52" s="43">
        <f t="shared" si="60"/>
        <v>1141</v>
      </c>
      <c r="Q52" s="43">
        <f t="shared" si="60"/>
        <v>1169</v>
      </c>
      <c r="R52" s="43">
        <f t="shared" si="60"/>
        <v>1223</v>
      </c>
      <c r="S52" s="43">
        <f t="shared" si="60"/>
        <v>1244</v>
      </c>
      <c r="T52" s="43">
        <f t="shared" si="60"/>
        <v>1355</v>
      </c>
      <c r="U52" s="43">
        <f t="shared" si="60"/>
        <v>1312</v>
      </c>
      <c r="V52" s="43">
        <f t="shared" si="60"/>
        <v>1370</v>
      </c>
      <c r="W52" s="43">
        <f t="shared" si="60"/>
        <v>1293</v>
      </c>
      <c r="X52" s="43">
        <f t="shared" si="60"/>
        <v>1216</v>
      </c>
      <c r="Y52" s="43">
        <f>SUM(Y54:Y62)</f>
        <v>1178</v>
      </c>
      <c r="Z52" s="43">
        <f>SUM(Z54:Z62)</f>
        <v>1203</v>
      </c>
      <c r="AA52" s="43">
        <f>SUM(AA54:AA62)</f>
        <v>1352</v>
      </c>
      <c r="AB52" s="43">
        <f>SUM(AB54:AB62)</f>
        <v>1287</v>
      </c>
      <c r="AC52" s="43">
        <f t="shared" ref="AC52:AD52" si="61">SUM(AC54:AC62)</f>
        <v>1307</v>
      </c>
      <c r="AD52" s="43">
        <f t="shared" si="61"/>
        <v>1364</v>
      </c>
      <c r="AE52" s="43">
        <f t="shared" ref="AE52:AF52" si="62">SUM(AE54:AE62)</f>
        <v>1383</v>
      </c>
      <c r="AF52" s="43">
        <f t="shared" si="62"/>
        <v>1499</v>
      </c>
      <c r="AG52" s="43">
        <f>SUM(AG54:AG62)</f>
        <v>1435</v>
      </c>
      <c r="AH52" s="43">
        <f>SUM(AH54:AH62)</f>
        <v>1491</v>
      </c>
      <c r="AI52" s="43">
        <f>SUM(AI54:AI62)</f>
        <v>1608</v>
      </c>
      <c r="AJ52" s="55">
        <f t="shared" si="60"/>
        <v>0</v>
      </c>
      <c r="AK52" s="43">
        <f t="shared" si="60"/>
        <v>0</v>
      </c>
      <c r="AL52" s="43">
        <f t="shared" si="60"/>
        <v>0</v>
      </c>
      <c r="AM52" s="43">
        <f t="shared" si="60"/>
        <v>0</v>
      </c>
      <c r="AN52" s="43">
        <f t="shared" si="60"/>
        <v>0</v>
      </c>
      <c r="AO52" s="43">
        <f t="shared" si="60"/>
        <v>0</v>
      </c>
      <c r="AP52" s="43">
        <f t="shared" si="60"/>
        <v>0</v>
      </c>
      <c r="AQ52" s="43">
        <f t="shared" si="60"/>
        <v>0</v>
      </c>
      <c r="AR52" s="43">
        <f t="shared" si="60"/>
        <v>0</v>
      </c>
      <c r="AS52" s="43">
        <f t="shared" si="60"/>
        <v>0</v>
      </c>
      <c r="AT52" s="43">
        <f t="shared" si="60"/>
        <v>0</v>
      </c>
      <c r="AU52" s="43">
        <f t="shared" si="60"/>
        <v>0</v>
      </c>
      <c r="AV52" s="55">
        <f t="shared" si="60"/>
        <v>0</v>
      </c>
      <c r="AW52" s="43">
        <f t="shared" si="60"/>
        <v>0</v>
      </c>
      <c r="AX52" s="43">
        <f t="shared" si="60"/>
        <v>0</v>
      </c>
      <c r="AY52" s="43">
        <f t="shared" si="60"/>
        <v>0</v>
      </c>
      <c r="AZ52" s="43">
        <f t="shared" si="60"/>
        <v>0</v>
      </c>
      <c r="BA52" s="43">
        <f t="shared" si="60"/>
        <v>0</v>
      </c>
      <c r="BB52" s="43">
        <f t="shared" si="60"/>
        <v>0</v>
      </c>
      <c r="BC52" s="43">
        <f t="shared" si="60"/>
        <v>0</v>
      </c>
      <c r="BD52" s="43">
        <f t="shared" si="60"/>
        <v>0</v>
      </c>
      <c r="BE52" s="43">
        <f t="shared" si="60"/>
        <v>0</v>
      </c>
      <c r="BF52" s="43">
        <f t="shared" si="60"/>
        <v>0</v>
      </c>
      <c r="BG52" s="55">
        <f t="shared" si="60"/>
        <v>0</v>
      </c>
      <c r="BH52" s="43">
        <f t="shared" si="60"/>
        <v>0</v>
      </c>
      <c r="BI52" s="43">
        <f t="shared" si="60"/>
        <v>0</v>
      </c>
      <c r="BJ52" s="43">
        <f t="shared" si="60"/>
        <v>0</v>
      </c>
      <c r="BK52" s="43">
        <f t="shared" si="60"/>
        <v>0</v>
      </c>
      <c r="BL52" s="43">
        <f t="shared" si="60"/>
        <v>0</v>
      </c>
      <c r="BM52" s="43">
        <f t="shared" si="60"/>
        <v>0</v>
      </c>
      <c r="BN52" s="43">
        <f t="shared" si="60"/>
        <v>0</v>
      </c>
      <c r="BO52" s="43">
        <f t="shared" si="60"/>
        <v>0</v>
      </c>
      <c r="BP52" s="43">
        <f t="shared" si="60"/>
        <v>16</v>
      </c>
      <c r="BQ52" s="43">
        <f t="shared" si="60"/>
        <v>11</v>
      </c>
      <c r="BR52" s="43">
        <f t="shared" si="60"/>
        <v>20</v>
      </c>
      <c r="BS52" s="43">
        <f t="shared" si="60"/>
        <v>9</v>
      </c>
      <c r="BT52" s="43">
        <f t="shared" si="60"/>
        <v>25</v>
      </c>
      <c r="BU52" s="43">
        <f t="shared" si="60"/>
        <v>15</v>
      </c>
      <c r="BV52" s="43">
        <f t="shared" si="60"/>
        <v>0</v>
      </c>
      <c r="BW52" s="43">
        <f>SUM(BW54:BW62)</f>
        <v>0</v>
      </c>
      <c r="BX52" s="43">
        <f>SUM(BX54:BX62)</f>
        <v>7</v>
      </c>
      <c r="BY52" s="43">
        <f>SUM(BY54:BY62)</f>
        <v>14</v>
      </c>
      <c r="BZ52" s="43">
        <f>SUM(BZ54:BZ62)</f>
        <v>16</v>
      </c>
      <c r="CA52" s="43">
        <f t="shared" ref="CA52:CB52" si="63">SUM(CA54:CA62)</f>
        <v>49</v>
      </c>
      <c r="CB52" s="43">
        <f t="shared" si="63"/>
        <v>17</v>
      </c>
      <c r="CC52" s="43">
        <f t="shared" ref="CC52:CD52" si="64">SUM(CC54:CC62)</f>
        <v>17</v>
      </c>
      <c r="CD52" s="43">
        <f t="shared" si="64"/>
        <v>41</v>
      </c>
      <c r="CE52" s="43">
        <f>SUM(CE54:CE62)</f>
        <v>2</v>
      </c>
      <c r="CF52" s="43">
        <f>SUM(CF54:CF62)</f>
        <v>0</v>
      </c>
      <c r="CG52" s="161">
        <f>SUM(CG54:CG62)</f>
        <v>17</v>
      </c>
    </row>
    <row r="53" spans="1:85" ht="12.75">
      <c r="A53" s="44" t="s">
        <v>131</v>
      </c>
      <c r="B53" s="56">
        <f t="shared" ref="B53:BV53" si="65">(B52/B4)*100</f>
        <v>0</v>
      </c>
      <c r="C53" s="45">
        <f t="shared" si="65"/>
        <v>0</v>
      </c>
      <c r="D53" s="45">
        <f t="shared" si="65"/>
        <v>0</v>
      </c>
      <c r="E53" s="45">
        <f t="shared" si="65"/>
        <v>0</v>
      </c>
      <c r="F53" s="45">
        <f t="shared" si="65"/>
        <v>0</v>
      </c>
      <c r="G53" s="45">
        <f t="shared" si="65"/>
        <v>20.497452801917891</v>
      </c>
      <c r="H53" s="45">
        <f t="shared" si="65"/>
        <v>0</v>
      </c>
      <c r="I53" s="45">
        <f t="shared" si="65"/>
        <v>0</v>
      </c>
      <c r="J53" s="45">
        <f t="shared" si="65"/>
        <v>25.154407636159458</v>
      </c>
      <c r="K53" s="45">
        <f t="shared" si="65"/>
        <v>24.195529353967085</v>
      </c>
      <c r="L53" s="45">
        <f t="shared" si="65"/>
        <v>22.658959537572255</v>
      </c>
      <c r="M53" s="45">
        <f t="shared" si="65"/>
        <v>22.523103374167203</v>
      </c>
      <c r="N53" s="45">
        <f t="shared" si="65"/>
        <v>22.901385493072535</v>
      </c>
      <c r="O53" s="45">
        <f t="shared" si="65"/>
        <v>23.142250530785564</v>
      </c>
      <c r="P53" s="45">
        <f t="shared" si="65"/>
        <v>21.319133034379671</v>
      </c>
      <c r="Q53" s="45">
        <f t="shared" si="65"/>
        <v>21.883189816548111</v>
      </c>
      <c r="R53" s="45">
        <f t="shared" si="65"/>
        <v>22.610464041412463</v>
      </c>
      <c r="S53" s="45">
        <f t="shared" si="65"/>
        <v>22.076308784383318</v>
      </c>
      <c r="T53" s="45">
        <f t="shared" si="65"/>
        <v>22.681620354871107</v>
      </c>
      <c r="U53" s="45">
        <f t="shared" si="65"/>
        <v>22.385258488312576</v>
      </c>
      <c r="V53" s="45">
        <f t="shared" si="65"/>
        <v>22.670858844944565</v>
      </c>
      <c r="W53" s="45">
        <f t="shared" si="65"/>
        <v>22.079918032786885</v>
      </c>
      <c r="X53" s="45">
        <f t="shared" si="65"/>
        <v>20.049464138499587</v>
      </c>
      <c r="Y53" s="45">
        <f>(Y52/Y4)*100</f>
        <v>19.765100671140939</v>
      </c>
      <c r="Z53" s="45">
        <f>(Z52/Z4)*100</f>
        <v>19.669718770438195</v>
      </c>
      <c r="AA53" s="45">
        <f>(AA52/AA4)*100</f>
        <v>20.519046896342388</v>
      </c>
      <c r="AB53" s="45">
        <f>(AB52/AB4)*100</f>
        <v>19.341749323715057</v>
      </c>
      <c r="AC53" s="45">
        <f t="shared" ref="AC53:AF53" si="66">(AC52/AC4)*100</f>
        <v>19.56879772421021</v>
      </c>
      <c r="AD53" s="45">
        <f t="shared" si="66"/>
        <v>19.369497301902868</v>
      </c>
      <c r="AE53" s="45">
        <f t="shared" si="66"/>
        <v>20.087145969498909</v>
      </c>
      <c r="AF53" s="45">
        <f t="shared" si="66"/>
        <v>21.193270182383714</v>
      </c>
      <c r="AG53" s="45">
        <f>(AG52/AG4)*100</f>
        <v>19.60382513661202</v>
      </c>
      <c r="AH53" s="45">
        <f>(AH52/AH4)*100</f>
        <v>19.683168316831683</v>
      </c>
      <c r="AI53" s="45">
        <f>(AI52/AI4)*100</f>
        <v>20.039880358923231</v>
      </c>
      <c r="AJ53" s="56">
        <f t="shared" si="65"/>
        <v>0</v>
      </c>
      <c r="AK53" s="45">
        <f t="shared" si="65"/>
        <v>0</v>
      </c>
      <c r="AL53" s="45">
        <f t="shared" si="65"/>
        <v>0</v>
      </c>
      <c r="AM53" s="45">
        <f t="shared" si="65"/>
        <v>0</v>
      </c>
      <c r="AN53" s="45">
        <f t="shared" si="65"/>
        <v>0</v>
      </c>
      <c r="AO53" s="45">
        <f t="shared" si="65"/>
        <v>0</v>
      </c>
      <c r="AP53" s="45">
        <f t="shared" si="65"/>
        <v>0</v>
      </c>
      <c r="AQ53" s="45">
        <f t="shared" si="65"/>
        <v>0</v>
      </c>
      <c r="AR53" s="45">
        <f t="shared" si="65"/>
        <v>0</v>
      </c>
      <c r="AS53" s="45">
        <f t="shared" si="65"/>
        <v>0</v>
      </c>
      <c r="AT53" s="45">
        <f t="shared" si="65"/>
        <v>0</v>
      </c>
      <c r="AU53" s="45">
        <f t="shared" si="65"/>
        <v>0</v>
      </c>
      <c r="AV53" s="56">
        <f t="shared" si="65"/>
        <v>0</v>
      </c>
      <c r="AW53" s="45">
        <f t="shared" si="65"/>
        <v>0</v>
      </c>
      <c r="AX53" s="45">
        <f t="shared" si="65"/>
        <v>0</v>
      </c>
      <c r="AY53" s="45">
        <f t="shared" si="65"/>
        <v>0</v>
      </c>
      <c r="AZ53" s="45">
        <f t="shared" si="65"/>
        <v>0</v>
      </c>
      <c r="BA53" s="45">
        <f t="shared" si="65"/>
        <v>0</v>
      </c>
      <c r="BB53" s="45">
        <f t="shared" si="65"/>
        <v>0</v>
      </c>
      <c r="BC53" s="45">
        <f t="shared" si="65"/>
        <v>0</v>
      </c>
      <c r="BD53" s="45">
        <f t="shared" si="65"/>
        <v>0</v>
      </c>
      <c r="BE53" s="45">
        <f t="shared" si="65"/>
        <v>0</v>
      </c>
      <c r="BF53" s="45">
        <f t="shared" si="65"/>
        <v>0</v>
      </c>
      <c r="BG53" s="56">
        <f t="shared" si="65"/>
        <v>0</v>
      </c>
      <c r="BH53" s="45">
        <f t="shared" si="65"/>
        <v>0</v>
      </c>
      <c r="BI53" s="45">
        <f t="shared" si="65"/>
        <v>0</v>
      </c>
      <c r="BJ53" s="45">
        <f t="shared" si="65"/>
        <v>0</v>
      </c>
      <c r="BK53" s="45">
        <f t="shared" si="65"/>
        <v>0</v>
      </c>
      <c r="BL53" s="45">
        <f t="shared" si="65"/>
        <v>0</v>
      </c>
      <c r="BM53" s="45">
        <f t="shared" si="65"/>
        <v>0</v>
      </c>
      <c r="BN53" s="45">
        <f t="shared" si="65"/>
        <v>0</v>
      </c>
      <c r="BO53" s="45">
        <f t="shared" si="65"/>
        <v>0</v>
      </c>
      <c r="BP53" s="45">
        <f t="shared" si="65"/>
        <v>1.4814814814814816</v>
      </c>
      <c r="BQ53" s="45">
        <f t="shared" si="65"/>
        <v>0.97517730496453903</v>
      </c>
      <c r="BR53" s="45">
        <f t="shared" si="65"/>
        <v>1.5785319652722969</v>
      </c>
      <c r="BS53" s="45">
        <f t="shared" si="65"/>
        <v>0.73831009023789984</v>
      </c>
      <c r="BT53" s="45">
        <f t="shared" si="65"/>
        <v>1.9364833462432223</v>
      </c>
      <c r="BU53" s="45">
        <f t="shared" si="65"/>
        <v>1.2028869286287089</v>
      </c>
      <c r="BV53" s="45">
        <f t="shared" si="65"/>
        <v>0</v>
      </c>
      <c r="BW53" s="45">
        <f>(BW52/BW4)*100</f>
        <v>0</v>
      </c>
      <c r="BX53" s="45">
        <f>(BX52/BX4)*100</f>
        <v>0.58528428093645479</v>
      </c>
      <c r="BY53" s="45">
        <f>(BY52/BY4)*100</f>
        <v>1.1146496815286624</v>
      </c>
      <c r="BZ53" s="45">
        <f>(BZ52/BZ4)*100</f>
        <v>1.1519078473722102</v>
      </c>
      <c r="CA53" s="45">
        <f t="shared" ref="CA53:CD53" si="67">(CA52/CA4)*100</f>
        <v>3.929430633520449</v>
      </c>
      <c r="CB53" s="45">
        <f t="shared" si="67"/>
        <v>1.4821272885789014</v>
      </c>
      <c r="CC53" s="45">
        <f t="shared" si="67"/>
        <v>1.3911620294599019</v>
      </c>
      <c r="CD53" s="45">
        <f t="shared" si="67"/>
        <v>2.9160739687055477</v>
      </c>
      <c r="CE53" s="45">
        <f>(CE52/CE4)*100</f>
        <v>0.1529051987767584</v>
      </c>
      <c r="CF53" s="45">
        <f>(CF52/CF4)*100</f>
        <v>0</v>
      </c>
      <c r="CG53" s="160">
        <f>(CG52/CG4)*100</f>
        <v>1.3302034428794991</v>
      </c>
    </row>
    <row r="54" spans="1:85" ht="12.75">
      <c r="A54" s="42" t="s">
        <v>64</v>
      </c>
      <c r="B54" s="57"/>
      <c r="C54" s="46"/>
      <c r="D54" s="46"/>
      <c r="E54" s="46"/>
      <c r="F54" s="46"/>
      <c r="G54" s="46">
        <v>28</v>
      </c>
      <c r="H54" s="46"/>
      <c r="I54" s="46"/>
      <c r="J54" s="46">
        <v>30</v>
      </c>
      <c r="K54" s="46">
        <v>50</v>
      </c>
      <c r="L54" s="46">
        <v>36</v>
      </c>
      <c r="M54" s="46">
        <v>62</v>
      </c>
      <c r="N54" s="46">
        <v>61</v>
      </c>
      <c r="O54" s="46">
        <v>55</v>
      </c>
      <c r="P54" s="46">
        <v>72</v>
      </c>
      <c r="Q54" s="46">
        <v>55</v>
      </c>
      <c r="R54" s="46">
        <v>71</v>
      </c>
      <c r="S54" s="46">
        <v>67</v>
      </c>
      <c r="T54" s="46">
        <v>58</v>
      </c>
      <c r="U54" s="46">
        <v>61</v>
      </c>
      <c r="V54" s="46">
        <v>59</v>
      </c>
      <c r="W54" s="46">
        <v>59</v>
      </c>
      <c r="X54" s="46">
        <v>60</v>
      </c>
      <c r="Y54" s="46">
        <v>80</v>
      </c>
      <c r="Z54" s="46">
        <v>66</v>
      </c>
      <c r="AA54" s="46">
        <v>54</v>
      </c>
      <c r="AB54" s="46">
        <v>64</v>
      </c>
      <c r="AC54" s="46">
        <v>59</v>
      </c>
      <c r="AD54" s="46">
        <v>61</v>
      </c>
      <c r="AE54" s="1">
        <v>82</v>
      </c>
      <c r="AF54" s="1">
        <v>93</v>
      </c>
      <c r="AG54" s="1">
        <v>89</v>
      </c>
      <c r="AH54" s="1">
        <v>86</v>
      </c>
      <c r="AI54" s="1">
        <v>99</v>
      </c>
      <c r="AJ54" s="57"/>
      <c r="AK54" s="46"/>
      <c r="AL54" s="46"/>
      <c r="AM54" s="46"/>
      <c r="AN54" s="46"/>
      <c r="AO54" s="46"/>
      <c r="AP54" s="46"/>
      <c r="AQ54" s="46"/>
      <c r="AR54" s="46"/>
      <c r="AS54" s="46"/>
      <c r="AT54" s="46"/>
      <c r="AU54" s="46"/>
      <c r="AV54" s="57"/>
      <c r="AW54" s="46"/>
      <c r="AX54" s="46"/>
      <c r="AY54" s="46"/>
      <c r="AZ54" s="46"/>
      <c r="BA54" s="46"/>
      <c r="BB54" s="46"/>
      <c r="BC54" s="46"/>
      <c r="BD54" s="46"/>
      <c r="BE54" s="46"/>
      <c r="BF54" s="46"/>
      <c r="BG54" s="57">
        <f t="shared" ref="BG54:BG63" si="68">IF(AK54&gt;AV54,(AK54),(AV54))</f>
        <v>0</v>
      </c>
      <c r="BH54" s="46">
        <f t="shared" ref="BH54:BH63" si="69">IF(AN54&gt;AY54,(AN54),(AY54))</f>
        <v>0</v>
      </c>
      <c r="BI54" s="46">
        <f t="shared" ref="BI54:BI63" si="70">IF(AO54&gt;AZ54,(AO54),(AZ54))</f>
        <v>0</v>
      </c>
      <c r="BJ54" s="46">
        <f t="shared" ref="BJ54:BJ63" si="71">IF(AP54&gt;BA54,(AP54),(BA54))</f>
        <v>0</v>
      </c>
      <c r="BK54" s="46">
        <f t="shared" ref="BK54:BK63" si="72">IF(AQ54&gt;BB54,(AQ54),(BB54))</f>
        <v>0</v>
      </c>
      <c r="BL54" s="46">
        <f t="shared" ref="BL54:BL63" si="73">IF(AR54&gt;BC54,(AR54),(BC54))</f>
        <v>0</v>
      </c>
      <c r="BM54" s="46">
        <f t="shared" ref="BM54:BM63" si="74">IF(AS54&gt;BD54,(AS54),(BD54))</f>
        <v>0</v>
      </c>
      <c r="BN54" s="46">
        <f t="shared" ref="BN54:BN63" si="75">IF(AT54&gt;BE54,(AT54),(BE54))</f>
        <v>0</v>
      </c>
      <c r="BO54" s="46">
        <f t="shared" ref="BO54:BO63" si="76">IF(AU54&gt;BF54,(AU54),(BF54))</f>
        <v>0</v>
      </c>
      <c r="BP54" s="46"/>
      <c r="BQ54" s="46"/>
      <c r="BR54" s="46"/>
      <c r="BS54" s="46"/>
      <c r="BT54" s="46"/>
      <c r="BU54" s="46"/>
      <c r="BV54" s="46"/>
      <c r="BW54" s="46"/>
      <c r="BY54" s="1">
        <v>0</v>
      </c>
      <c r="BZ54" s="1">
        <v>0</v>
      </c>
      <c r="CB54" s="1">
        <v>0</v>
      </c>
      <c r="CG54" s="8" t="s">
        <v>37</v>
      </c>
    </row>
    <row r="55" spans="1:85" ht="12.75">
      <c r="A55" s="42" t="s">
        <v>65</v>
      </c>
      <c r="B55" s="57"/>
      <c r="C55" s="46"/>
      <c r="D55" s="46"/>
      <c r="E55" s="46"/>
      <c r="F55" s="46"/>
      <c r="G55" s="46">
        <v>0</v>
      </c>
      <c r="H55" s="46"/>
      <c r="I55" s="46"/>
      <c r="J55" s="46">
        <v>1</v>
      </c>
      <c r="K55" s="46">
        <v>1</v>
      </c>
      <c r="L55" s="46">
        <v>2</v>
      </c>
      <c r="M55" s="46">
        <v>2</v>
      </c>
      <c r="N55" s="46">
        <v>0</v>
      </c>
      <c r="O55" s="46">
        <v>3</v>
      </c>
      <c r="P55" s="46">
        <v>1</v>
      </c>
      <c r="Q55" s="46">
        <v>3</v>
      </c>
      <c r="R55" s="46">
        <v>0</v>
      </c>
      <c r="S55" s="46">
        <v>2</v>
      </c>
      <c r="T55" s="46">
        <v>2</v>
      </c>
      <c r="U55" s="46">
        <v>1</v>
      </c>
      <c r="V55" s="46">
        <v>1</v>
      </c>
      <c r="W55" s="46">
        <v>2</v>
      </c>
      <c r="X55" s="46">
        <v>2</v>
      </c>
      <c r="Y55" s="46">
        <v>1</v>
      </c>
      <c r="Z55" s="46">
        <v>2</v>
      </c>
      <c r="AA55" s="46">
        <v>4</v>
      </c>
      <c r="AB55" s="46">
        <v>15</v>
      </c>
      <c r="AC55" s="46">
        <v>11</v>
      </c>
      <c r="AD55" s="46">
        <v>19</v>
      </c>
      <c r="AE55" s="1">
        <v>14</v>
      </c>
      <c r="AF55" s="1">
        <v>26</v>
      </c>
      <c r="AG55" s="1">
        <v>13</v>
      </c>
      <c r="AH55" s="1">
        <v>24</v>
      </c>
      <c r="AI55" s="1">
        <v>22</v>
      </c>
      <c r="AJ55" s="57"/>
      <c r="AK55" s="46"/>
      <c r="AL55" s="46"/>
      <c r="AM55" s="46"/>
      <c r="AN55" s="46"/>
      <c r="AO55" s="46"/>
      <c r="AP55" s="46"/>
      <c r="AQ55" s="46"/>
      <c r="AR55" s="46"/>
      <c r="AS55" s="46"/>
      <c r="AT55" s="46"/>
      <c r="AU55" s="46"/>
      <c r="AV55" s="57"/>
      <c r="AW55" s="46"/>
      <c r="AX55" s="46"/>
      <c r="AY55" s="46"/>
      <c r="AZ55" s="46"/>
      <c r="BA55" s="46"/>
      <c r="BB55" s="46"/>
      <c r="BC55" s="46"/>
      <c r="BD55" s="46"/>
      <c r="BE55" s="46"/>
      <c r="BF55" s="46"/>
      <c r="BG55" s="57">
        <f t="shared" si="68"/>
        <v>0</v>
      </c>
      <c r="BH55" s="46">
        <f t="shared" si="69"/>
        <v>0</v>
      </c>
      <c r="BI55" s="46">
        <f t="shared" si="70"/>
        <v>0</v>
      </c>
      <c r="BJ55" s="46">
        <f t="shared" si="71"/>
        <v>0</v>
      </c>
      <c r="BK55" s="46">
        <f t="shared" si="72"/>
        <v>0</v>
      </c>
      <c r="BL55" s="46">
        <f t="shared" si="73"/>
        <v>0</v>
      </c>
      <c r="BM55" s="46">
        <f t="shared" si="74"/>
        <v>0</v>
      </c>
      <c r="BN55" s="46">
        <f t="shared" si="75"/>
        <v>0</v>
      </c>
      <c r="BO55" s="46">
        <f t="shared" si="76"/>
        <v>0</v>
      </c>
      <c r="BP55" s="46"/>
      <c r="BQ55" s="46"/>
      <c r="BR55" s="46"/>
      <c r="BS55" s="46"/>
      <c r="BT55" s="46"/>
      <c r="BU55" s="46"/>
      <c r="BV55" s="46"/>
      <c r="BW55" s="46"/>
      <c r="BY55" s="1">
        <v>0</v>
      </c>
      <c r="BZ55" s="1">
        <v>0</v>
      </c>
      <c r="CB55" s="1">
        <v>0</v>
      </c>
      <c r="CG55" s="8" t="s">
        <v>37</v>
      </c>
    </row>
    <row r="56" spans="1:85" ht="12.75">
      <c r="A56" s="42" t="s">
        <v>66</v>
      </c>
      <c r="B56" s="57"/>
      <c r="C56" s="46"/>
      <c r="D56" s="46"/>
      <c r="E56" s="46"/>
      <c r="F56" s="46"/>
      <c r="G56" s="46">
        <v>136</v>
      </c>
      <c r="H56" s="46"/>
      <c r="I56" s="46"/>
      <c r="J56" s="46">
        <v>172</v>
      </c>
      <c r="K56" s="46">
        <v>166</v>
      </c>
      <c r="L56" s="46">
        <v>182</v>
      </c>
      <c r="M56" s="46">
        <v>171</v>
      </c>
      <c r="N56" s="46">
        <v>185</v>
      </c>
      <c r="O56" s="46">
        <v>199</v>
      </c>
      <c r="P56" s="46">
        <v>208</v>
      </c>
      <c r="Q56" s="46">
        <v>200</v>
      </c>
      <c r="R56" s="46">
        <v>203</v>
      </c>
      <c r="S56" s="46">
        <v>210</v>
      </c>
      <c r="T56" s="46">
        <v>249</v>
      </c>
      <c r="U56" s="46">
        <v>207</v>
      </c>
      <c r="V56" s="46">
        <v>239</v>
      </c>
      <c r="W56" s="46">
        <v>230</v>
      </c>
      <c r="X56" s="46">
        <v>195</v>
      </c>
      <c r="Y56" s="46">
        <v>198</v>
      </c>
      <c r="Z56" s="46">
        <v>246</v>
      </c>
      <c r="AA56" s="46">
        <v>268</v>
      </c>
      <c r="AB56" s="46">
        <v>241</v>
      </c>
      <c r="AC56" s="46">
        <v>219</v>
      </c>
      <c r="AD56" s="46">
        <v>254</v>
      </c>
      <c r="AE56" s="1">
        <v>250</v>
      </c>
      <c r="AF56" s="1">
        <v>301</v>
      </c>
      <c r="AG56" s="1">
        <v>263</v>
      </c>
      <c r="AH56" s="1">
        <v>239</v>
      </c>
      <c r="AI56" s="1">
        <v>284</v>
      </c>
      <c r="AJ56" s="57"/>
      <c r="AK56" s="46"/>
      <c r="AL56" s="46"/>
      <c r="AM56" s="46"/>
      <c r="AN56" s="46"/>
      <c r="AO56" s="46"/>
      <c r="AP56" s="46"/>
      <c r="AQ56" s="46"/>
      <c r="AR56" s="46"/>
      <c r="AS56" s="46"/>
      <c r="AT56" s="46"/>
      <c r="AU56" s="46"/>
      <c r="AV56" s="57"/>
      <c r="AW56" s="46"/>
      <c r="AX56" s="46"/>
      <c r="AY56" s="46"/>
      <c r="AZ56" s="46"/>
      <c r="BA56" s="46"/>
      <c r="BB56" s="46"/>
      <c r="BC56" s="46"/>
      <c r="BD56" s="46"/>
      <c r="BE56" s="46"/>
      <c r="BF56" s="46"/>
      <c r="BG56" s="57">
        <f t="shared" si="68"/>
        <v>0</v>
      </c>
      <c r="BH56" s="46">
        <f t="shared" si="69"/>
        <v>0</v>
      </c>
      <c r="BI56" s="46">
        <f t="shared" si="70"/>
        <v>0</v>
      </c>
      <c r="BJ56" s="46">
        <f t="shared" si="71"/>
        <v>0</v>
      </c>
      <c r="BK56" s="46">
        <f t="shared" si="72"/>
        <v>0</v>
      </c>
      <c r="BL56" s="46">
        <f t="shared" si="73"/>
        <v>0</v>
      </c>
      <c r="BM56" s="46">
        <f t="shared" si="74"/>
        <v>0</v>
      </c>
      <c r="BN56" s="46">
        <f t="shared" si="75"/>
        <v>0</v>
      </c>
      <c r="BO56" s="46">
        <f t="shared" si="76"/>
        <v>0</v>
      </c>
      <c r="BP56" s="46"/>
      <c r="BQ56" s="46"/>
      <c r="BR56" s="46"/>
      <c r="BS56" s="46"/>
      <c r="BT56" s="46"/>
      <c r="BU56" s="46"/>
      <c r="BV56" s="46"/>
      <c r="BW56" s="46"/>
      <c r="BY56" s="1">
        <v>0</v>
      </c>
      <c r="BZ56" s="1">
        <v>0</v>
      </c>
      <c r="CB56" s="1">
        <v>0</v>
      </c>
      <c r="CG56" s="8" t="s">
        <v>37</v>
      </c>
    </row>
    <row r="57" spans="1:85" ht="12.75">
      <c r="A57" s="42" t="s">
        <v>67</v>
      </c>
      <c r="B57" s="57"/>
      <c r="C57" s="46"/>
      <c r="D57" s="46"/>
      <c r="E57" s="46"/>
      <c r="F57" s="46"/>
      <c r="G57" s="46">
        <v>5</v>
      </c>
      <c r="H57" s="46"/>
      <c r="I57" s="46"/>
      <c r="J57" s="46">
        <v>1</v>
      </c>
      <c r="K57" s="46">
        <v>2</v>
      </c>
      <c r="L57" s="46">
        <v>1</v>
      </c>
      <c r="M57" s="46">
        <v>4</v>
      </c>
      <c r="N57" s="46">
        <v>5</v>
      </c>
      <c r="O57" s="46">
        <v>9</v>
      </c>
      <c r="P57" s="46">
        <v>4</v>
      </c>
      <c r="Q57" s="46">
        <v>6</v>
      </c>
      <c r="R57" s="46">
        <v>6</v>
      </c>
      <c r="S57" s="46">
        <v>1</v>
      </c>
      <c r="T57" s="46">
        <v>3</v>
      </c>
      <c r="U57" s="46">
        <v>3</v>
      </c>
      <c r="V57" s="46">
        <v>8</v>
      </c>
      <c r="W57" s="46">
        <v>6</v>
      </c>
      <c r="X57" s="46">
        <v>5</v>
      </c>
      <c r="Y57" s="46">
        <v>9</v>
      </c>
      <c r="Z57" s="46">
        <v>7</v>
      </c>
      <c r="AA57" s="46">
        <v>10</v>
      </c>
      <c r="AB57" s="46">
        <v>2</v>
      </c>
      <c r="AC57" s="46">
        <v>9</v>
      </c>
      <c r="AD57" s="46">
        <v>6</v>
      </c>
      <c r="AE57" s="1">
        <v>8</v>
      </c>
      <c r="AF57" s="1">
        <v>3</v>
      </c>
      <c r="AG57" s="1">
        <v>8</v>
      </c>
      <c r="AH57" s="1">
        <v>11</v>
      </c>
      <c r="AI57" s="1">
        <v>12</v>
      </c>
      <c r="AJ57" s="57"/>
      <c r="AK57" s="46"/>
      <c r="AL57" s="46"/>
      <c r="AM57" s="46"/>
      <c r="AN57" s="46"/>
      <c r="AO57" s="46"/>
      <c r="AP57" s="46"/>
      <c r="AQ57" s="46"/>
      <c r="AR57" s="46"/>
      <c r="AS57" s="46"/>
      <c r="AT57" s="46"/>
      <c r="AU57" s="46"/>
      <c r="AV57" s="57"/>
      <c r="AW57" s="46"/>
      <c r="AX57" s="46"/>
      <c r="AY57" s="46"/>
      <c r="AZ57" s="46"/>
      <c r="BA57" s="46"/>
      <c r="BB57" s="46"/>
      <c r="BC57" s="46"/>
      <c r="BD57" s="46"/>
      <c r="BE57" s="46"/>
      <c r="BF57" s="46"/>
      <c r="BG57" s="57">
        <f t="shared" si="68"/>
        <v>0</v>
      </c>
      <c r="BH57" s="46">
        <f t="shared" si="69"/>
        <v>0</v>
      </c>
      <c r="BI57" s="46">
        <f t="shared" si="70"/>
        <v>0</v>
      </c>
      <c r="BJ57" s="46">
        <f t="shared" si="71"/>
        <v>0</v>
      </c>
      <c r="BK57" s="46">
        <f t="shared" si="72"/>
        <v>0</v>
      </c>
      <c r="BL57" s="46">
        <f t="shared" si="73"/>
        <v>0</v>
      </c>
      <c r="BM57" s="46">
        <f t="shared" si="74"/>
        <v>0</v>
      </c>
      <c r="BN57" s="46">
        <f t="shared" si="75"/>
        <v>0</v>
      </c>
      <c r="BO57" s="46">
        <f t="shared" si="76"/>
        <v>0</v>
      </c>
      <c r="BP57" s="46"/>
      <c r="BQ57" s="46"/>
      <c r="BR57" s="46"/>
      <c r="BS57" s="46"/>
      <c r="BT57" s="46"/>
      <c r="BU57" s="46"/>
      <c r="BV57" s="46"/>
      <c r="BW57" s="46"/>
      <c r="BY57" s="1">
        <v>0</v>
      </c>
      <c r="BZ57" s="1">
        <v>0</v>
      </c>
      <c r="CB57" s="1">
        <v>0</v>
      </c>
      <c r="CG57" s="8" t="s">
        <v>37</v>
      </c>
    </row>
    <row r="58" spans="1:85" ht="12.75">
      <c r="A58" s="42" t="s">
        <v>68</v>
      </c>
      <c r="B58" s="57"/>
      <c r="C58" s="46"/>
      <c r="D58" s="46"/>
      <c r="E58" s="46"/>
      <c r="F58" s="46"/>
      <c r="G58" s="46">
        <v>100</v>
      </c>
      <c r="H58" s="46"/>
      <c r="I58" s="46"/>
      <c r="J58" s="46">
        <v>133</v>
      </c>
      <c r="K58" s="46">
        <v>153</v>
      </c>
      <c r="L58" s="46">
        <v>161</v>
      </c>
      <c r="M58" s="46">
        <v>170</v>
      </c>
      <c r="N58" s="46">
        <v>139</v>
      </c>
      <c r="O58" s="46">
        <v>142</v>
      </c>
      <c r="P58" s="46">
        <v>145</v>
      </c>
      <c r="Q58" s="46">
        <v>133</v>
      </c>
      <c r="R58" s="46">
        <v>149</v>
      </c>
      <c r="S58" s="46">
        <v>145</v>
      </c>
      <c r="T58" s="46">
        <v>168</v>
      </c>
      <c r="U58" s="46">
        <v>161</v>
      </c>
      <c r="V58" s="46">
        <v>188</v>
      </c>
      <c r="W58" s="46">
        <v>186</v>
      </c>
      <c r="X58" s="46">
        <v>144</v>
      </c>
      <c r="Y58" s="46">
        <v>124</v>
      </c>
      <c r="Z58" s="46">
        <v>122</v>
      </c>
      <c r="AA58" s="46">
        <v>152</v>
      </c>
      <c r="AB58" s="46">
        <v>82</v>
      </c>
      <c r="AC58" s="46">
        <v>124</v>
      </c>
      <c r="AD58" s="46">
        <v>125</v>
      </c>
      <c r="AE58" s="1">
        <v>120</v>
      </c>
      <c r="AF58" s="1">
        <v>138</v>
      </c>
      <c r="AG58" s="1">
        <v>108</v>
      </c>
      <c r="AH58" s="1">
        <v>101</v>
      </c>
      <c r="AI58" s="1">
        <v>128</v>
      </c>
      <c r="AJ58" s="57"/>
      <c r="AK58" s="46"/>
      <c r="AL58" s="46"/>
      <c r="AM58" s="46"/>
      <c r="AN58" s="46"/>
      <c r="AO58" s="46"/>
      <c r="AP58" s="46"/>
      <c r="AQ58" s="46"/>
      <c r="AR58" s="46"/>
      <c r="AS58" s="46"/>
      <c r="AT58" s="46"/>
      <c r="AU58" s="46"/>
      <c r="AV58" s="57"/>
      <c r="AW58" s="46"/>
      <c r="AX58" s="46"/>
      <c r="AY58" s="46"/>
      <c r="AZ58" s="46"/>
      <c r="BA58" s="46"/>
      <c r="BB58" s="46"/>
      <c r="BC58" s="46"/>
      <c r="BD58" s="46"/>
      <c r="BE58" s="46"/>
      <c r="BF58" s="46"/>
      <c r="BG58" s="57">
        <f t="shared" si="68"/>
        <v>0</v>
      </c>
      <c r="BH58" s="46">
        <f t="shared" si="69"/>
        <v>0</v>
      </c>
      <c r="BI58" s="46">
        <f t="shared" si="70"/>
        <v>0</v>
      </c>
      <c r="BJ58" s="46">
        <f t="shared" si="71"/>
        <v>0</v>
      </c>
      <c r="BK58" s="46">
        <f t="shared" si="72"/>
        <v>0</v>
      </c>
      <c r="BL58" s="46">
        <f t="shared" si="73"/>
        <v>0</v>
      </c>
      <c r="BM58" s="46">
        <f t="shared" si="74"/>
        <v>0</v>
      </c>
      <c r="BN58" s="46">
        <f t="shared" si="75"/>
        <v>0</v>
      </c>
      <c r="BO58" s="46">
        <f t="shared" si="76"/>
        <v>0</v>
      </c>
      <c r="BP58" s="46">
        <v>16</v>
      </c>
      <c r="BQ58" s="46">
        <v>11</v>
      </c>
      <c r="BR58" s="46">
        <v>20</v>
      </c>
      <c r="BS58" s="46">
        <v>9</v>
      </c>
      <c r="BT58" s="46">
        <v>23</v>
      </c>
      <c r="BU58" s="46">
        <v>14</v>
      </c>
      <c r="BV58" s="46"/>
      <c r="BW58" s="46"/>
      <c r="BY58" s="1">
        <v>0</v>
      </c>
      <c r="BZ58" s="1">
        <v>0</v>
      </c>
      <c r="CB58" s="1">
        <v>0</v>
      </c>
      <c r="CE58" s="1">
        <v>2</v>
      </c>
      <c r="CG58" s="8" t="s">
        <v>37</v>
      </c>
    </row>
    <row r="59" spans="1:85" ht="12.75">
      <c r="A59" s="42" t="s">
        <v>69</v>
      </c>
      <c r="B59" s="57"/>
      <c r="C59" s="46"/>
      <c r="D59" s="46"/>
      <c r="E59" s="46"/>
      <c r="F59" s="46"/>
      <c r="G59" s="46">
        <v>270</v>
      </c>
      <c r="H59" s="46"/>
      <c r="I59" s="46"/>
      <c r="J59" s="46">
        <v>390</v>
      </c>
      <c r="K59" s="46">
        <v>409</v>
      </c>
      <c r="L59" s="46">
        <v>393</v>
      </c>
      <c r="M59" s="46">
        <v>430</v>
      </c>
      <c r="N59" s="46">
        <v>467</v>
      </c>
      <c r="O59" s="46">
        <v>510</v>
      </c>
      <c r="P59" s="46">
        <v>453</v>
      </c>
      <c r="Q59" s="46">
        <v>487</v>
      </c>
      <c r="R59" s="46">
        <v>506</v>
      </c>
      <c r="S59" s="46">
        <v>537</v>
      </c>
      <c r="T59" s="46">
        <v>528</v>
      </c>
      <c r="U59" s="46">
        <v>538</v>
      </c>
      <c r="V59" s="46">
        <v>558</v>
      </c>
      <c r="W59" s="46">
        <v>495</v>
      </c>
      <c r="X59" s="46">
        <v>515</v>
      </c>
      <c r="Y59" s="46">
        <v>481</v>
      </c>
      <c r="Z59" s="46">
        <v>467</v>
      </c>
      <c r="AA59" s="46">
        <v>589</v>
      </c>
      <c r="AB59" s="46">
        <v>561</v>
      </c>
      <c r="AC59" s="46">
        <v>532</v>
      </c>
      <c r="AD59" s="46">
        <v>544</v>
      </c>
      <c r="AE59" s="1">
        <v>538</v>
      </c>
      <c r="AF59" s="1">
        <v>537</v>
      </c>
      <c r="AG59" s="1">
        <v>522</v>
      </c>
      <c r="AH59" s="1">
        <v>589</v>
      </c>
      <c r="AI59" s="1">
        <v>608</v>
      </c>
      <c r="AJ59" s="57"/>
      <c r="AK59" s="46"/>
      <c r="AL59" s="46"/>
      <c r="AM59" s="46"/>
      <c r="AN59" s="46"/>
      <c r="AO59" s="46"/>
      <c r="AP59" s="46"/>
      <c r="AQ59" s="46"/>
      <c r="AR59" s="46"/>
      <c r="AS59" s="46"/>
      <c r="AT59" s="46"/>
      <c r="AU59" s="46"/>
      <c r="AV59" s="57"/>
      <c r="AW59" s="46"/>
      <c r="AX59" s="46"/>
      <c r="AY59" s="46"/>
      <c r="AZ59" s="46"/>
      <c r="BA59" s="46"/>
      <c r="BB59" s="46"/>
      <c r="BC59" s="46"/>
      <c r="BD59" s="46"/>
      <c r="BE59" s="46"/>
      <c r="BF59" s="46"/>
      <c r="BG59" s="57">
        <f t="shared" si="68"/>
        <v>0</v>
      </c>
      <c r="BH59" s="46">
        <f t="shared" si="69"/>
        <v>0</v>
      </c>
      <c r="BI59" s="46">
        <f t="shared" si="70"/>
        <v>0</v>
      </c>
      <c r="BJ59" s="46">
        <f t="shared" si="71"/>
        <v>0</v>
      </c>
      <c r="BK59" s="46">
        <f t="shared" si="72"/>
        <v>0</v>
      </c>
      <c r="BL59" s="46">
        <f t="shared" si="73"/>
        <v>0</v>
      </c>
      <c r="BM59" s="46">
        <f t="shared" si="74"/>
        <v>0</v>
      </c>
      <c r="BN59" s="46">
        <f t="shared" si="75"/>
        <v>0</v>
      </c>
      <c r="BO59" s="46">
        <f t="shared" si="76"/>
        <v>0</v>
      </c>
      <c r="BP59" s="46"/>
      <c r="BQ59" s="46"/>
      <c r="BR59" s="46"/>
      <c r="BS59" s="46"/>
      <c r="BT59" s="46">
        <v>2</v>
      </c>
      <c r="BU59" s="46">
        <v>1</v>
      </c>
      <c r="BV59" s="46">
        <v>0</v>
      </c>
      <c r="BW59" s="46">
        <v>0</v>
      </c>
      <c r="BX59" s="1">
        <v>7</v>
      </c>
      <c r="BY59" s="1">
        <v>14</v>
      </c>
      <c r="BZ59" s="1">
        <v>16</v>
      </c>
      <c r="CA59" s="1">
        <v>40</v>
      </c>
      <c r="CB59" s="1">
        <v>17</v>
      </c>
      <c r="CC59" s="1">
        <v>17</v>
      </c>
      <c r="CD59" s="1">
        <v>40</v>
      </c>
      <c r="CG59" s="8">
        <v>17</v>
      </c>
    </row>
    <row r="60" spans="1:85" ht="12.75">
      <c r="A60" s="42" t="s">
        <v>70</v>
      </c>
      <c r="B60" s="57"/>
      <c r="C60" s="46"/>
      <c r="D60" s="46"/>
      <c r="E60" s="46"/>
      <c r="F60" s="46"/>
      <c r="G60" s="46">
        <v>139</v>
      </c>
      <c r="H60" s="46"/>
      <c r="I60" s="46"/>
      <c r="J60" s="46">
        <v>167</v>
      </c>
      <c r="K60" s="46">
        <v>197</v>
      </c>
      <c r="L60" s="46">
        <v>200</v>
      </c>
      <c r="M60" s="46">
        <v>207</v>
      </c>
      <c r="N60" s="46">
        <v>260</v>
      </c>
      <c r="O60" s="46">
        <v>277</v>
      </c>
      <c r="P60" s="46">
        <v>238</v>
      </c>
      <c r="Q60" s="46">
        <v>268</v>
      </c>
      <c r="R60" s="46">
        <v>272</v>
      </c>
      <c r="S60" s="46">
        <v>263</v>
      </c>
      <c r="T60" s="46">
        <v>322</v>
      </c>
      <c r="U60" s="46">
        <v>307</v>
      </c>
      <c r="V60" s="46">
        <v>281</v>
      </c>
      <c r="W60" s="46">
        <v>290</v>
      </c>
      <c r="X60" s="46">
        <v>263</v>
      </c>
      <c r="Y60" s="46">
        <v>263</v>
      </c>
      <c r="Z60" s="46">
        <v>275</v>
      </c>
      <c r="AA60" s="46">
        <v>258</v>
      </c>
      <c r="AB60" s="46">
        <v>296</v>
      </c>
      <c r="AC60" s="46">
        <v>331</v>
      </c>
      <c r="AD60" s="46">
        <v>324</v>
      </c>
      <c r="AE60" s="1">
        <v>346</v>
      </c>
      <c r="AF60" s="1">
        <v>373</v>
      </c>
      <c r="AG60" s="1">
        <v>389</v>
      </c>
      <c r="AH60" s="1">
        <v>402</v>
      </c>
      <c r="AI60" s="1">
        <v>423</v>
      </c>
      <c r="AJ60" s="57"/>
      <c r="AK60" s="46"/>
      <c r="AL60" s="46"/>
      <c r="AM60" s="46"/>
      <c r="AN60" s="46"/>
      <c r="AO60" s="46"/>
      <c r="AP60" s="46"/>
      <c r="AQ60" s="46"/>
      <c r="AR60" s="46"/>
      <c r="AS60" s="46"/>
      <c r="AT60" s="46"/>
      <c r="AU60" s="46"/>
      <c r="AV60" s="57"/>
      <c r="AW60" s="46"/>
      <c r="AX60" s="46"/>
      <c r="AY60" s="46"/>
      <c r="AZ60" s="46"/>
      <c r="BA60" s="46"/>
      <c r="BB60" s="46"/>
      <c r="BC60" s="46"/>
      <c r="BD60" s="46"/>
      <c r="BE60" s="46"/>
      <c r="BF60" s="46"/>
      <c r="BG60" s="57">
        <f t="shared" si="68"/>
        <v>0</v>
      </c>
      <c r="BH60" s="46">
        <f t="shared" si="69"/>
        <v>0</v>
      </c>
      <c r="BI60" s="46">
        <f t="shared" si="70"/>
        <v>0</v>
      </c>
      <c r="BJ60" s="46">
        <f t="shared" si="71"/>
        <v>0</v>
      </c>
      <c r="BK60" s="46">
        <f t="shared" si="72"/>
        <v>0</v>
      </c>
      <c r="BL60" s="46">
        <f t="shared" si="73"/>
        <v>0</v>
      </c>
      <c r="BM60" s="46">
        <f t="shared" si="74"/>
        <v>0</v>
      </c>
      <c r="BN60" s="46">
        <f t="shared" si="75"/>
        <v>0</v>
      </c>
      <c r="BO60" s="46">
        <f t="shared" si="76"/>
        <v>0</v>
      </c>
      <c r="BP60" s="46"/>
      <c r="BQ60" s="46"/>
      <c r="BR60" s="46"/>
      <c r="BS60" s="46"/>
      <c r="BT60" s="46"/>
      <c r="BU60" s="46"/>
      <c r="BV60" s="46"/>
      <c r="BW60" s="46"/>
      <c r="BY60" s="1">
        <v>0</v>
      </c>
      <c r="BZ60" s="1">
        <v>0</v>
      </c>
      <c r="CA60" s="1">
        <v>9</v>
      </c>
      <c r="CB60" s="1">
        <v>0</v>
      </c>
      <c r="CD60" s="1">
        <v>1</v>
      </c>
      <c r="CG60" s="8" t="s">
        <v>37</v>
      </c>
    </row>
    <row r="61" spans="1:85" ht="12.75">
      <c r="A61" s="42" t="s">
        <v>71</v>
      </c>
      <c r="B61" s="57"/>
      <c r="C61" s="46"/>
      <c r="D61" s="46"/>
      <c r="E61" s="46"/>
      <c r="F61" s="46"/>
      <c r="G61" s="46">
        <v>6</v>
      </c>
      <c r="H61" s="46"/>
      <c r="I61" s="46"/>
      <c r="J61" s="46">
        <v>2</v>
      </c>
      <c r="K61" s="46">
        <v>7</v>
      </c>
      <c r="L61" s="46">
        <v>5</v>
      </c>
      <c r="M61" s="46">
        <v>2</v>
      </c>
      <c r="N61" s="46">
        <v>6</v>
      </c>
      <c r="O61" s="46">
        <v>4</v>
      </c>
      <c r="P61" s="46">
        <v>15</v>
      </c>
      <c r="Q61" s="46">
        <v>16</v>
      </c>
      <c r="R61" s="46">
        <v>12</v>
      </c>
      <c r="S61" s="46">
        <v>14</v>
      </c>
      <c r="T61" s="46">
        <v>15</v>
      </c>
      <c r="U61" s="46">
        <v>18</v>
      </c>
      <c r="V61" s="46">
        <v>23</v>
      </c>
      <c r="W61" s="46">
        <v>16</v>
      </c>
      <c r="X61" s="46">
        <v>11</v>
      </c>
      <c r="Y61" s="46">
        <v>15</v>
      </c>
      <c r="Z61" s="46">
        <v>13</v>
      </c>
      <c r="AA61" s="46">
        <v>11</v>
      </c>
      <c r="AB61" s="46">
        <v>16</v>
      </c>
      <c r="AC61" s="46">
        <v>19</v>
      </c>
      <c r="AD61" s="46">
        <v>22</v>
      </c>
      <c r="AE61" s="1">
        <v>18</v>
      </c>
      <c r="AF61" s="1">
        <v>20</v>
      </c>
      <c r="AG61" s="1">
        <v>33</v>
      </c>
      <c r="AH61" s="1">
        <v>23</v>
      </c>
      <c r="AI61" s="1">
        <v>22</v>
      </c>
      <c r="AJ61" s="57"/>
      <c r="AK61" s="46"/>
      <c r="AL61" s="46"/>
      <c r="AM61" s="46"/>
      <c r="AN61" s="46"/>
      <c r="AO61" s="46"/>
      <c r="AP61" s="46"/>
      <c r="AQ61" s="46"/>
      <c r="AR61" s="46"/>
      <c r="AS61" s="46"/>
      <c r="AT61" s="46"/>
      <c r="AU61" s="46"/>
      <c r="AV61" s="57"/>
      <c r="AW61" s="46"/>
      <c r="AX61" s="46"/>
      <c r="AY61" s="46"/>
      <c r="AZ61" s="46"/>
      <c r="BA61" s="46"/>
      <c r="BB61" s="46"/>
      <c r="BC61" s="46"/>
      <c r="BD61" s="46"/>
      <c r="BE61" s="46"/>
      <c r="BF61" s="46"/>
      <c r="BG61" s="57">
        <f t="shared" si="68"/>
        <v>0</v>
      </c>
      <c r="BH61" s="46">
        <f t="shared" si="69"/>
        <v>0</v>
      </c>
      <c r="BI61" s="46">
        <f t="shared" si="70"/>
        <v>0</v>
      </c>
      <c r="BJ61" s="46">
        <f t="shared" si="71"/>
        <v>0</v>
      </c>
      <c r="BK61" s="46">
        <f t="shared" si="72"/>
        <v>0</v>
      </c>
      <c r="BL61" s="46">
        <f t="shared" si="73"/>
        <v>0</v>
      </c>
      <c r="BM61" s="46">
        <f t="shared" si="74"/>
        <v>0</v>
      </c>
      <c r="BN61" s="46">
        <f t="shared" si="75"/>
        <v>0</v>
      </c>
      <c r="BO61" s="46">
        <f t="shared" si="76"/>
        <v>0</v>
      </c>
      <c r="BP61" s="46"/>
      <c r="BQ61" s="46"/>
      <c r="BR61" s="46"/>
      <c r="BS61" s="46"/>
      <c r="BT61" s="46"/>
      <c r="BU61" s="46"/>
      <c r="BV61" s="46"/>
      <c r="BW61" s="46"/>
      <c r="BY61" s="1">
        <v>0</v>
      </c>
      <c r="BZ61" s="1">
        <v>0</v>
      </c>
      <c r="CB61" s="1">
        <v>0</v>
      </c>
      <c r="CG61" s="8" t="s">
        <v>37</v>
      </c>
    </row>
    <row r="62" spans="1:85" ht="12.75">
      <c r="A62" s="47" t="s">
        <v>72</v>
      </c>
      <c r="B62" s="58"/>
      <c r="C62" s="48"/>
      <c r="D62" s="48"/>
      <c r="E62" s="48"/>
      <c r="F62" s="48"/>
      <c r="G62" s="48">
        <v>0</v>
      </c>
      <c r="H62" s="48"/>
      <c r="I62" s="48"/>
      <c r="J62" s="48">
        <v>0</v>
      </c>
      <c r="K62" s="48">
        <v>0</v>
      </c>
      <c r="L62" s="48"/>
      <c r="M62" s="48">
        <v>0</v>
      </c>
      <c r="N62" s="48">
        <v>1</v>
      </c>
      <c r="O62" s="48">
        <v>0</v>
      </c>
      <c r="P62" s="48">
        <v>5</v>
      </c>
      <c r="Q62" s="48">
        <v>1</v>
      </c>
      <c r="R62" s="48">
        <v>4</v>
      </c>
      <c r="S62" s="48">
        <v>5</v>
      </c>
      <c r="T62" s="48">
        <v>10</v>
      </c>
      <c r="U62" s="48">
        <v>16</v>
      </c>
      <c r="V62" s="48">
        <v>13</v>
      </c>
      <c r="W62" s="48">
        <v>9</v>
      </c>
      <c r="X62" s="48">
        <v>21</v>
      </c>
      <c r="Y62" s="48">
        <v>7</v>
      </c>
      <c r="Z62" s="48">
        <v>5</v>
      </c>
      <c r="AA62" s="48">
        <v>6</v>
      </c>
      <c r="AB62" s="48">
        <v>10</v>
      </c>
      <c r="AC62" s="48">
        <v>3</v>
      </c>
      <c r="AD62" s="48">
        <v>9</v>
      </c>
      <c r="AE62" s="1">
        <v>7</v>
      </c>
      <c r="AF62" s="1">
        <v>8</v>
      </c>
      <c r="AG62" s="1">
        <v>10</v>
      </c>
      <c r="AH62" s="1">
        <v>16</v>
      </c>
      <c r="AI62" s="1">
        <v>10</v>
      </c>
      <c r="AJ62" s="58"/>
      <c r="AK62" s="48"/>
      <c r="AL62" s="48"/>
      <c r="AM62" s="48"/>
      <c r="AN62" s="48"/>
      <c r="AO62" s="48"/>
      <c r="AP62" s="48"/>
      <c r="AQ62" s="48"/>
      <c r="AR62" s="48"/>
      <c r="AS62" s="48"/>
      <c r="AT62" s="48"/>
      <c r="AU62" s="48"/>
      <c r="AV62" s="58"/>
      <c r="AW62" s="48"/>
      <c r="AX62" s="48"/>
      <c r="AY62" s="48"/>
      <c r="AZ62" s="48"/>
      <c r="BA62" s="48"/>
      <c r="BB62" s="48"/>
      <c r="BC62" s="48"/>
      <c r="BD62" s="48"/>
      <c r="BE62" s="48"/>
      <c r="BF62" s="48"/>
      <c r="BG62" s="58">
        <f t="shared" si="68"/>
        <v>0</v>
      </c>
      <c r="BH62" s="48">
        <f t="shared" si="69"/>
        <v>0</v>
      </c>
      <c r="BI62" s="48">
        <f t="shared" si="70"/>
        <v>0</v>
      </c>
      <c r="BJ62" s="48">
        <f t="shared" si="71"/>
        <v>0</v>
      </c>
      <c r="BK62" s="48">
        <f t="shared" si="72"/>
        <v>0</v>
      </c>
      <c r="BL62" s="48">
        <f t="shared" si="73"/>
        <v>0</v>
      </c>
      <c r="BM62" s="48">
        <f t="shared" si="74"/>
        <v>0</v>
      </c>
      <c r="BN62" s="48">
        <f t="shared" si="75"/>
        <v>0</v>
      </c>
      <c r="BO62" s="48">
        <f t="shared" si="76"/>
        <v>0</v>
      </c>
      <c r="BP62" s="48"/>
      <c r="BQ62" s="48"/>
      <c r="BR62" s="48"/>
      <c r="BS62" s="48"/>
      <c r="BT62" s="48"/>
      <c r="BU62" s="48"/>
      <c r="BV62" s="48"/>
      <c r="BW62" s="48"/>
      <c r="BY62" s="3">
        <v>0</v>
      </c>
      <c r="BZ62" s="1">
        <v>0</v>
      </c>
      <c r="CA62" s="3"/>
      <c r="CB62" s="3">
        <v>0</v>
      </c>
      <c r="CG62" s="8" t="s">
        <v>37</v>
      </c>
    </row>
    <row r="63" spans="1:85" ht="12.75">
      <c r="A63" s="49" t="s">
        <v>73</v>
      </c>
      <c r="B63" s="59"/>
      <c r="C63" s="50"/>
      <c r="D63" s="50"/>
      <c r="E63" s="50"/>
      <c r="F63" s="50"/>
      <c r="G63" s="50">
        <v>448</v>
      </c>
      <c r="H63" s="50"/>
      <c r="I63" s="50"/>
      <c r="J63" s="50">
        <v>265</v>
      </c>
      <c r="K63" s="50">
        <v>326</v>
      </c>
      <c r="L63" s="50">
        <v>372</v>
      </c>
      <c r="M63" s="50">
        <v>414</v>
      </c>
      <c r="N63" s="50">
        <v>426</v>
      </c>
      <c r="O63" s="50">
        <v>483</v>
      </c>
      <c r="P63" s="50">
        <v>548</v>
      </c>
      <c r="Q63" s="50">
        <v>581</v>
      </c>
      <c r="R63" s="50">
        <v>516</v>
      </c>
      <c r="S63" s="50">
        <v>575</v>
      </c>
      <c r="T63" s="50">
        <v>601</v>
      </c>
      <c r="U63" s="50">
        <v>548</v>
      </c>
      <c r="V63" s="50">
        <v>515</v>
      </c>
      <c r="W63" s="50">
        <v>521</v>
      </c>
      <c r="X63" s="50">
        <v>542</v>
      </c>
      <c r="Y63" s="50">
        <v>458</v>
      </c>
      <c r="Z63" s="50">
        <v>500</v>
      </c>
      <c r="AA63" s="50">
        <v>554</v>
      </c>
      <c r="AB63" s="50">
        <v>495</v>
      </c>
      <c r="AC63" s="50">
        <v>481</v>
      </c>
      <c r="AD63" s="50">
        <v>483</v>
      </c>
      <c r="AE63" s="95">
        <v>530</v>
      </c>
      <c r="AF63" s="95">
        <v>497</v>
      </c>
      <c r="AG63" s="95">
        <v>544</v>
      </c>
      <c r="AH63" s="95">
        <v>539</v>
      </c>
      <c r="AI63" s="95">
        <v>495</v>
      </c>
      <c r="AJ63" s="59"/>
      <c r="AK63" s="50">
        <v>274</v>
      </c>
      <c r="AL63" s="50"/>
      <c r="AM63" s="50"/>
      <c r="AN63" s="50">
        <v>117</v>
      </c>
      <c r="AO63" s="50">
        <v>192</v>
      </c>
      <c r="AP63" s="50">
        <v>223</v>
      </c>
      <c r="AQ63" s="50">
        <v>223</v>
      </c>
      <c r="AR63" s="50">
        <v>258</v>
      </c>
      <c r="AS63" s="50">
        <v>284</v>
      </c>
      <c r="AT63" s="50">
        <v>325</v>
      </c>
      <c r="AU63" s="50">
        <v>362</v>
      </c>
      <c r="AV63" s="59">
        <v>274</v>
      </c>
      <c r="AW63" s="50"/>
      <c r="AX63" s="50"/>
      <c r="AY63" s="50">
        <v>117</v>
      </c>
      <c r="AZ63" s="50">
        <v>192</v>
      </c>
      <c r="BA63" s="50">
        <v>223</v>
      </c>
      <c r="BB63" s="50">
        <v>223</v>
      </c>
      <c r="BC63" s="50">
        <v>234</v>
      </c>
      <c r="BD63" s="50">
        <v>284</v>
      </c>
      <c r="BE63" s="50">
        <v>325</v>
      </c>
      <c r="BF63" s="50">
        <v>362</v>
      </c>
      <c r="BG63" s="59">
        <f t="shared" si="68"/>
        <v>274</v>
      </c>
      <c r="BH63" s="50">
        <f t="shared" si="69"/>
        <v>117</v>
      </c>
      <c r="BI63" s="50">
        <f t="shared" si="70"/>
        <v>192</v>
      </c>
      <c r="BJ63" s="50">
        <f t="shared" si="71"/>
        <v>223</v>
      </c>
      <c r="BK63" s="50">
        <f t="shared" si="72"/>
        <v>223</v>
      </c>
      <c r="BL63" s="50">
        <f t="shared" si="73"/>
        <v>258</v>
      </c>
      <c r="BM63" s="50">
        <f t="shared" si="74"/>
        <v>284</v>
      </c>
      <c r="BN63" s="50">
        <f t="shared" si="75"/>
        <v>325</v>
      </c>
      <c r="BO63" s="50">
        <f t="shared" si="76"/>
        <v>362</v>
      </c>
      <c r="BP63" s="50">
        <v>300</v>
      </c>
      <c r="BQ63" s="50">
        <v>326</v>
      </c>
      <c r="BR63" s="50">
        <v>415</v>
      </c>
      <c r="BS63" s="50">
        <v>351</v>
      </c>
      <c r="BT63" s="50">
        <v>312</v>
      </c>
      <c r="BU63" s="50">
        <v>321</v>
      </c>
      <c r="BV63" s="50">
        <v>342</v>
      </c>
      <c r="BW63" s="50">
        <v>266</v>
      </c>
      <c r="BX63" s="50">
        <v>316</v>
      </c>
      <c r="BY63" s="95">
        <v>341</v>
      </c>
      <c r="BZ63" s="95">
        <v>286</v>
      </c>
      <c r="CA63" s="95">
        <v>271</v>
      </c>
      <c r="CB63" s="95">
        <v>288</v>
      </c>
      <c r="CC63" s="95">
        <v>303</v>
      </c>
      <c r="CD63" s="95">
        <v>310</v>
      </c>
      <c r="CE63" s="95">
        <v>331</v>
      </c>
      <c r="CF63" s="95">
        <v>337</v>
      </c>
      <c r="CG63" s="162">
        <v>285</v>
      </c>
    </row>
    <row r="64" spans="1:85" ht="12.75">
      <c r="L64" s="8"/>
      <c r="M64" s="8"/>
      <c r="N64" s="8"/>
      <c r="O64" s="8"/>
      <c r="P64" s="8"/>
      <c r="AP64" s="8"/>
      <c r="AQ64" s="8"/>
      <c r="AR64" s="8"/>
      <c r="AS64" s="8"/>
      <c r="AT64" s="8"/>
      <c r="BA64" s="8"/>
      <c r="BB64" s="8"/>
      <c r="BC64" s="8"/>
    </row>
    <row r="65" spans="2:85" ht="12.75">
      <c r="B65" s="1" t="s">
        <v>210</v>
      </c>
      <c r="C65" s="1" t="s">
        <v>210</v>
      </c>
      <c r="D65" s="1" t="s">
        <v>210</v>
      </c>
      <c r="E65" s="1" t="s">
        <v>210</v>
      </c>
      <c r="F65" s="1" t="s">
        <v>210</v>
      </c>
      <c r="G65" s="1" t="s">
        <v>209</v>
      </c>
      <c r="J65" s="1" t="s">
        <v>209</v>
      </c>
      <c r="K65" s="1" t="s">
        <v>209</v>
      </c>
      <c r="L65" s="1" t="s">
        <v>209</v>
      </c>
      <c r="M65" s="1" t="s">
        <v>209</v>
      </c>
      <c r="N65" s="1" t="s">
        <v>209</v>
      </c>
      <c r="O65" s="1" t="s">
        <v>209</v>
      </c>
      <c r="P65" s="1" t="s">
        <v>209</v>
      </c>
      <c r="Q65" s="1" t="s">
        <v>209</v>
      </c>
      <c r="V65" s="5" t="s">
        <v>134</v>
      </c>
      <c r="W65" s="5" t="s">
        <v>134</v>
      </c>
      <c r="X65" s="5" t="s">
        <v>134</v>
      </c>
      <c r="Y65" s="5"/>
      <c r="Z65" s="5"/>
      <c r="AA65" s="5" t="s">
        <v>134</v>
      </c>
      <c r="AB65" s="5"/>
      <c r="AC65" s="5"/>
      <c r="AD65" s="5"/>
      <c r="AJ65" s="1" t="s">
        <v>210</v>
      </c>
      <c r="AK65" s="1" t="s">
        <v>209</v>
      </c>
      <c r="AN65" s="1" t="s">
        <v>209</v>
      </c>
      <c r="AO65" s="1" t="s">
        <v>209</v>
      </c>
      <c r="AP65" s="1" t="s">
        <v>209</v>
      </c>
      <c r="AQ65" s="1" t="s">
        <v>209</v>
      </c>
      <c r="AR65" s="1" t="s">
        <v>209</v>
      </c>
      <c r="AS65" s="1" t="s">
        <v>209</v>
      </c>
      <c r="AT65" s="1" t="s">
        <v>209</v>
      </c>
      <c r="AU65" s="1" t="s">
        <v>209</v>
      </c>
      <c r="AV65" s="1" t="s">
        <v>209</v>
      </c>
      <c r="AY65" s="1" t="s">
        <v>209</v>
      </c>
      <c r="AZ65" s="1" t="s">
        <v>209</v>
      </c>
      <c r="BA65" s="1" t="s">
        <v>209</v>
      </c>
      <c r="BB65" s="1" t="s">
        <v>209</v>
      </c>
      <c r="BC65" s="1" t="s">
        <v>209</v>
      </c>
      <c r="BD65" s="1" t="s">
        <v>209</v>
      </c>
      <c r="BE65" s="1" t="s">
        <v>209</v>
      </c>
      <c r="BF65" s="1" t="s">
        <v>209</v>
      </c>
      <c r="BP65" s="1" t="s">
        <v>134</v>
      </c>
      <c r="BU65" s="5" t="s">
        <v>134</v>
      </c>
      <c r="BV65" s="5" t="s">
        <v>134</v>
      </c>
      <c r="BW65" s="5"/>
    </row>
    <row r="66" spans="2:85" ht="12.75">
      <c r="B66" s="1" t="s">
        <v>243</v>
      </c>
      <c r="C66" s="1" t="s">
        <v>243</v>
      </c>
      <c r="D66" s="1" t="s">
        <v>243</v>
      </c>
      <c r="E66" s="1" t="s">
        <v>243</v>
      </c>
      <c r="F66" s="1" t="s">
        <v>243</v>
      </c>
      <c r="G66" s="1" t="s">
        <v>210</v>
      </c>
      <c r="J66" s="1" t="s">
        <v>210</v>
      </c>
      <c r="K66" s="1" t="s">
        <v>210</v>
      </c>
      <c r="L66" s="1" t="s">
        <v>210</v>
      </c>
      <c r="M66" s="1" t="s">
        <v>210</v>
      </c>
      <c r="N66" s="1" t="s">
        <v>210</v>
      </c>
      <c r="O66" s="1" t="s">
        <v>210</v>
      </c>
      <c r="P66" s="1" t="s">
        <v>210</v>
      </c>
      <c r="Q66" s="1" t="s">
        <v>210</v>
      </c>
      <c r="V66" s="5" t="s">
        <v>141</v>
      </c>
      <c r="W66" s="5" t="s">
        <v>141</v>
      </c>
      <c r="X66" s="1" t="s">
        <v>141</v>
      </c>
      <c r="AA66" s="1" t="s">
        <v>141</v>
      </c>
      <c r="AH66" s="5" t="s">
        <v>134</v>
      </c>
      <c r="AI66" s="5"/>
      <c r="AJ66" s="1" t="s">
        <v>243</v>
      </c>
      <c r="AK66" s="1" t="s">
        <v>210</v>
      </c>
      <c r="AN66" s="1" t="s">
        <v>210</v>
      </c>
      <c r="AO66" s="1" t="s">
        <v>210</v>
      </c>
      <c r="AP66" s="1" t="s">
        <v>210</v>
      </c>
      <c r="AQ66" s="1" t="s">
        <v>210</v>
      </c>
      <c r="AR66" s="1" t="s">
        <v>210</v>
      </c>
      <c r="AS66" s="1" t="s">
        <v>210</v>
      </c>
      <c r="AT66" s="1" t="s">
        <v>210</v>
      </c>
      <c r="AU66" s="1" t="s">
        <v>210</v>
      </c>
      <c r="AV66" s="1" t="s">
        <v>210</v>
      </c>
      <c r="AY66" s="1" t="s">
        <v>210</v>
      </c>
      <c r="AZ66" s="1" t="s">
        <v>210</v>
      </c>
      <c r="BA66" s="1" t="s">
        <v>210</v>
      </c>
      <c r="BB66" s="1" t="s">
        <v>210</v>
      </c>
      <c r="BC66" s="1" t="s">
        <v>210</v>
      </c>
      <c r="BD66" s="1" t="s">
        <v>210</v>
      </c>
      <c r="BE66" s="1" t="s">
        <v>210</v>
      </c>
      <c r="BF66" s="1" t="s">
        <v>210</v>
      </c>
      <c r="BP66" s="1" t="s">
        <v>141</v>
      </c>
      <c r="BU66" s="5" t="s">
        <v>141</v>
      </c>
      <c r="BV66" s="1" t="s">
        <v>141</v>
      </c>
      <c r="CF66" s="5" t="s">
        <v>134</v>
      </c>
      <c r="CG66" s="5"/>
    </row>
    <row r="67" spans="2:85" ht="12.75">
      <c r="B67" s="1" t="s">
        <v>244</v>
      </c>
      <c r="C67" s="1" t="s">
        <v>244</v>
      </c>
      <c r="D67" s="1" t="s">
        <v>244</v>
      </c>
      <c r="E67" s="1" t="s">
        <v>244</v>
      </c>
      <c r="F67" s="1" t="s">
        <v>244</v>
      </c>
      <c r="G67" s="1" t="s">
        <v>211</v>
      </c>
      <c r="J67" s="1" t="s">
        <v>211</v>
      </c>
      <c r="K67" s="1" t="s">
        <v>211</v>
      </c>
      <c r="L67" s="1" t="s">
        <v>211</v>
      </c>
      <c r="M67" s="1" t="s">
        <v>211</v>
      </c>
      <c r="N67" s="1" t="s">
        <v>211</v>
      </c>
      <c r="O67" s="1" t="s">
        <v>211</v>
      </c>
      <c r="P67" s="1" t="s">
        <v>211</v>
      </c>
      <c r="Q67" s="1" t="s">
        <v>211</v>
      </c>
      <c r="V67" s="5" t="s">
        <v>147</v>
      </c>
      <c r="W67" s="5" t="s">
        <v>147</v>
      </c>
      <c r="X67" s="1" t="s">
        <v>147</v>
      </c>
      <c r="AA67" s="1" t="s">
        <v>147</v>
      </c>
      <c r="AH67" s="1" t="s">
        <v>141</v>
      </c>
      <c r="AJ67" s="1" t="s">
        <v>244</v>
      </c>
      <c r="AK67" s="1" t="s">
        <v>211</v>
      </c>
      <c r="AN67" s="1" t="s">
        <v>211</v>
      </c>
      <c r="AO67" s="1" t="s">
        <v>211</v>
      </c>
      <c r="AP67" s="1" t="s">
        <v>211</v>
      </c>
      <c r="AQ67" s="1" t="s">
        <v>211</v>
      </c>
      <c r="AR67" s="1" t="s">
        <v>211</v>
      </c>
      <c r="AS67" s="1" t="s">
        <v>211</v>
      </c>
      <c r="AT67" s="1" t="s">
        <v>211</v>
      </c>
      <c r="AU67" s="1" t="s">
        <v>211</v>
      </c>
      <c r="AV67" s="1" t="s">
        <v>211</v>
      </c>
      <c r="AY67" s="1" t="s">
        <v>211</v>
      </c>
      <c r="AZ67" s="1" t="s">
        <v>211</v>
      </c>
      <c r="BA67" s="1" t="s">
        <v>211</v>
      </c>
      <c r="BB67" s="1" t="s">
        <v>211</v>
      </c>
      <c r="BC67" s="1" t="s">
        <v>211</v>
      </c>
      <c r="BD67" s="1" t="s">
        <v>211</v>
      </c>
      <c r="BE67" s="1" t="s">
        <v>211</v>
      </c>
      <c r="BF67" s="1" t="s">
        <v>211</v>
      </c>
      <c r="BP67" s="1" t="s">
        <v>147</v>
      </c>
      <c r="BU67" s="5" t="s">
        <v>147</v>
      </c>
      <c r="BV67" s="1" t="s">
        <v>147</v>
      </c>
      <c r="CF67" s="1" t="s">
        <v>141</v>
      </c>
    </row>
    <row r="68" spans="2:85" ht="12.75">
      <c r="B68" s="1" t="s">
        <v>245</v>
      </c>
      <c r="C68" s="1" t="s">
        <v>245</v>
      </c>
      <c r="D68" s="1" t="s">
        <v>245</v>
      </c>
      <c r="E68" s="1" t="s">
        <v>245</v>
      </c>
      <c r="F68" s="1" t="s">
        <v>245</v>
      </c>
      <c r="G68" s="1" t="s">
        <v>212</v>
      </c>
      <c r="J68" s="1" t="s">
        <v>212</v>
      </c>
      <c r="K68" s="1" t="s">
        <v>212</v>
      </c>
      <c r="L68" s="1" t="s">
        <v>212</v>
      </c>
      <c r="M68" s="1" t="s">
        <v>212</v>
      </c>
      <c r="N68" s="1" t="s">
        <v>212</v>
      </c>
      <c r="O68" s="1" t="s">
        <v>212</v>
      </c>
      <c r="P68" s="1" t="s">
        <v>212</v>
      </c>
      <c r="Q68" s="1" t="s">
        <v>212</v>
      </c>
      <c r="V68" s="5" t="s">
        <v>153</v>
      </c>
      <c r="W68" s="5" t="s">
        <v>153</v>
      </c>
      <c r="X68" s="1" t="s">
        <v>152</v>
      </c>
      <c r="AA68" s="1" t="s">
        <v>152</v>
      </c>
      <c r="AH68" s="1" t="s">
        <v>147</v>
      </c>
      <c r="AJ68" s="1" t="s">
        <v>245</v>
      </c>
      <c r="AK68" s="1" t="s">
        <v>212</v>
      </c>
      <c r="AN68" s="1" t="s">
        <v>212</v>
      </c>
      <c r="AO68" s="1" t="s">
        <v>212</v>
      </c>
      <c r="AP68" s="1" t="s">
        <v>212</v>
      </c>
      <c r="AQ68" s="1" t="s">
        <v>212</v>
      </c>
      <c r="AR68" s="1" t="s">
        <v>212</v>
      </c>
      <c r="AS68" s="1" t="s">
        <v>212</v>
      </c>
      <c r="AT68" s="1" t="s">
        <v>212</v>
      </c>
      <c r="AU68" s="1" t="s">
        <v>212</v>
      </c>
      <c r="AV68" s="1" t="s">
        <v>212</v>
      </c>
      <c r="AY68" s="1" t="s">
        <v>212</v>
      </c>
      <c r="AZ68" s="1" t="s">
        <v>212</v>
      </c>
      <c r="BA68" s="1" t="s">
        <v>212</v>
      </c>
      <c r="BB68" s="1" t="s">
        <v>212</v>
      </c>
      <c r="BC68" s="1" t="s">
        <v>212</v>
      </c>
      <c r="BD68" s="1" t="s">
        <v>212</v>
      </c>
      <c r="BE68" s="1" t="s">
        <v>212</v>
      </c>
      <c r="BF68" s="1" t="s">
        <v>212</v>
      </c>
      <c r="BP68" s="1" t="s">
        <v>152</v>
      </c>
      <c r="BU68" s="5" t="s">
        <v>153</v>
      </c>
      <c r="BV68" s="1" t="s">
        <v>152</v>
      </c>
      <c r="CF68" s="1" t="s">
        <v>147</v>
      </c>
    </row>
    <row r="69" spans="2:85" ht="12.75">
      <c r="B69" s="1" t="s">
        <v>246</v>
      </c>
      <c r="C69" s="1" t="s">
        <v>246</v>
      </c>
      <c r="D69" s="1" t="s">
        <v>246</v>
      </c>
      <c r="E69" s="1" t="s">
        <v>246</v>
      </c>
      <c r="F69" s="1" t="s">
        <v>246</v>
      </c>
      <c r="G69" s="1" t="s">
        <v>213</v>
      </c>
      <c r="J69" s="1" t="s">
        <v>213</v>
      </c>
      <c r="K69" s="1" t="s">
        <v>213</v>
      </c>
      <c r="L69" s="1" t="s">
        <v>213</v>
      </c>
      <c r="M69" s="1" t="s">
        <v>213</v>
      </c>
      <c r="N69" s="1" t="s">
        <v>213</v>
      </c>
      <c r="O69" s="1" t="s">
        <v>213</v>
      </c>
      <c r="P69" s="1" t="s">
        <v>213</v>
      </c>
      <c r="Q69" s="1" t="s">
        <v>213</v>
      </c>
      <c r="V69" s="5" t="s">
        <v>156</v>
      </c>
      <c r="W69" s="5" t="s">
        <v>156</v>
      </c>
      <c r="X69" s="1" t="s">
        <v>156</v>
      </c>
      <c r="AA69" s="1" t="s">
        <v>156</v>
      </c>
      <c r="AH69" s="1" t="s">
        <v>152</v>
      </c>
      <c r="AJ69" s="1" t="s">
        <v>246</v>
      </c>
      <c r="AK69" s="1" t="s">
        <v>213</v>
      </c>
      <c r="AN69" s="1" t="s">
        <v>213</v>
      </c>
      <c r="AO69" s="1" t="s">
        <v>213</v>
      </c>
      <c r="AP69" s="1" t="s">
        <v>213</v>
      </c>
      <c r="AQ69" s="1" t="s">
        <v>213</v>
      </c>
      <c r="AR69" s="1" t="s">
        <v>213</v>
      </c>
      <c r="AS69" s="1" t="s">
        <v>213</v>
      </c>
      <c r="AT69" s="1" t="s">
        <v>213</v>
      </c>
      <c r="AU69" s="1" t="s">
        <v>213</v>
      </c>
      <c r="AV69" s="1" t="s">
        <v>213</v>
      </c>
      <c r="AY69" s="1" t="s">
        <v>213</v>
      </c>
      <c r="AZ69" s="1" t="s">
        <v>213</v>
      </c>
      <c r="BA69" s="1" t="s">
        <v>213</v>
      </c>
      <c r="BB69" s="1" t="s">
        <v>213</v>
      </c>
      <c r="BC69" s="1" t="s">
        <v>213</v>
      </c>
      <c r="BD69" s="1" t="s">
        <v>213</v>
      </c>
      <c r="BE69" s="1" t="s">
        <v>213</v>
      </c>
      <c r="BF69" s="1" t="s">
        <v>213</v>
      </c>
      <c r="BP69" s="1" t="s">
        <v>156</v>
      </c>
      <c r="BU69" s="5" t="s">
        <v>156</v>
      </c>
      <c r="BV69" s="1" t="s">
        <v>156</v>
      </c>
      <c r="CF69" s="1" t="s">
        <v>152</v>
      </c>
    </row>
    <row r="70" spans="2:85" ht="12.75">
      <c r="B70" s="1" t="s">
        <v>247</v>
      </c>
      <c r="C70" s="1" t="s">
        <v>248</v>
      </c>
      <c r="D70" s="1" t="s">
        <v>249</v>
      </c>
      <c r="E70" s="1" t="s">
        <v>95</v>
      </c>
      <c r="F70" s="1" t="s">
        <v>97</v>
      </c>
      <c r="G70" s="1" t="s">
        <v>214</v>
      </c>
      <c r="J70" s="1" t="s">
        <v>214</v>
      </c>
      <c r="K70" s="1" t="s">
        <v>214</v>
      </c>
      <c r="L70" s="1" t="s">
        <v>214</v>
      </c>
      <c r="M70" s="1" t="s">
        <v>214</v>
      </c>
      <c r="N70" s="1" t="s">
        <v>214</v>
      </c>
      <c r="O70" s="1" t="s">
        <v>214</v>
      </c>
      <c r="P70" s="1" t="s">
        <v>214</v>
      </c>
      <c r="Q70" s="1" t="s">
        <v>214</v>
      </c>
      <c r="V70" s="5" t="s">
        <v>159</v>
      </c>
      <c r="W70" s="5" t="s">
        <v>159</v>
      </c>
      <c r="X70" s="1" t="s">
        <v>159</v>
      </c>
      <c r="AA70" s="1" t="s">
        <v>159</v>
      </c>
      <c r="AH70" s="1" t="s">
        <v>156</v>
      </c>
      <c r="AJ70" s="1" t="s">
        <v>97</v>
      </c>
      <c r="AK70" s="1" t="s">
        <v>214</v>
      </c>
      <c r="AN70" s="1" t="s">
        <v>214</v>
      </c>
      <c r="AO70" s="1" t="s">
        <v>214</v>
      </c>
      <c r="AP70" s="1" t="s">
        <v>214</v>
      </c>
      <c r="AQ70" s="1" t="s">
        <v>214</v>
      </c>
      <c r="AR70" s="1" t="s">
        <v>214</v>
      </c>
      <c r="AS70" s="1" t="s">
        <v>214</v>
      </c>
      <c r="AT70" s="1" t="s">
        <v>214</v>
      </c>
      <c r="AU70" s="1" t="s">
        <v>214</v>
      </c>
      <c r="AV70" s="1" t="s">
        <v>214</v>
      </c>
      <c r="AY70" s="1" t="s">
        <v>214</v>
      </c>
      <c r="AZ70" s="1" t="s">
        <v>214</v>
      </c>
      <c r="BA70" s="1" t="s">
        <v>214</v>
      </c>
      <c r="BB70" s="1" t="s">
        <v>214</v>
      </c>
      <c r="BC70" s="1" t="s">
        <v>214</v>
      </c>
      <c r="BD70" s="1" t="s">
        <v>214</v>
      </c>
      <c r="BE70" s="1" t="s">
        <v>214</v>
      </c>
      <c r="BF70" s="1" t="s">
        <v>214</v>
      </c>
      <c r="BP70" s="1" t="s">
        <v>159</v>
      </c>
      <c r="BU70" s="5" t="s">
        <v>159</v>
      </c>
      <c r="BV70" s="1" t="s">
        <v>159</v>
      </c>
      <c r="CF70" s="1" t="s">
        <v>156</v>
      </c>
    </row>
    <row r="71" spans="2:85" ht="12.75">
      <c r="G71" s="1" t="s">
        <v>215</v>
      </c>
      <c r="J71" s="1" t="s">
        <v>215</v>
      </c>
      <c r="K71" s="1" t="s">
        <v>215</v>
      </c>
      <c r="L71" s="1" t="s">
        <v>215</v>
      </c>
      <c r="M71" s="1" t="s">
        <v>215</v>
      </c>
      <c r="N71" s="1" t="s">
        <v>215</v>
      </c>
      <c r="O71" s="1" t="s">
        <v>215</v>
      </c>
      <c r="P71" s="1" t="s">
        <v>215</v>
      </c>
      <c r="Q71" s="1" t="s">
        <v>215</v>
      </c>
      <c r="V71" s="5" t="s">
        <v>163</v>
      </c>
      <c r="W71" s="5" t="s">
        <v>163</v>
      </c>
      <c r="X71" s="1" t="s">
        <v>164</v>
      </c>
      <c r="AA71" s="1" t="s">
        <v>164</v>
      </c>
      <c r="AH71" s="1" t="s">
        <v>159</v>
      </c>
      <c r="AK71" s="1" t="s">
        <v>215</v>
      </c>
      <c r="AN71" s="1" t="s">
        <v>215</v>
      </c>
      <c r="AO71" s="1" t="s">
        <v>215</v>
      </c>
      <c r="AP71" s="1" t="s">
        <v>215</v>
      </c>
      <c r="AQ71" s="1" t="s">
        <v>215</v>
      </c>
      <c r="AR71" s="1" t="s">
        <v>215</v>
      </c>
      <c r="AS71" s="1" t="s">
        <v>215</v>
      </c>
      <c r="AT71" s="1" t="s">
        <v>215</v>
      </c>
      <c r="AU71" s="1" t="s">
        <v>215</v>
      </c>
      <c r="AV71" s="1" t="s">
        <v>215</v>
      </c>
      <c r="AY71" s="1" t="s">
        <v>215</v>
      </c>
      <c r="AZ71" s="1" t="s">
        <v>215</v>
      </c>
      <c r="BA71" s="1" t="s">
        <v>215</v>
      </c>
      <c r="BB71" s="1" t="s">
        <v>215</v>
      </c>
      <c r="BC71" s="1" t="s">
        <v>215</v>
      </c>
      <c r="BD71" s="1" t="s">
        <v>215</v>
      </c>
      <c r="BE71" s="1" t="s">
        <v>215</v>
      </c>
      <c r="BF71" s="1" t="s">
        <v>215</v>
      </c>
      <c r="BP71" s="1" t="s">
        <v>163</v>
      </c>
      <c r="BU71" s="5" t="s">
        <v>163</v>
      </c>
      <c r="BV71" s="1" t="s">
        <v>164</v>
      </c>
      <c r="CF71" s="1" t="s">
        <v>159</v>
      </c>
    </row>
    <row r="72" spans="2:85" ht="12.75">
      <c r="G72" s="1" t="s">
        <v>99</v>
      </c>
      <c r="J72" s="1" t="s">
        <v>104</v>
      </c>
      <c r="K72" s="1" t="s">
        <v>105</v>
      </c>
      <c r="L72" s="1" t="s">
        <v>106</v>
      </c>
      <c r="M72" s="1" t="s">
        <v>107</v>
      </c>
      <c r="N72" s="1" t="s">
        <v>108</v>
      </c>
      <c r="O72" s="1" t="s">
        <v>109</v>
      </c>
      <c r="P72" s="1" t="s">
        <v>110</v>
      </c>
      <c r="Q72" s="1" t="s">
        <v>112</v>
      </c>
      <c r="V72" s="7" t="s">
        <v>168</v>
      </c>
      <c r="W72" s="7" t="s">
        <v>168</v>
      </c>
      <c r="X72" s="1" t="s">
        <v>169</v>
      </c>
      <c r="AA72" s="1" t="s">
        <v>169</v>
      </c>
      <c r="AH72" s="1" t="s">
        <v>164</v>
      </c>
      <c r="AK72" s="1" t="s">
        <v>99</v>
      </c>
      <c r="AN72" s="1" t="s">
        <v>104</v>
      </c>
      <c r="AO72" s="1" t="s">
        <v>105</v>
      </c>
      <c r="AP72" s="1" t="s">
        <v>106</v>
      </c>
      <c r="AQ72" s="1" t="s">
        <v>107</v>
      </c>
      <c r="AR72" s="1" t="s">
        <v>108</v>
      </c>
      <c r="AS72" s="1" t="s">
        <v>109</v>
      </c>
      <c r="AT72" s="1" t="s">
        <v>110</v>
      </c>
      <c r="AU72" s="1" t="s">
        <v>112</v>
      </c>
      <c r="AV72" s="1" t="s">
        <v>99</v>
      </c>
      <c r="AY72" s="1" t="s">
        <v>104</v>
      </c>
      <c r="AZ72" s="1" t="s">
        <v>105</v>
      </c>
      <c r="BA72" s="1" t="s">
        <v>106</v>
      </c>
      <c r="BB72" s="1" t="s">
        <v>107</v>
      </c>
      <c r="BC72" s="1" t="s">
        <v>108</v>
      </c>
      <c r="BD72" s="1" t="s">
        <v>109</v>
      </c>
      <c r="BE72" s="1" t="s">
        <v>110</v>
      </c>
      <c r="BF72" s="1" t="s">
        <v>112</v>
      </c>
      <c r="BP72" s="1" t="s">
        <v>168</v>
      </c>
      <c r="BU72" s="7" t="s">
        <v>168</v>
      </c>
      <c r="BV72" s="1" t="s">
        <v>169</v>
      </c>
      <c r="CF72" s="1" t="s">
        <v>164</v>
      </c>
    </row>
    <row r="73" spans="2:85" ht="12.75">
      <c r="V73" s="7" t="s">
        <v>171</v>
      </c>
      <c r="W73" s="7" t="s">
        <v>171</v>
      </c>
      <c r="X73" s="1" t="s">
        <v>172</v>
      </c>
      <c r="AA73" s="1" t="s">
        <v>172</v>
      </c>
      <c r="AH73" s="1" t="s">
        <v>169</v>
      </c>
      <c r="BP73" s="1" t="s">
        <v>171</v>
      </c>
      <c r="BU73" s="7" t="s">
        <v>171</v>
      </c>
      <c r="BV73" s="1" t="s">
        <v>172</v>
      </c>
      <c r="CF73" s="1" t="s">
        <v>169</v>
      </c>
    </row>
    <row r="74" spans="2:85" ht="12.75">
      <c r="V74" s="7" t="s">
        <v>174</v>
      </c>
      <c r="W74" s="7" t="s">
        <v>174</v>
      </c>
      <c r="X74" s="1" t="s">
        <v>175</v>
      </c>
      <c r="AA74" s="1" t="s">
        <v>234</v>
      </c>
      <c r="AH74" s="1" t="s">
        <v>172</v>
      </c>
      <c r="BP74" s="1" t="s">
        <v>174</v>
      </c>
      <c r="BU74" s="7" t="s">
        <v>174</v>
      </c>
      <c r="BV74" s="1" t="s">
        <v>175</v>
      </c>
      <c r="CF74" s="1" t="s">
        <v>172</v>
      </c>
    </row>
    <row r="75" spans="2:85" ht="12.75">
      <c r="V75" s="7" t="s">
        <v>180</v>
      </c>
      <c r="W75" s="7" t="s">
        <v>180</v>
      </c>
      <c r="X75" s="1" t="s">
        <v>180</v>
      </c>
      <c r="AA75" s="1" t="s">
        <v>180</v>
      </c>
      <c r="AH75" s="1" t="s">
        <v>176</v>
      </c>
      <c r="BP75" s="1" t="s">
        <v>180</v>
      </c>
      <c r="BU75" s="7" t="s">
        <v>180</v>
      </c>
      <c r="BV75" s="1" t="s">
        <v>180</v>
      </c>
      <c r="CF75" s="1" t="s">
        <v>176</v>
      </c>
    </row>
    <row r="76" spans="2:85" ht="12.75">
      <c r="AH76" s="1" t="s">
        <v>180</v>
      </c>
      <c r="CF76" s="1" t="s">
        <v>180</v>
      </c>
    </row>
    <row r="77" spans="2:85" ht="12.75">
      <c r="W77" s="1" t="s">
        <v>185</v>
      </c>
      <c r="X77" s="1" t="s">
        <v>185</v>
      </c>
      <c r="BU77" s="1" t="s">
        <v>185</v>
      </c>
      <c r="BV77" s="1" t="s">
        <v>185</v>
      </c>
    </row>
    <row r="78" spans="2:85" ht="12.75">
      <c r="W78" s="1" t="s">
        <v>187</v>
      </c>
      <c r="X78" s="1" t="s">
        <v>187</v>
      </c>
      <c r="BU78" s="1" t="s">
        <v>187</v>
      </c>
      <c r="BV78" s="1" t="s">
        <v>187</v>
      </c>
    </row>
    <row r="79" spans="2:85" ht="12.75">
      <c r="W79" s="1" t="s">
        <v>188</v>
      </c>
      <c r="X79" s="1" t="s">
        <v>188</v>
      </c>
      <c r="BU79" s="1" t="s">
        <v>188</v>
      </c>
      <c r="BV79" s="1" t="s">
        <v>188</v>
      </c>
    </row>
    <row r="80" spans="2:85" ht="12.75">
      <c r="W80" s="1" t="s">
        <v>189</v>
      </c>
      <c r="X80" s="1" t="s">
        <v>189</v>
      </c>
      <c r="BU80" s="1" t="s">
        <v>189</v>
      </c>
      <c r="BV80" s="1" t="s">
        <v>189</v>
      </c>
    </row>
    <row r="81" spans="23:75" ht="12.75">
      <c r="W81" s="1" t="s">
        <v>190</v>
      </c>
      <c r="X81" s="1" t="s">
        <v>190</v>
      </c>
      <c r="BU81" s="1" t="s">
        <v>190</v>
      </c>
      <c r="BV81" s="1" t="s">
        <v>190</v>
      </c>
    </row>
    <row r="82" spans="23:75" ht="12.75">
      <c r="W82" s="1" t="s">
        <v>191</v>
      </c>
      <c r="X82" s="1" t="s">
        <v>191</v>
      </c>
      <c r="BU82" s="1" t="s">
        <v>191</v>
      </c>
      <c r="BV82" s="1" t="s">
        <v>191</v>
      </c>
    </row>
    <row r="83" spans="23:75" ht="12.75">
      <c r="W83" s="1" t="s">
        <v>192</v>
      </c>
      <c r="X83" s="1" t="s">
        <v>192</v>
      </c>
      <c r="BU83" s="1" t="s">
        <v>192</v>
      </c>
      <c r="BV83" s="1" t="s">
        <v>192</v>
      </c>
    </row>
    <row r="84" spans="23:75" ht="12.75">
      <c r="W84" s="1" t="s">
        <v>193</v>
      </c>
      <c r="X84" s="1" t="s">
        <v>193</v>
      </c>
      <c r="BU84" s="1" t="s">
        <v>193</v>
      </c>
      <c r="BV84" s="1" t="s">
        <v>193</v>
      </c>
    </row>
    <row r="85" spans="23:75" ht="12.75">
      <c r="W85" s="1" t="s">
        <v>194</v>
      </c>
      <c r="X85" s="1" t="s">
        <v>194</v>
      </c>
      <c r="BU85" s="1" t="s">
        <v>194</v>
      </c>
      <c r="BV85" s="1" t="s">
        <v>194</v>
      </c>
    </row>
    <row r="86" spans="23:75" ht="12.75">
      <c r="W86" s="1" t="s">
        <v>195</v>
      </c>
      <c r="X86" s="1" t="s">
        <v>195</v>
      </c>
      <c r="BU86" s="1" t="s">
        <v>195</v>
      </c>
      <c r="BV86" s="1" t="s">
        <v>195</v>
      </c>
    </row>
    <row r="87" spans="23:75" ht="12.75">
      <c r="W87" s="1" t="s">
        <v>196</v>
      </c>
      <c r="X87" s="1" t="s">
        <v>196</v>
      </c>
      <c r="BU87" s="1" t="s">
        <v>196</v>
      </c>
      <c r="BV87" s="1" t="s">
        <v>196</v>
      </c>
    </row>
    <row r="88" spans="23:75" ht="12.75">
      <c r="W88" s="1" t="s">
        <v>197</v>
      </c>
      <c r="X88" s="1" t="s">
        <v>197</v>
      </c>
      <c r="BU88" s="1" t="s">
        <v>197</v>
      </c>
      <c r="BV88" s="1" t="s">
        <v>197</v>
      </c>
    </row>
    <row r="89" spans="23:75" ht="12.75">
      <c r="W89" s="1" t="s">
        <v>198</v>
      </c>
      <c r="X89" s="1" t="s">
        <v>198</v>
      </c>
      <c r="BU89" s="1" t="s">
        <v>198</v>
      </c>
      <c r="BV89" s="1" t="s">
        <v>198</v>
      </c>
    </row>
    <row r="90" spans="23:75" ht="12.75">
      <c r="W90" s="1" t="s">
        <v>199</v>
      </c>
      <c r="X90" s="1" t="s">
        <v>199</v>
      </c>
      <c r="BU90" s="1" t="s">
        <v>199</v>
      </c>
      <c r="BV90" s="1" t="s">
        <v>199</v>
      </c>
    </row>
    <row r="91" spans="23:75" ht="12.75">
      <c r="W91" s="52" t="s">
        <v>200</v>
      </c>
      <c r="X91" s="52" t="s">
        <v>200</v>
      </c>
      <c r="Y91" s="52"/>
      <c r="Z91" s="52"/>
      <c r="AA91" s="52"/>
      <c r="AB91" s="52"/>
      <c r="AC91" s="52"/>
      <c r="AD91" s="52"/>
      <c r="BU91" s="52" t="s">
        <v>200</v>
      </c>
      <c r="BV91" s="52" t="s">
        <v>200</v>
      </c>
      <c r="BW91" s="52"/>
    </row>
    <row r="93" spans="23:75" ht="12.75">
      <c r="W93" s="1" t="s">
        <v>201</v>
      </c>
      <c r="BU93" s="1" t="s">
        <v>201</v>
      </c>
    </row>
    <row r="94" spans="23:75" ht="12.75">
      <c r="W94" s="1" t="s">
        <v>202</v>
      </c>
      <c r="X94" s="52"/>
      <c r="Y94" s="52"/>
      <c r="Z94" s="52"/>
      <c r="AA94" s="52"/>
      <c r="AB94" s="52"/>
      <c r="AC94" s="52"/>
      <c r="AD94" s="52"/>
      <c r="BU94" s="1" t="s">
        <v>202</v>
      </c>
      <c r="BV94" s="52"/>
      <c r="BW94" s="52"/>
    </row>
    <row r="95" spans="23:75" ht="12.75">
      <c r="W95" s="1" t="s">
        <v>203</v>
      </c>
      <c r="BU95" s="1" t="s">
        <v>203</v>
      </c>
    </row>
    <row r="96" spans="23:75" ht="12.75">
      <c r="W96" s="1" t="s">
        <v>204</v>
      </c>
      <c r="BU96" s="1" t="s">
        <v>204</v>
      </c>
    </row>
    <row r="97" spans="23:73" ht="12.75">
      <c r="W97" s="1" t="s">
        <v>205</v>
      </c>
      <c r="BU97" s="1" t="s">
        <v>205</v>
      </c>
    </row>
    <row r="98" spans="23:73" ht="12.75">
      <c r="W98" s="1" t="s">
        <v>206</v>
      </c>
      <c r="BU98" s="1" t="s">
        <v>206</v>
      </c>
    </row>
    <row r="113" spans="23:30" ht="12.75">
      <c r="X113"/>
      <c r="Y113"/>
      <c r="Z113"/>
      <c r="AA113"/>
      <c r="AB113"/>
      <c r="AC113"/>
      <c r="AD113"/>
    </row>
    <row r="114" spans="23:30" ht="12.75">
      <c r="X114"/>
      <c r="Y114"/>
      <c r="Z114"/>
      <c r="AA114"/>
      <c r="AB114"/>
      <c r="AC114"/>
      <c r="AD114"/>
    </row>
    <row r="115" spans="23:30" ht="12.75">
      <c r="X115"/>
      <c r="Y115"/>
      <c r="Z115"/>
      <c r="AA115"/>
      <c r="AB115"/>
      <c r="AC115"/>
      <c r="AD115"/>
    </row>
    <row r="116" spans="23:30" ht="12.75">
      <c r="W116"/>
      <c r="X116"/>
      <c r="Y116"/>
      <c r="Z116"/>
      <c r="AA116"/>
      <c r="AB116"/>
      <c r="AC116"/>
      <c r="AD116"/>
    </row>
    <row r="117" spans="23:30" ht="12.75">
      <c r="W117"/>
      <c r="X117"/>
      <c r="Y117"/>
      <c r="Z117"/>
      <c r="AA117"/>
      <c r="AB117"/>
      <c r="AC117"/>
      <c r="AD117"/>
    </row>
    <row r="118" spans="23:30" ht="12.75">
      <c r="W118"/>
      <c r="X118"/>
      <c r="Y118"/>
      <c r="Z118"/>
      <c r="AA118"/>
      <c r="AB118"/>
      <c r="AC118"/>
      <c r="AD118"/>
    </row>
    <row r="119" spans="23:30" ht="12.75">
      <c r="W119"/>
      <c r="X119"/>
      <c r="Y119"/>
      <c r="Z119"/>
      <c r="AA119"/>
      <c r="AB119"/>
      <c r="AC119"/>
      <c r="AD119"/>
    </row>
    <row r="120" spans="23:30" ht="12.75">
      <c r="W120"/>
      <c r="X120"/>
      <c r="Y120"/>
      <c r="Z120"/>
      <c r="AA120"/>
      <c r="AB120"/>
      <c r="AC120"/>
      <c r="AD120"/>
    </row>
    <row r="121" spans="23:30" ht="12.75">
      <c r="W121"/>
      <c r="X121"/>
      <c r="Y121"/>
      <c r="Z121"/>
      <c r="AA121"/>
      <c r="AB121"/>
      <c r="AC121"/>
      <c r="AD121"/>
    </row>
  </sheetData>
  <phoneticPr fontId="0" type="noConversion"/>
  <hyperlinks>
    <hyperlink ref="X75" r:id="rId1" display="www.nces.ed.gov" xr:uid="{00000000-0004-0000-0500-000000000000}"/>
    <hyperlink ref="BV75" r:id="rId2" display="www.nces.ed.gov" xr:uid="{00000000-0004-0000-0500-000001000000}"/>
    <hyperlink ref="AA75" r:id="rId3" display="www.nces.ed.gov" xr:uid="{00000000-0004-0000-0500-000002000000}"/>
    <hyperlink ref="AH76" r:id="rId4" display="www.nces.ed.gov" xr:uid="{1D12764F-411B-4754-A0F5-DC7F5FCB8AC4}"/>
    <hyperlink ref="CF76" r:id="rId5" display="www.nces.ed.gov" xr:uid="{337EFAC6-EF12-45D8-901E-CA5DFABEB32E}"/>
  </hyperlinks>
  <pageMargins left="0.75" right="0.75" top="1" bottom="1" header="0.5" footer="0.5"/>
  <pageSetup orientation="portrait" horizontalDpi="1200" verticalDpi="1200" r:id="rId6"/>
  <headerFooter alignWithMargins="0"/>
  <legacyDrawing r:id="rId7"/>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BG101"/>
  <sheetViews>
    <sheetView zoomScaleNormal="100" workbookViewId="0">
      <pane xSplit="1" ySplit="4" topLeftCell="K5" activePane="bottomRight" state="frozen"/>
      <selection pane="bottomRight" activeCell="BG63" sqref="BG63"/>
      <selection pane="bottomLeft" activeCell="A5" sqref="A5"/>
      <selection pane="topRight" activeCell="B1" sqref="B1"/>
    </sheetView>
  </sheetViews>
  <sheetFormatPr defaultColWidth="9.140625" defaultRowHeight="12.6"/>
  <cols>
    <col min="1" max="1" width="19.140625" style="1" customWidth="1"/>
    <col min="2" max="18" width="9.140625" style="1" customWidth="1"/>
    <col min="19" max="30" width="9.140625" style="1"/>
    <col min="31" max="47" width="9.140625" style="1" customWidth="1"/>
    <col min="48" max="16384" width="9.140625" style="1"/>
  </cols>
  <sheetData>
    <row r="1" spans="1:59" ht="12.95">
      <c r="A1" s="11" t="s">
        <v>241</v>
      </c>
      <c r="B1" s="53"/>
      <c r="AE1" s="53"/>
    </row>
    <row r="2" spans="1:59" ht="12.95">
      <c r="B2" s="61" t="s">
        <v>273</v>
      </c>
      <c r="C2" s="2"/>
      <c r="D2" s="2"/>
      <c r="E2" s="2"/>
      <c r="F2" s="2"/>
      <c r="G2" s="2"/>
      <c r="H2" s="2"/>
      <c r="I2" s="2"/>
      <c r="J2" s="2"/>
      <c r="K2" s="2"/>
      <c r="L2" s="2"/>
      <c r="M2" s="2"/>
      <c r="N2" s="2"/>
      <c r="O2" s="2"/>
      <c r="P2" s="2"/>
      <c r="Q2" s="2"/>
      <c r="R2" s="2"/>
      <c r="AE2" s="61" t="s">
        <v>274</v>
      </c>
      <c r="AF2" s="2"/>
      <c r="AG2" s="2"/>
      <c r="AH2" s="2"/>
      <c r="AI2" s="2"/>
      <c r="AJ2" s="2"/>
      <c r="AK2" s="2"/>
      <c r="AL2" s="2"/>
      <c r="AS2" s="2"/>
      <c r="AT2" s="2"/>
    </row>
    <row r="3" spans="1:59" s="11" customFormat="1" ht="12.95">
      <c r="B3" s="118" t="s">
        <v>99</v>
      </c>
      <c r="C3" s="114" t="s">
        <v>101</v>
      </c>
      <c r="D3" s="114" t="s">
        <v>102</v>
      </c>
      <c r="E3" s="114" t="s">
        <v>104</v>
      </c>
      <c r="F3" s="114" t="s">
        <v>105</v>
      </c>
      <c r="G3" s="114" t="s">
        <v>106</v>
      </c>
      <c r="H3" s="114" t="s">
        <v>107</v>
      </c>
      <c r="I3" s="114" t="s">
        <v>108</v>
      </c>
      <c r="J3" s="114" t="s">
        <v>109</v>
      </c>
      <c r="K3" s="114" t="s">
        <v>110</v>
      </c>
      <c r="L3" s="114" t="s">
        <v>112</v>
      </c>
      <c r="M3" s="114" t="s">
        <v>115</v>
      </c>
      <c r="N3" s="114" t="s">
        <v>116</v>
      </c>
      <c r="O3" s="114" t="s">
        <v>117</v>
      </c>
      <c r="P3" s="114" t="s">
        <v>118</v>
      </c>
      <c r="Q3" s="114" t="s">
        <v>119</v>
      </c>
      <c r="R3" s="114" t="s">
        <v>120</v>
      </c>
      <c r="S3" s="114" t="s">
        <v>121</v>
      </c>
      <c r="T3" s="114" t="s">
        <v>122</v>
      </c>
      <c r="U3" s="114" t="s">
        <v>123</v>
      </c>
      <c r="V3" s="114" t="s">
        <v>124</v>
      </c>
      <c r="W3" s="114" t="s">
        <v>125</v>
      </c>
      <c r="X3" s="114" t="s">
        <v>126</v>
      </c>
      <c r="Y3" s="114" t="s">
        <v>14</v>
      </c>
      <c r="Z3" s="114" t="s">
        <v>127</v>
      </c>
      <c r="AA3" s="114" t="s">
        <v>128</v>
      </c>
      <c r="AB3" s="114" t="s">
        <v>129</v>
      </c>
      <c r="AC3" s="114" t="s">
        <v>130</v>
      </c>
      <c r="AD3" s="115" t="s">
        <v>13</v>
      </c>
      <c r="AE3" s="118" t="s">
        <v>99</v>
      </c>
      <c r="AF3" s="114" t="s">
        <v>101</v>
      </c>
      <c r="AG3" s="114" t="s">
        <v>102</v>
      </c>
      <c r="AH3" s="114" t="s">
        <v>104</v>
      </c>
      <c r="AI3" s="114" t="s">
        <v>105</v>
      </c>
      <c r="AJ3" s="114" t="s">
        <v>106</v>
      </c>
      <c r="AK3" s="114" t="s">
        <v>107</v>
      </c>
      <c r="AL3" s="114" t="s">
        <v>108</v>
      </c>
      <c r="AM3" s="114" t="s">
        <v>109</v>
      </c>
      <c r="AN3" s="114" t="s">
        <v>110</v>
      </c>
      <c r="AO3" s="114" t="s">
        <v>112</v>
      </c>
      <c r="AP3" s="114" t="s">
        <v>115</v>
      </c>
      <c r="AQ3" s="114" t="s">
        <v>116</v>
      </c>
      <c r="AR3" s="114" t="s">
        <v>117</v>
      </c>
      <c r="AS3" s="114" t="s">
        <v>118</v>
      </c>
      <c r="AT3" s="114" t="s">
        <v>119</v>
      </c>
      <c r="AU3" s="114" t="s">
        <v>120</v>
      </c>
      <c r="AV3" s="114" t="s">
        <v>121</v>
      </c>
      <c r="AW3" s="114" t="s">
        <v>122</v>
      </c>
      <c r="AX3" s="114" t="s">
        <v>123</v>
      </c>
      <c r="AY3" s="141" t="s">
        <v>124</v>
      </c>
      <c r="AZ3" s="141" t="s">
        <v>125</v>
      </c>
      <c r="BA3" s="141" t="s">
        <v>126</v>
      </c>
      <c r="BB3" s="141" t="s">
        <v>14</v>
      </c>
      <c r="BC3" s="114" t="s">
        <v>127</v>
      </c>
      <c r="BD3" s="114" t="s">
        <v>128</v>
      </c>
      <c r="BE3" s="114" t="s">
        <v>129</v>
      </c>
      <c r="BF3" s="114" t="s">
        <v>130</v>
      </c>
      <c r="BG3" s="142" t="s">
        <v>13</v>
      </c>
    </row>
    <row r="4" spans="1:59">
      <c r="A4" s="40" t="s">
        <v>16</v>
      </c>
      <c r="B4" s="54">
        <f>B5+B23+B38+B52+B63</f>
        <v>2000</v>
      </c>
      <c r="C4" s="41">
        <f>(835+505)+(826+580)</f>
        <v>2746</v>
      </c>
      <c r="D4" s="41">
        <f>801+580+937+641</f>
        <v>2959</v>
      </c>
      <c r="E4" s="41">
        <f t="shared" ref="E4:AE4" si="0">E5+E23+E38+E52+E63</f>
        <v>2817</v>
      </c>
      <c r="F4" s="41">
        <f t="shared" si="0"/>
        <v>2947</v>
      </c>
      <c r="G4" s="41">
        <f t="shared" si="0"/>
        <v>3037</v>
      </c>
      <c r="H4" s="41">
        <f t="shared" si="0"/>
        <v>3160</v>
      </c>
      <c r="I4" s="41">
        <f t="shared" si="0"/>
        <v>3385</v>
      </c>
      <c r="J4" s="41">
        <f t="shared" si="0"/>
        <v>3522</v>
      </c>
      <c r="K4" s="41">
        <f t="shared" si="0"/>
        <v>3456</v>
      </c>
      <c r="L4" s="41">
        <f t="shared" si="0"/>
        <v>3650</v>
      </c>
      <c r="M4" s="41">
        <f t="shared" si="0"/>
        <v>3859</v>
      </c>
      <c r="N4" s="41">
        <f t="shared" si="0"/>
        <v>4043</v>
      </c>
      <c r="O4" s="41">
        <f t="shared" si="0"/>
        <v>4196</v>
      </c>
      <c r="P4" s="41">
        <f t="shared" si="0"/>
        <v>4152</v>
      </c>
      <c r="Q4" s="41">
        <f t="shared" si="0"/>
        <v>4346</v>
      </c>
      <c r="R4" s="41">
        <f t="shared" si="0"/>
        <v>4422</v>
      </c>
      <c r="S4" s="41">
        <f t="shared" si="0"/>
        <v>4732</v>
      </c>
      <c r="T4" s="41">
        <f>T5+T23+T38+T52+T63</f>
        <v>5175</v>
      </c>
      <c r="U4" s="41">
        <f>U5+U23+U38+U52+U63</f>
        <v>5633</v>
      </c>
      <c r="V4" s="41">
        <f>V5+V23+V38+V52+V63</f>
        <v>5944</v>
      </c>
      <c r="W4" s="41">
        <f>W5+W23+W38+W52+W63</f>
        <v>6644</v>
      </c>
      <c r="X4" s="41">
        <f t="shared" ref="X4:AA4" si="1">X5+X23+X38+X52+X63</f>
        <v>6931</v>
      </c>
      <c r="Y4" s="41">
        <f t="shared" si="1"/>
        <v>7191</v>
      </c>
      <c r="Z4" s="41">
        <f t="shared" si="1"/>
        <v>7396</v>
      </c>
      <c r="AA4" s="41">
        <f t="shared" si="1"/>
        <v>7904</v>
      </c>
      <c r="AB4" s="41">
        <f>AB5+AB23+AB38+AB52+AB63</f>
        <v>8441</v>
      </c>
      <c r="AC4" s="41">
        <f>AC5+AC23+AC38+AC52+AC63</f>
        <v>9103</v>
      </c>
      <c r="AD4" s="41">
        <f>AD5+AD23+AD38+AD52+AD63</f>
        <v>9726</v>
      </c>
      <c r="AE4" s="54">
        <f t="shared" si="0"/>
        <v>872</v>
      </c>
      <c r="AF4" s="41">
        <f>(85+54)+(586+235)</f>
        <v>960</v>
      </c>
      <c r="AG4" s="41">
        <f>102+99+600+235</f>
        <v>1036</v>
      </c>
      <c r="AH4" s="41">
        <f t="shared" ref="AH4:AV4" si="2">AH5+AH23+AH38+AH52+AH63</f>
        <v>1342</v>
      </c>
      <c r="AI4" s="41">
        <f t="shared" si="2"/>
        <v>1548</v>
      </c>
      <c r="AJ4" s="41">
        <f t="shared" si="2"/>
        <v>1437</v>
      </c>
      <c r="AK4" s="41">
        <f t="shared" si="2"/>
        <v>1611</v>
      </c>
      <c r="AL4" s="41">
        <f t="shared" si="2"/>
        <v>1622</v>
      </c>
      <c r="AM4" s="41">
        <f t="shared" si="2"/>
        <v>1646</v>
      </c>
      <c r="AN4" s="41">
        <f t="shared" si="2"/>
        <v>1786</v>
      </c>
      <c r="AO4" s="41">
        <f t="shared" si="2"/>
        <v>1851</v>
      </c>
      <c r="AP4" s="41">
        <f t="shared" si="2"/>
        <v>1950</v>
      </c>
      <c r="AQ4" s="41">
        <f t="shared" si="2"/>
        <v>1930</v>
      </c>
      <c r="AR4" s="41">
        <f t="shared" si="2"/>
        <v>2034</v>
      </c>
      <c r="AS4" s="41">
        <f t="shared" si="2"/>
        <v>2041</v>
      </c>
      <c r="AT4" s="41">
        <f t="shared" si="2"/>
        <v>1977</v>
      </c>
      <c r="AU4" s="41">
        <f t="shared" si="2"/>
        <v>2102</v>
      </c>
      <c r="AV4" s="41">
        <f t="shared" si="2"/>
        <v>2090</v>
      </c>
      <c r="AW4" s="41">
        <f>AW5+AW23+AW38+AW52+AW63</f>
        <v>2316</v>
      </c>
      <c r="AX4" s="41">
        <f>AX5+AX23+AX38+AX52+AX63</f>
        <v>2523</v>
      </c>
      <c r="AY4" s="41">
        <f>AY5+AY23+AY38+AY52+AY63</f>
        <v>2480</v>
      </c>
      <c r="AZ4" s="41">
        <f>AZ5+AZ23+AZ38+AZ52+AZ63</f>
        <v>2573</v>
      </c>
      <c r="BA4" s="41">
        <f t="shared" ref="BA4:BD4" si="3">BA5+BA23+BA38+BA52+BA63</f>
        <v>2788</v>
      </c>
      <c r="BB4" s="41">
        <f t="shared" si="3"/>
        <v>2984</v>
      </c>
      <c r="BC4" s="41">
        <f t="shared" si="3"/>
        <v>2825</v>
      </c>
      <c r="BD4" s="41">
        <f t="shared" si="3"/>
        <v>3098</v>
      </c>
      <c r="BE4" s="41">
        <f>BE5+BE23+BE38+BE52+BE63</f>
        <v>3333</v>
      </c>
      <c r="BF4" s="41">
        <f>BF5+BF23+BF38+BF52+BF63</f>
        <v>3432</v>
      </c>
      <c r="BG4" s="124">
        <f>BG5+BG23+BG38+BG52+BG63</f>
        <v>3333</v>
      </c>
    </row>
    <row r="5" spans="1:59">
      <c r="A5" s="42" t="s">
        <v>17</v>
      </c>
      <c r="B5" s="55">
        <f>SUM(B7:B22)</f>
        <v>586</v>
      </c>
      <c r="C5" s="43">
        <f>SUM(C7:C22)</f>
        <v>665</v>
      </c>
      <c r="D5" s="43">
        <f>SUM(D7:D22)</f>
        <v>660</v>
      </c>
      <c r="E5" s="43">
        <f t="shared" ref="E5:AG5" si="4">SUM(E7:E22)</f>
        <v>780</v>
      </c>
      <c r="F5" s="43">
        <f t="shared" si="4"/>
        <v>841</v>
      </c>
      <c r="G5" s="43">
        <f t="shared" si="4"/>
        <v>866</v>
      </c>
      <c r="H5" s="43">
        <f t="shared" si="4"/>
        <v>923</v>
      </c>
      <c r="I5" s="43">
        <f t="shared" si="4"/>
        <v>1056</v>
      </c>
      <c r="J5" s="43">
        <f t="shared" si="4"/>
        <v>1044</v>
      </c>
      <c r="K5" s="43">
        <f t="shared" si="4"/>
        <v>1018</v>
      </c>
      <c r="L5" s="43">
        <f t="shared" si="4"/>
        <v>1273</v>
      </c>
      <c r="M5" s="43">
        <f t="shared" si="4"/>
        <v>1290</v>
      </c>
      <c r="N5" s="43">
        <f t="shared" si="4"/>
        <v>1360</v>
      </c>
      <c r="O5" s="43">
        <f t="shared" si="4"/>
        <v>1410</v>
      </c>
      <c r="P5" s="43">
        <f t="shared" si="4"/>
        <v>1459</v>
      </c>
      <c r="Q5" s="43">
        <f t="shared" si="4"/>
        <v>1541</v>
      </c>
      <c r="R5" s="43">
        <f t="shared" si="4"/>
        <v>1535</v>
      </c>
      <c r="S5" s="43">
        <f t="shared" si="4"/>
        <v>1656</v>
      </c>
      <c r="T5" s="43">
        <f>SUM(T7:T22)</f>
        <v>2000</v>
      </c>
      <c r="U5" s="43">
        <f>SUM(U7:U22)</f>
        <v>2145</v>
      </c>
      <c r="V5" s="43">
        <f>SUM(V7:V22)</f>
        <v>2270</v>
      </c>
      <c r="W5" s="43">
        <f>SUM(W7:W22)</f>
        <v>2515</v>
      </c>
      <c r="X5" s="43">
        <f t="shared" ref="X5:AA5" si="5">SUM(X7:X22)</f>
        <v>2480</v>
      </c>
      <c r="Y5" s="43">
        <f t="shared" si="5"/>
        <v>2657</v>
      </c>
      <c r="Z5" s="43">
        <f t="shared" si="5"/>
        <v>2812</v>
      </c>
      <c r="AA5" s="43">
        <f t="shared" si="5"/>
        <v>2984</v>
      </c>
      <c r="AB5" s="43">
        <f>SUM(AB7:AB22)</f>
        <v>3206</v>
      </c>
      <c r="AC5" s="43">
        <f>SUM(AC7:AC22)</f>
        <v>3520</v>
      </c>
      <c r="AD5" s="43">
        <f>SUM(AD7:AD22)</f>
        <v>3712</v>
      </c>
      <c r="AE5" s="55">
        <f t="shared" si="4"/>
        <v>166</v>
      </c>
      <c r="AF5" s="43">
        <f t="shared" si="4"/>
        <v>223</v>
      </c>
      <c r="AG5" s="43">
        <f t="shared" si="4"/>
        <v>219</v>
      </c>
      <c r="AH5" s="43">
        <f t="shared" ref="AH5:AV5" si="6">SUM(AH7:AH22)</f>
        <v>285</v>
      </c>
      <c r="AI5" s="43">
        <f t="shared" si="6"/>
        <v>314</v>
      </c>
      <c r="AJ5" s="43">
        <f t="shared" si="6"/>
        <v>340</v>
      </c>
      <c r="AK5" s="43">
        <f t="shared" si="6"/>
        <v>368</v>
      </c>
      <c r="AL5" s="43">
        <f t="shared" si="6"/>
        <v>356</v>
      </c>
      <c r="AM5" s="43">
        <f t="shared" si="6"/>
        <v>330</v>
      </c>
      <c r="AN5" s="43">
        <f t="shared" si="6"/>
        <v>387</v>
      </c>
      <c r="AO5" s="43">
        <f t="shared" si="6"/>
        <v>411</v>
      </c>
      <c r="AP5" s="43">
        <f t="shared" si="6"/>
        <v>335</v>
      </c>
      <c r="AQ5" s="43">
        <f t="shared" si="6"/>
        <v>283</v>
      </c>
      <c r="AR5" s="43">
        <f t="shared" si="6"/>
        <v>365</v>
      </c>
      <c r="AS5" s="43">
        <f t="shared" si="6"/>
        <v>368</v>
      </c>
      <c r="AT5" s="43">
        <f t="shared" si="6"/>
        <v>373</v>
      </c>
      <c r="AU5" s="43">
        <f t="shared" si="6"/>
        <v>365</v>
      </c>
      <c r="AV5" s="43">
        <f t="shared" si="6"/>
        <v>366</v>
      </c>
      <c r="AW5" s="43">
        <f>SUM(AW7:AW22)</f>
        <v>432</v>
      </c>
      <c r="AX5" s="43">
        <f>SUM(AX7:AX22)</f>
        <v>474</v>
      </c>
      <c r="AY5" s="43">
        <f>SUM(AY7:AY22)</f>
        <v>405</v>
      </c>
      <c r="AZ5" s="43">
        <f>SUM(AZ7:AZ22)</f>
        <v>422</v>
      </c>
      <c r="BA5" s="43">
        <f t="shared" ref="BA5:BD5" si="7">SUM(BA7:BA22)</f>
        <v>577</v>
      </c>
      <c r="BB5" s="43">
        <f t="shared" si="7"/>
        <v>488</v>
      </c>
      <c r="BC5" s="43">
        <f t="shared" si="7"/>
        <v>499</v>
      </c>
      <c r="BD5" s="43">
        <f t="shared" si="7"/>
        <v>511</v>
      </c>
      <c r="BE5" s="43">
        <f>SUM(BE7:BE22)</f>
        <v>540</v>
      </c>
      <c r="BF5" s="43">
        <f>SUM(BF7:BF22)</f>
        <v>511</v>
      </c>
      <c r="BG5" s="43">
        <f>SUM(BG7:BG22)</f>
        <v>509</v>
      </c>
    </row>
    <row r="6" spans="1:59">
      <c r="A6" s="44" t="s">
        <v>131</v>
      </c>
      <c r="B6" s="56">
        <f>(B5/B4)*100</f>
        <v>29.299999999999997</v>
      </c>
      <c r="C6" s="45">
        <f>(C5/C4)*100</f>
        <v>24.217042971595049</v>
      </c>
      <c r="D6" s="45">
        <f>(D5/D4)*100</f>
        <v>22.304832713754646</v>
      </c>
      <c r="E6" s="45">
        <f t="shared" ref="E6:AG6" si="8">(E5/E4)*100</f>
        <v>27.689030883919063</v>
      </c>
      <c r="F6" s="45">
        <f t="shared" si="8"/>
        <v>28.537495758398375</v>
      </c>
      <c r="G6" s="45">
        <f t="shared" si="8"/>
        <v>28.514981890023051</v>
      </c>
      <c r="H6" s="45">
        <f t="shared" si="8"/>
        <v>29.208860759493671</v>
      </c>
      <c r="I6" s="45">
        <f t="shared" si="8"/>
        <v>31.196454948301326</v>
      </c>
      <c r="J6" s="45">
        <f t="shared" si="8"/>
        <v>29.642248722316864</v>
      </c>
      <c r="K6" s="45">
        <f t="shared" si="8"/>
        <v>29.456018518518519</v>
      </c>
      <c r="L6" s="45">
        <f t="shared" si="8"/>
        <v>34.876712328767127</v>
      </c>
      <c r="M6" s="45">
        <f t="shared" si="8"/>
        <v>33.428349313293602</v>
      </c>
      <c r="N6" s="45">
        <f t="shared" si="8"/>
        <v>33.638387336136532</v>
      </c>
      <c r="O6" s="45">
        <f t="shared" si="8"/>
        <v>33.603431839847474</v>
      </c>
      <c r="P6" s="45">
        <f t="shared" si="8"/>
        <v>35.139691714836225</v>
      </c>
      <c r="Q6" s="45">
        <f t="shared" si="8"/>
        <v>35.457892314772202</v>
      </c>
      <c r="R6" s="45">
        <f t="shared" si="8"/>
        <v>34.712799638172768</v>
      </c>
      <c r="S6" s="45">
        <f t="shared" si="8"/>
        <v>34.99577345731192</v>
      </c>
      <c r="T6" s="45">
        <f>(T5/T4)*100</f>
        <v>38.647342995169083</v>
      </c>
      <c r="U6" s="45">
        <f>(U5/U4)*100</f>
        <v>38.079176282620274</v>
      </c>
      <c r="V6" s="45">
        <f>(V5/V4)*100</f>
        <v>38.189771197846568</v>
      </c>
      <c r="W6" s="45">
        <f>(W5/W4)*100</f>
        <v>37.853702588801923</v>
      </c>
      <c r="X6" s="45">
        <f t="shared" ref="X6:AA6" si="9">(X5/X4)*100</f>
        <v>35.781272543644491</v>
      </c>
      <c r="Y6" s="45">
        <f t="shared" si="9"/>
        <v>36.948963982756226</v>
      </c>
      <c r="Z6" s="45">
        <f t="shared" si="9"/>
        <v>38.020551649540288</v>
      </c>
      <c r="AA6" s="45">
        <f t="shared" si="9"/>
        <v>37.753036437246962</v>
      </c>
      <c r="AB6" s="45">
        <f>(AB5/AB4)*100</f>
        <v>37.981281838644712</v>
      </c>
      <c r="AC6" s="45">
        <f>(AC5/AC4)*100</f>
        <v>38.668570800834893</v>
      </c>
      <c r="AD6" s="45">
        <f>(AD5/AD4)*100</f>
        <v>38.165741311947357</v>
      </c>
      <c r="AE6" s="56">
        <f t="shared" si="8"/>
        <v>19.036697247706421</v>
      </c>
      <c r="AF6" s="45">
        <f t="shared" si="8"/>
        <v>23.229166666666668</v>
      </c>
      <c r="AG6" s="45">
        <f t="shared" si="8"/>
        <v>21.138996138996138</v>
      </c>
      <c r="AH6" s="45">
        <f t="shared" ref="AH6:AV6" si="10">(AH5/AH4)*100</f>
        <v>21.236959761549926</v>
      </c>
      <c r="AI6" s="45">
        <f t="shared" si="10"/>
        <v>20.284237726098191</v>
      </c>
      <c r="AJ6" s="45">
        <f t="shared" si="10"/>
        <v>23.660403618649966</v>
      </c>
      <c r="AK6" s="45">
        <f t="shared" si="10"/>
        <v>22.842954686530106</v>
      </c>
      <c r="AL6" s="45">
        <f t="shared" si="10"/>
        <v>21.948212083847103</v>
      </c>
      <c r="AM6" s="45">
        <f t="shared" si="10"/>
        <v>20.048602673147023</v>
      </c>
      <c r="AN6" s="45">
        <f t="shared" si="10"/>
        <v>21.668533034714446</v>
      </c>
      <c r="AO6" s="45">
        <f t="shared" si="10"/>
        <v>22.204213938411669</v>
      </c>
      <c r="AP6" s="45">
        <f t="shared" si="10"/>
        <v>17.179487179487179</v>
      </c>
      <c r="AQ6" s="45">
        <f t="shared" si="10"/>
        <v>14.663212435233161</v>
      </c>
      <c r="AR6" s="45">
        <f t="shared" si="10"/>
        <v>17.944936086529005</v>
      </c>
      <c r="AS6" s="45">
        <f t="shared" si="10"/>
        <v>18.030377266046056</v>
      </c>
      <c r="AT6" s="45">
        <f t="shared" si="10"/>
        <v>18.866970156803237</v>
      </c>
      <c r="AU6" s="45">
        <f t="shared" si="10"/>
        <v>17.36441484300666</v>
      </c>
      <c r="AV6" s="45">
        <f t="shared" si="10"/>
        <v>17.511961722488039</v>
      </c>
      <c r="AW6" s="45">
        <f>(AW5/AW4)*100</f>
        <v>18.652849740932641</v>
      </c>
      <c r="AX6" s="45">
        <f>(AX5/AX4)*100</f>
        <v>18.787158145065401</v>
      </c>
      <c r="AY6" s="45">
        <f>(AY5/AY4)*100</f>
        <v>16.33064516129032</v>
      </c>
      <c r="AZ6" s="45">
        <f>(AZ5/AZ4)*100</f>
        <v>16.401088223863194</v>
      </c>
      <c r="BA6" s="45">
        <f t="shared" ref="BA6:BD6" si="11">(BA5/BA4)*100</f>
        <v>20.695839311334289</v>
      </c>
      <c r="BB6" s="45">
        <f t="shared" si="11"/>
        <v>16.353887399463808</v>
      </c>
      <c r="BC6" s="45">
        <f t="shared" si="11"/>
        <v>17.66371681415929</v>
      </c>
      <c r="BD6" s="45">
        <f t="shared" si="11"/>
        <v>16.494512588766945</v>
      </c>
      <c r="BE6" s="45">
        <f>(BE5/BE4)*100</f>
        <v>16.201620162016201</v>
      </c>
      <c r="BF6" s="45">
        <f>(BF5/BF4)*100</f>
        <v>14.889277389277389</v>
      </c>
      <c r="BG6" s="45">
        <f>(BG5/BG4)*100</f>
        <v>15.271527152715272</v>
      </c>
    </row>
    <row r="7" spans="1:59">
      <c r="A7" s="42" t="s">
        <v>19</v>
      </c>
      <c r="B7" s="57">
        <v>3</v>
      </c>
      <c r="C7" s="46">
        <f>(2+2)+(7+3)</f>
        <v>14</v>
      </c>
      <c r="D7" s="46">
        <f>0+2</f>
        <v>2</v>
      </c>
      <c r="E7" s="46">
        <v>10</v>
      </c>
      <c r="F7" s="46">
        <v>10</v>
      </c>
      <c r="G7" s="46">
        <v>14</v>
      </c>
      <c r="H7" s="46">
        <v>8</v>
      </c>
      <c r="I7" s="46">
        <v>15</v>
      </c>
      <c r="J7" s="46">
        <v>12</v>
      </c>
      <c r="K7" s="46">
        <v>10</v>
      </c>
      <c r="L7" s="46">
        <v>15</v>
      </c>
      <c r="M7" s="46">
        <v>13</v>
      </c>
      <c r="N7" s="46">
        <v>9</v>
      </c>
      <c r="O7" s="46">
        <v>17</v>
      </c>
      <c r="P7" s="46">
        <v>18</v>
      </c>
      <c r="Q7" s="46">
        <v>6</v>
      </c>
      <c r="R7" s="46">
        <v>11</v>
      </c>
      <c r="S7" s="46">
        <v>13</v>
      </c>
      <c r="T7" s="46">
        <v>14</v>
      </c>
      <c r="U7" s="46">
        <v>20</v>
      </c>
      <c r="V7" s="46">
        <v>25</v>
      </c>
      <c r="W7" s="46">
        <v>38</v>
      </c>
      <c r="X7" s="46">
        <v>42</v>
      </c>
      <c r="Y7" s="46">
        <v>35</v>
      </c>
      <c r="Z7" s="1">
        <v>30</v>
      </c>
      <c r="AA7" s="1">
        <v>49</v>
      </c>
      <c r="AB7" s="1">
        <v>51</v>
      </c>
      <c r="AC7" s="1">
        <v>48</v>
      </c>
      <c r="AD7" s="1">
        <v>70</v>
      </c>
      <c r="AE7" s="57">
        <v>1</v>
      </c>
      <c r="AF7" s="46">
        <f>1+3</f>
        <v>4</v>
      </c>
      <c r="AG7" s="46">
        <v>1</v>
      </c>
      <c r="AH7" s="46">
        <v>4</v>
      </c>
      <c r="AI7" s="46">
        <v>2</v>
      </c>
      <c r="AJ7" s="46">
        <v>7</v>
      </c>
      <c r="AK7" s="46">
        <v>4</v>
      </c>
      <c r="AL7" s="46">
        <v>5</v>
      </c>
      <c r="AM7" s="46">
        <v>14</v>
      </c>
      <c r="AN7" s="46">
        <v>3</v>
      </c>
      <c r="AO7" s="46">
        <v>4</v>
      </c>
      <c r="AP7" s="46">
        <v>5</v>
      </c>
      <c r="AQ7" s="46">
        <v>5</v>
      </c>
      <c r="AR7" s="46">
        <v>6</v>
      </c>
      <c r="AS7" s="46">
        <v>4</v>
      </c>
      <c r="AT7" s="46">
        <v>1</v>
      </c>
      <c r="AU7" s="46">
        <v>4</v>
      </c>
      <c r="AV7" s="46">
        <v>3</v>
      </c>
      <c r="AW7" s="46">
        <v>8</v>
      </c>
      <c r="AX7" s="1">
        <v>9</v>
      </c>
      <c r="AY7" s="1">
        <v>7</v>
      </c>
      <c r="AZ7" s="1">
        <v>11</v>
      </c>
      <c r="BA7" s="1">
        <v>4</v>
      </c>
      <c r="BB7" s="1">
        <v>10</v>
      </c>
      <c r="BC7" s="1">
        <v>8</v>
      </c>
      <c r="BD7" s="1">
        <v>7</v>
      </c>
      <c r="BE7" s="1">
        <v>13</v>
      </c>
      <c r="BF7" s="1">
        <v>14</v>
      </c>
      <c r="BG7" s="1">
        <v>6</v>
      </c>
    </row>
    <row r="8" spans="1:59">
      <c r="A8" s="42" t="s">
        <v>20</v>
      </c>
      <c r="B8" s="57">
        <v>0</v>
      </c>
      <c r="C8" s="46">
        <f>(2+2)+0</f>
        <v>4</v>
      </c>
      <c r="D8" s="46">
        <f>2+0+0+0</f>
        <v>2</v>
      </c>
      <c r="E8" s="46">
        <v>0</v>
      </c>
      <c r="F8" s="46">
        <v>5</v>
      </c>
      <c r="G8" s="46">
        <v>3</v>
      </c>
      <c r="H8" s="46">
        <v>2</v>
      </c>
      <c r="I8" s="46">
        <v>4</v>
      </c>
      <c r="J8" s="46">
        <v>4</v>
      </c>
      <c r="K8" s="46">
        <v>5</v>
      </c>
      <c r="L8" s="46">
        <v>3</v>
      </c>
      <c r="M8" s="46">
        <v>9</v>
      </c>
      <c r="N8" s="46">
        <v>10</v>
      </c>
      <c r="O8" s="46">
        <v>7</v>
      </c>
      <c r="P8" s="46">
        <v>7</v>
      </c>
      <c r="Q8" s="46">
        <v>4</v>
      </c>
      <c r="R8" s="46">
        <v>7</v>
      </c>
      <c r="S8" s="46">
        <v>8</v>
      </c>
      <c r="T8" s="46">
        <v>10</v>
      </c>
      <c r="U8" s="46">
        <v>13</v>
      </c>
      <c r="V8" s="46">
        <v>17</v>
      </c>
      <c r="W8" s="46">
        <v>24</v>
      </c>
      <c r="X8" s="46">
        <v>23</v>
      </c>
      <c r="Y8" s="46">
        <v>19</v>
      </c>
      <c r="Z8" s="1">
        <v>30</v>
      </c>
      <c r="AA8" s="1">
        <v>21</v>
      </c>
      <c r="AB8" s="1">
        <v>29</v>
      </c>
      <c r="AC8" s="1">
        <v>29</v>
      </c>
      <c r="AD8" s="1">
        <v>30</v>
      </c>
      <c r="AE8" s="57">
        <v>0</v>
      </c>
      <c r="AF8" s="46">
        <v>0</v>
      </c>
      <c r="AG8" s="46">
        <v>0</v>
      </c>
      <c r="AH8" s="46">
        <v>0</v>
      </c>
      <c r="AI8" s="46">
        <v>0</v>
      </c>
      <c r="AJ8" s="46">
        <v>1</v>
      </c>
      <c r="AK8" s="46">
        <v>0</v>
      </c>
      <c r="AL8" s="46">
        <v>4</v>
      </c>
      <c r="AM8" s="46">
        <v>0</v>
      </c>
      <c r="AN8" s="46">
        <v>0</v>
      </c>
      <c r="AO8" s="46">
        <v>1</v>
      </c>
      <c r="AP8" s="46">
        <v>2</v>
      </c>
      <c r="AQ8" s="46">
        <v>2</v>
      </c>
      <c r="AR8" s="46">
        <v>2</v>
      </c>
      <c r="AS8" s="46">
        <v>5</v>
      </c>
      <c r="AT8" s="46">
        <v>0</v>
      </c>
      <c r="AU8" s="46">
        <v>0</v>
      </c>
      <c r="AV8" s="46">
        <v>2</v>
      </c>
      <c r="AW8" s="46">
        <v>4</v>
      </c>
      <c r="AX8" s="1">
        <v>1</v>
      </c>
      <c r="AY8" s="1">
        <v>1</v>
      </c>
      <c r="AZ8" s="1">
        <v>2</v>
      </c>
      <c r="BA8" s="1">
        <v>4</v>
      </c>
      <c r="BB8" s="1">
        <v>4</v>
      </c>
      <c r="BC8" s="1">
        <v>5</v>
      </c>
      <c r="BD8" s="1">
        <v>4</v>
      </c>
      <c r="BE8" s="1">
        <v>9</v>
      </c>
      <c r="BF8" s="1">
        <v>5</v>
      </c>
      <c r="BG8" s="1">
        <v>2</v>
      </c>
    </row>
    <row r="9" spans="1:59">
      <c r="A9" s="42" t="s">
        <v>21</v>
      </c>
      <c r="B9" s="57">
        <v>3</v>
      </c>
      <c r="C9" s="46"/>
      <c r="D9" s="46"/>
      <c r="E9" s="46">
        <v>3</v>
      </c>
      <c r="F9" s="46">
        <v>14</v>
      </c>
      <c r="G9" s="46">
        <v>7</v>
      </c>
      <c r="H9" s="46">
        <v>7</v>
      </c>
      <c r="I9" s="46">
        <v>4</v>
      </c>
      <c r="J9" s="46">
        <v>4</v>
      </c>
      <c r="K9" s="46">
        <v>2</v>
      </c>
      <c r="L9" s="46">
        <v>4</v>
      </c>
      <c r="M9" s="46">
        <v>6</v>
      </c>
      <c r="N9" s="46">
        <v>10</v>
      </c>
      <c r="O9" s="46">
        <v>3</v>
      </c>
      <c r="P9" s="46">
        <v>2</v>
      </c>
      <c r="Q9" s="46">
        <v>4</v>
      </c>
      <c r="R9" s="46">
        <v>8</v>
      </c>
      <c r="S9" s="46">
        <v>4</v>
      </c>
      <c r="T9" s="46">
        <v>4</v>
      </c>
      <c r="U9" s="46">
        <v>7</v>
      </c>
      <c r="V9" s="46">
        <v>6</v>
      </c>
      <c r="W9" s="46">
        <v>7</v>
      </c>
      <c r="X9" s="46">
        <v>8</v>
      </c>
      <c r="Y9" s="46">
        <v>7</v>
      </c>
      <c r="Z9" s="1">
        <v>0</v>
      </c>
      <c r="AA9" s="1">
        <v>6</v>
      </c>
      <c r="AB9" s="1">
        <v>2</v>
      </c>
      <c r="AC9" s="1">
        <v>3</v>
      </c>
      <c r="AD9" s="1">
        <v>1</v>
      </c>
      <c r="AE9" s="57">
        <v>0</v>
      </c>
      <c r="AF9" s="46"/>
      <c r="AG9" s="46"/>
      <c r="AH9" s="46">
        <v>0</v>
      </c>
      <c r="AI9" s="46">
        <v>0</v>
      </c>
      <c r="AJ9" s="46"/>
      <c r="AK9" s="46">
        <v>0</v>
      </c>
      <c r="AL9" s="46">
        <v>0</v>
      </c>
      <c r="AM9" s="46">
        <v>0</v>
      </c>
      <c r="AN9" s="46">
        <v>0</v>
      </c>
      <c r="AO9" s="46">
        <v>0</v>
      </c>
      <c r="AP9" s="46">
        <v>3</v>
      </c>
      <c r="AQ9" s="46">
        <v>0</v>
      </c>
      <c r="AR9" s="46">
        <v>0</v>
      </c>
      <c r="AS9" s="46"/>
      <c r="AT9" s="46">
        <v>0</v>
      </c>
      <c r="AU9" s="46">
        <v>4</v>
      </c>
      <c r="AV9" s="46">
        <v>1</v>
      </c>
      <c r="AW9" s="46">
        <v>0</v>
      </c>
      <c r="AX9" s="1">
        <v>0</v>
      </c>
      <c r="AY9" s="1">
        <v>0</v>
      </c>
      <c r="AZ9" s="1">
        <v>1</v>
      </c>
      <c r="BA9" s="1">
        <v>2</v>
      </c>
      <c r="BB9" s="1">
        <v>1</v>
      </c>
      <c r="BC9" s="1">
        <v>0</v>
      </c>
      <c r="BD9" s="1">
        <v>0</v>
      </c>
      <c r="BE9" s="1">
        <v>0</v>
      </c>
      <c r="BF9" s="1">
        <v>0</v>
      </c>
      <c r="BG9" s="1">
        <v>1</v>
      </c>
    </row>
    <row r="10" spans="1:59">
      <c r="A10" s="42" t="s">
        <v>22</v>
      </c>
      <c r="B10" s="57">
        <v>192</v>
      </c>
      <c r="C10" s="46">
        <f>(41+33)+(86+64)</f>
        <v>224</v>
      </c>
      <c r="D10" s="46">
        <f>47+25+99+75</f>
        <v>246</v>
      </c>
      <c r="E10" s="46">
        <v>244</v>
      </c>
      <c r="F10" s="46">
        <v>236</v>
      </c>
      <c r="G10" s="46">
        <v>251</v>
      </c>
      <c r="H10" s="46">
        <v>278</v>
      </c>
      <c r="I10" s="46">
        <v>295</v>
      </c>
      <c r="J10" s="46">
        <v>291</v>
      </c>
      <c r="K10" s="46">
        <v>280</v>
      </c>
      <c r="L10" s="46">
        <v>427</v>
      </c>
      <c r="M10" s="46">
        <v>440</v>
      </c>
      <c r="N10" s="46">
        <v>495</v>
      </c>
      <c r="O10" s="46">
        <v>526</v>
      </c>
      <c r="P10" s="46">
        <v>595</v>
      </c>
      <c r="Q10" s="46">
        <v>663</v>
      </c>
      <c r="R10" s="46">
        <v>592</v>
      </c>
      <c r="S10" s="46">
        <v>673</v>
      </c>
      <c r="T10" s="46">
        <v>789</v>
      </c>
      <c r="U10" s="46">
        <v>812</v>
      </c>
      <c r="V10" s="46">
        <v>871</v>
      </c>
      <c r="W10" s="46">
        <v>952</v>
      </c>
      <c r="X10" s="46">
        <v>915</v>
      </c>
      <c r="Y10" s="46">
        <v>1014</v>
      </c>
      <c r="Z10" s="1">
        <v>1069</v>
      </c>
      <c r="AA10" s="1">
        <v>1148</v>
      </c>
      <c r="AB10" s="1">
        <v>1208</v>
      </c>
      <c r="AC10" s="1">
        <v>1310</v>
      </c>
      <c r="AD10" s="1">
        <v>1332</v>
      </c>
      <c r="AE10" s="57">
        <v>10</v>
      </c>
      <c r="AF10" s="46">
        <f>(3+1)+(3+3)</f>
        <v>10</v>
      </c>
      <c r="AG10" s="46">
        <f>1+1+12+3</f>
        <v>17</v>
      </c>
      <c r="AH10" s="46">
        <v>13</v>
      </c>
      <c r="AI10" s="46">
        <v>15</v>
      </c>
      <c r="AJ10" s="46">
        <v>14</v>
      </c>
      <c r="AK10" s="46">
        <v>30</v>
      </c>
      <c r="AL10" s="46">
        <v>32</v>
      </c>
      <c r="AM10" s="46">
        <v>16</v>
      </c>
      <c r="AN10" s="46">
        <v>51</v>
      </c>
      <c r="AO10" s="46">
        <v>26</v>
      </c>
      <c r="AP10" s="46">
        <v>58</v>
      </c>
      <c r="AQ10" s="46">
        <v>43</v>
      </c>
      <c r="AR10" s="46">
        <v>79</v>
      </c>
      <c r="AS10" s="46">
        <v>54</v>
      </c>
      <c r="AT10" s="46">
        <v>71</v>
      </c>
      <c r="AU10" s="46">
        <v>86</v>
      </c>
      <c r="AV10" s="46">
        <v>98</v>
      </c>
      <c r="AW10" s="46">
        <v>119</v>
      </c>
      <c r="AX10" s="1">
        <v>156</v>
      </c>
      <c r="AY10" s="1">
        <v>147</v>
      </c>
      <c r="AZ10" s="1">
        <v>145</v>
      </c>
      <c r="BA10" s="1">
        <v>137</v>
      </c>
      <c r="BB10" s="1">
        <v>133</v>
      </c>
      <c r="BC10" s="1">
        <v>147</v>
      </c>
      <c r="BD10" s="1">
        <v>140</v>
      </c>
      <c r="BE10" s="1">
        <v>137</v>
      </c>
      <c r="BF10" s="1">
        <v>126</v>
      </c>
      <c r="BG10" s="1">
        <v>122</v>
      </c>
    </row>
    <row r="11" spans="1:59">
      <c r="A11" s="42" t="s">
        <v>23</v>
      </c>
      <c r="B11" s="57">
        <v>26</v>
      </c>
      <c r="C11" s="46">
        <f>(9+3)+(14+5)</f>
        <v>31</v>
      </c>
      <c r="D11" s="46">
        <f>7+3+9+11</f>
        <v>30</v>
      </c>
      <c r="E11" s="46">
        <v>30</v>
      </c>
      <c r="F11" s="46">
        <v>39</v>
      </c>
      <c r="G11" s="46">
        <v>30</v>
      </c>
      <c r="H11" s="46">
        <v>47</v>
      </c>
      <c r="I11" s="46">
        <v>57</v>
      </c>
      <c r="J11" s="46">
        <v>49</v>
      </c>
      <c r="K11" s="46">
        <v>61</v>
      </c>
      <c r="L11" s="46">
        <v>70</v>
      </c>
      <c r="M11" s="46">
        <v>48</v>
      </c>
      <c r="N11" s="46">
        <v>42</v>
      </c>
      <c r="O11" s="46">
        <v>35</v>
      </c>
      <c r="P11" s="46">
        <v>35</v>
      </c>
      <c r="Q11" s="46">
        <v>55</v>
      </c>
      <c r="R11" s="46">
        <v>51</v>
      </c>
      <c r="S11" s="46">
        <v>59</v>
      </c>
      <c r="T11" s="46">
        <v>81</v>
      </c>
      <c r="U11" s="46">
        <v>86</v>
      </c>
      <c r="V11" s="46">
        <v>73</v>
      </c>
      <c r="W11" s="46">
        <v>107</v>
      </c>
      <c r="X11" s="46">
        <v>103</v>
      </c>
      <c r="Y11" s="46">
        <v>121</v>
      </c>
      <c r="Z11" s="1">
        <v>150</v>
      </c>
      <c r="AA11" s="1">
        <v>150</v>
      </c>
      <c r="AB11" s="1">
        <v>178</v>
      </c>
      <c r="AC11" s="1">
        <v>222</v>
      </c>
      <c r="AD11" s="1">
        <v>228</v>
      </c>
      <c r="AE11" s="57">
        <v>39</v>
      </c>
      <c r="AF11" s="46">
        <f>(2+1)+(14+4)</f>
        <v>21</v>
      </c>
      <c r="AG11" s="46">
        <f>4+4+20+11</f>
        <v>39</v>
      </c>
      <c r="AH11" s="46">
        <v>34</v>
      </c>
      <c r="AI11" s="46">
        <v>30</v>
      </c>
      <c r="AJ11" s="46">
        <v>56</v>
      </c>
      <c r="AK11" s="46">
        <v>36</v>
      </c>
      <c r="AL11" s="46">
        <v>36</v>
      </c>
      <c r="AM11" s="46">
        <v>24</v>
      </c>
      <c r="AN11" s="46">
        <v>22</v>
      </c>
      <c r="AO11" s="46">
        <v>24</v>
      </c>
      <c r="AP11" s="46">
        <v>24</v>
      </c>
      <c r="AQ11" s="46">
        <v>25</v>
      </c>
      <c r="AR11" s="46">
        <v>39</v>
      </c>
      <c r="AS11" s="46">
        <v>52</v>
      </c>
      <c r="AT11" s="46">
        <v>37</v>
      </c>
      <c r="AU11" s="46">
        <v>44</v>
      </c>
      <c r="AV11" s="46">
        <v>38</v>
      </c>
      <c r="AW11" s="46">
        <v>21</v>
      </c>
      <c r="AX11" s="1">
        <v>30</v>
      </c>
      <c r="AY11" s="1">
        <v>21</v>
      </c>
      <c r="AZ11" s="1">
        <v>21</v>
      </c>
      <c r="BA11" s="1">
        <v>46</v>
      </c>
      <c r="BB11" s="1">
        <v>45</v>
      </c>
      <c r="BC11" s="1">
        <v>56</v>
      </c>
      <c r="BD11" s="1">
        <v>66</v>
      </c>
      <c r="BE11" s="1">
        <v>77</v>
      </c>
      <c r="BF11" s="1">
        <v>78</v>
      </c>
      <c r="BG11" s="1">
        <v>77</v>
      </c>
    </row>
    <row r="12" spans="1:59">
      <c r="A12" s="42" t="s">
        <v>24</v>
      </c>
      <c r="B12" s="57">
        <v>4</v>
      </c>
      <c r="C12" s="46">
        <f>(1+1)+(2+1)</f>
        <v>5</v>
      </c>
      <c r="D12" s="46">
        <f>2+3+2+0</f>
        <v>7</v>
      </c>
      <c r="E12" s="46">
        <v>4</v>
      </c>
      <c r="F12" s="46">
        <v>4</v>
      </c>
      <c r="G12" s="46">
        <v>8</v>
      </c>
      <c r="H12" s="46">
        <v>6</v>
      </c>
      <c r="I12" s="46">
        <v>8</v>
      </c>
      <c r="J12" s="46">
        <v>12</v>
      </c>
      <c r="K12" s="46">
        <v>4</v>
      </c>
      <c r="L12" s="46">
        <v>11</v>
      </c>
      <c r="M12" s="46">
        <v>12</v>
      </c>
      <c r="N12" s="46">
        <v>9</v>
      </c>
      <c r="O12" s="46">
        <v>12</v>
      </c>
      <c r="P12" s="46">
        <v>13</v>
      </c>
      <c r="Q12" s="46">
        <v>11</v>
      </c>
      <c r="R12" s="46">
        <v>14</v>
      </c>
      <c r="S12" s="46">
        <v>14</v>
      </c>
      <c r="T12" s="46">
        <v>16</v>
      </c>
      <c r="U12" s="46">
        <v>20</v>
      </c>
      <c r="V12" s="46">
        <v>24</v>
      </c>
      <c r="W12" s="46">
        <v>15</v>
      </c>
      <c r="X12" s="46">
        <v>20</v>
      </c>
      <c r="Y12" s="46">
        <v>21</v>
      </c>
      <c r="Z12" s="1">
        <v>37</v>
      </c>
      <c r="AA12" s="1">
        <v>34</v>
      </c>
      <c r="AB12" s="1">
        <v>46</v>
      </c>
      <c r="AC12" s="1">
        <v>45</v>
      </c>
      <c r="AD12" s="1">
        <v>47</v>
      </c>
      <c r="AE12" s="57">
        <v>12</v>
      </c>
      <c r="AF12" s="46">
        <f>1+(18+1)</f>
        <v>20</v>
      </c>
      <c r="AG12" s="46">
        <f>2+1+11+1</f>
        <v>15</v>
      </c>
      <c r="AH12" s="46">
        <v>9</v>
      </c>
      <c r="AI12" s="46">
        <v>15</v>
      </c>
      <c r="AJ12" s="46">
        <v>16</v>
      </c>
      <c r="AK12" s="46">
        <v>21</v>
      </c>
      <c r="AL12" s="46">
        <v>17</v>
      </c>
      <c r="AM12" s="46">
        <v>18</v>
      </c>
      <c r="AN12" s="46">
        <v>14</v>
      </c>
      <c r="AO12" s="46">
        <v>14</v>
      </c>
      <c r="AP12" s="46">
        <v>13</v>
      </c>
      <c r="AQ12" s="46">
        <v>8</v>
      </c>
      <c r="AR12" s="46">
        <v>7</v>
      </c>
      <c r="AS12" s="46">
        <v>10</v>
      </c>
      <c r="AT12" s="46">
        <v>7</v>
      </c>
      <c r="AU12" s="46">
        <v>12</v>
      </c>
      <c r="AV12" s="46">
        <v>8</v>
      </c>
      <c r="AW12" s="46">
        <v>18</v>
      </c>
      <c r="AX12" s="1">
        <v>15</v>
      </c>
      <c r="AY12" s="1">
        <v>18</v>
      </c>
      <c r="AZ12" s="1">
        <v>9</v>
      </c>
      <c r="BA12" s="1">
        <v>11</v>
      </c>
      <c r="BB12" s="1">
        <v>15</v>
      </c>
      <c r="BC12" s="1">
        <v>18</v>
      </c>
      <c r="BD12" s="1">
        <v>14</v>
      </c>
      <c r="BE12" s="1">
        <v>13</v>
      </c>
      <c r="BF12" s="1">
        <v>16</v>
      </c>
      <c r="BG12" s="1">
        <v>10</v>
      </c>
    </row>
    <row r="13" spans="1:59">
      <c r="A13" s="42" t="s">
        <v>25</v>
      </c>
      <c r="B13" s="57">
        <v>28</v>
      </c>
      <c r="C13" s="46">
        <f>(5+6)+(10+6)</f>
        <v>27</v>
      </c>
      <c r="D13" s="46">
        <f>8+4+14+2</f>
        <v>28</v>
      </c>
      <c r="E13" s="46">
        <v>39</v>
      </c>
      <c r="F13" s="46">
        <v>60</v>
      </c>
      <c r="G13" s="46">
        <v>44</v>
      </c>
      <c r="H13" s="46">
        <v>55</v>
      </c>
      <c r="I13" s="46">
        <v>62</v>
      </c>
      <c r="J13" s="46">
        <v>70</v>
      </c>
      <c r="K13" s="46">
        <v>51</v>
      </c>
      <c r="L13" s="46">
        <v>52</v>
      </c>
      <c r="M13" s="46">
        <v>50</v>
      </c>
      <c r="N13" s="46">
        <v>55</v>
      </c>
      <c r="O13" s="46">
        <v>54</v>
      </c>
      <c r="P13" s="46">
        <v>30</v>
      </c>
      <c r="Q13" s="46">
        <v>31</v>
      </c>
      <c r="R13" s="46">
        <v>34</v>
      </c>
      <c r="S13" s="46">
        <v>51</v>
      </c>
      <c r="T13" s="46">
        <v>69</v>
      </c>
      <c r="U13" s="46">
        <v>69</v>
      </c>
      <c r="V13" s="46">
        <v>68</v>
      </c>
      <c r="W13" s="46">
        <v>75</v>
      </c>
      <c r="X13" s="46">
        <v>101</v>
      </c>
      <c r="Y13" s="46">
        <v>83</v>
      </c>
      <c r="Z13" s="1">
        <v>75</v>
      </c>
      <c r="AA13" s="1">
        <v>62</v>
      </c>
      <c r="AB13" s="1">
        <v>85</v>
      </c>
      <c r="AC13" s="1">
        <v>97</v>
      </c>
      <c r="AD13" s="1">
        <v>90</v>
      </c>
      <c r="AE13" s="57">
        <v>10</v>
      </c>
      <c r="AF13" s="46">
        <f>0+(8+1)</f>
        <v>9</v>
      </c>
      <c r="AG13" s="46">
        <f>0+0+7+3</f>
        <v>10</v>
      </c>
      <c r="AH13" s="46">
        <v>14</v>
      </c>
      <c r="AI13" s="46">
        <v>10</v>
      </c>
      <c r="AJ13" s="46">
        <v>15</v>
      </c>
      <c r="AK13" s="46">
        <v>20</v>
      </c>
      <c r="AL13" s="46">
        <v>24</v>
      </c>
      <c r="AM13" s="46">
        <v>24</v>
      </c>
      <c r="AN13" s="46">
        <v>34</v>
      </c>
      <c r="AO13" s="46">
        <v>29</v>
      </c>
      <c r="AP13" s="46">
        <v>22</v>
      </c>
      <c r="AQ13" s="46">
        <v>23</v>
      </c>
      <c r="AR13" s="46">
        <v>20</v>
      </c>
      <c r="AS13" s="46">
        <v>25</v>
      </c>
      <c r="AT13" s="46">
        <v>29</v>
      </c>
      <c r="AU13" s="46">
        <v>32</v>
      </c>
      <c r="AV13" s="46">
        <v>16</v>
      </c>
      <c r="AW13" s="46">
        <v>32</v>
      </c>
      <c r="AX13" s="1">
        <v>8</v>
      </c>
      <c r="AY13" s="1">
        <v>25</v>
      </c>
      <c r="AZ13" s="1">
        <v>26</v>
      </c>
      <c r="BA13" s="1">
        <v>27</v>
      </c>
      <c r="BB13" s="1">
        <v>25</v>
      </c>
      <c r="BC13" s="1">
        <v>26</v>
      </c>
      <c r="BD13" s="1">
        <v>25</v>
      </c>
      <c r="BE13" s="1">
        <v>24</v>
      </c>
      <c r="BF13" s="1">
        <v>19</v>
      </c>
      <c r="BG13" s="1">
        <v>18</v>
      </c>
    </row>
    <row r="14" spans="1:59">
      <c r="A14" s="42" t="s">
        <v>26</v>
      </c>
      <c r="B14" s="57">
        <v>12</v>
      </c>
      <c r="C14" s="46">
        <f>(7+4)+3</f>
        <v>14</v>
      </c>
      <c r="D14" s="46">
        <f>4+7+4+1</f>
        <v>16</v>
      </c>
      <c r="E14" s="46">
        <v>11</v>
      </c>
      <c r="F14" s="46">
        <v>16</v>
      </c>
      <c r="G14" s="46">
        <v>19</v>
      </c>
      <c r="H14" s="46">
        <v>17</v>
      </c>
      <c r="I14" s="46">
        <v>14</v>
      </c>
      <c r="J14" s="46">
        <v>24</v>
      </c>
      <c r="K14" s="46">
        <v>21</v>
      </c>
      <c r="L14" s="46">
        <v>18</v>
      </c>
      <c r="M14" s="46">
        <v>29</v>
      </c>
      <c r="N14" s="46">
        <v>31</v>
      </c>
      <c r="O14" s="46">
        <v>28</v>
      </c>
      <c r="P14" s="46">
        <v>24</v>
      </c>
      <c r="Q14" s="46">
        <v>35</v>
      </c>
      <c r="R14" s="46">
        <v>38</v>
      </c>
      <c r="S14" s="46">
        <v>43</v>
      </c>
      <c r="T14" s="46">
        <v>47</v>
      </c>
      <c r="U14" s="46">
        <v>41</v>
      </c>
      <c r="V14" s="46">
        <v>57</v>
      </c>
      <c r="W14" s="46">
        <v>68</v>
      </c>
      <c r="X14" s="46">
        <v>80</v>
      </c>
      <c r="Y14" s="46">
        <v>80</v>
      </c>
      <c r="Z14" s="1">
        <v>66</v>
      </c>
      <c r="AA14" s="1">
        <v>74</v>
      </c>
      <c r="AB14" s="1">
        <v>73</v>
      </c>
      <c r="AC14" s="1">
        <v>72</v>
      </c>
      <c r="AD14" s="1">
        <v>80</v>
      </c>
      <c r="AE14" s="57">
        <v>6</v>
      </c>
      <c r="AF14" s="46">
        <f>2+(10+1)</f>
        <v>13</v>
      </c>
      <c r="AG14" s="46">
        <f>1+1+8+1</f>
        <v>11</v>
      </c>
      <c r="AH14" s="46">
        <v>8</v>
      </c>
      <c r="AI14" s="46">
        <v>11</v>
      </c>
      <c r="AJ14" s="46">
        <v>10</v>
      </c>
      <c r="AK14" s="46">
        <v>21</v>
      </c>
      <c r="AL14" s="46">
        <v>13</v>
      </c>
      <c r="AM14" s="46">
        <v>7</v>
      </c>
      <c r="AN14" s="46">
        <v>14</v>
      </c>
      <c r="AO14" s="46">
        <v>16</v>
      </c>
      <c r="AP14" s="46">
        <v>31</v>
      </c>
      <c r="AQ14" s="46">
        <v>19</v>
      </c>
      <c r="AR14" s="46">
        <v>19</v>
      </c>
      <c r="AS14" s="46">
        <v>17</v>
      </c>
      <c r="AT14" s="46">
        <v>22</v>
      </c>
      <c r="AU14" s="46">
        <v>23</v>
      </c>
      <c r="AV14" s="46">
        <v>18</v>
      </c>
      <c r="AW14" s="46">
        <v>35</v>
      </c>
      <c r="AX14" s="1">
        <v>31</v>
      </c>
      <c r="AY14" s="1">
        <v>20</v>
      </c>
      <c r="AZ14" s="1">
        <v>26</v>
      </c>
      <c r="BA14" s="1">
        <v>26</v>
      </c>
      <c r="BB14" s="1">
        <v>28</v>
      </c>
      <c r="BC14" s="1">
        <v>24</v>
      </c>
      <c r="BD14" s="1">
        <v>38</v>
      </c>
      <c r="BE14" s="1">
        <v>47</v>
      </c>
      <c r="BF14" s="1">
        <v>30</v>
      </c>
      <c r="BG14" s="1">
        <v>27</v>
      </c>
    </row>
    <row r="15" spans="1:59">
      <c r="A15" s="42" t="s">
        <v>27</v>
      </c>
      <c r="B15" s="57">
        <v>2</v>
      </c>
      <c r="C15" s="46">
        <f>1+1</f>
        <v>2</v>
      </c>
      <c r="D15" s="46">
        <f>3+1+3+0</f>
        <v>7</v>
      </c>
      <c r="E15" s="46">
        <v>2</v>
      </c>
      <c r="F15" s="46">
        <v>2</v>
      </c>
      <c r="G15" s="46">
        <v>1</v>
      </c>
      <c r="H15" s="46">
        <v>1</v>
      </c>
      <c r="I15" s="46">
        <v>5</v>
      </c>
      <c r="J15" s="46">
        <v>3</v>
      </c>
      <c r="K15" s="46">
        <v>3</v>
      </c>
      <c r="L15" s="46">
        <v>6</v>
      </c>
      <c r="M15" s="46">
        <v>1</v>
      </c>
      <c r="N15" s="46">
        <v>4</v>
      </c>
      <c r="O15" s="46">
        <v>5</v>
      </c>
      <c r="P15" s="46">
        <v>1</v>
      </c>
      <c r="Q15" s="46">
        <v>4</v>
      </c>
      <c r="R15" s="46">
        <v>5</v>
      </c>
      <c r="S15" s="46">
        <v>7</v>
      </c>
      <c r="T15" s="46">
        <v>4</v>
      </c>
      <c r="U15" s="46">
        <v>7</v>
      </c>
      <c r="V15" s="46">
        <v>6</v>
      </c>
      <c r="W15" s="46">
        <v>12</v>
      </c>
      <c r="X15" s="46">
        <v>19</v>
      </c>
      <c r="Y15" s="46">
        <v>11</v>
      </c>
      <c r="Z15" s="1">
        <v>17</v>
      </c>
      <c r="AA15" s="1">
        <v>19</v>
      </c>
      <c r="AB15" s="1">
        <v>17</v>
      </c>
      <c r="AC15" s="1">
        <v>12</v>
      </c>
      <c r="AD15" s="1">
        <v>31</v>
      </c>
      <c r="AE15" s="57">
        <v>4</v>
      </c>
      <c r="AF15" s="46">
        <f>7+1</f>
        <v>8</v>
      </c>
      <c r="AG15" s="46">
        <f>0+4+1</f>
        <v>5</v>
      </c>
      <c r="AH15" s="46">
        <v>7</v>
      </c>
      <c r="AI15" s="46">
        <v>3</v>
      </c>
      <c r="AJ15" s="46">
        <v>4</v>
      </c>
      <c r="AK15" s="46">
        <v>1</v>
      </c>
      <c r="AL15" s="46">
        <v>4</v>
      </c>
      <c r="AM15" s="46">
        <v>1</v>
      </c>
      <c r="AN15" s="46">
        <v>1</v>
      </c>
      <c r="AO15" s="46">
        <v>2</v>
      </c>
      <c r="AP15" s="46">
        <v>4</v>
      </c>
      <c r="AQ15" s="46">
        <v>3</v>
      </c>
      <c r="AR15" s="46">
        <v>3</v>
      </c>
      <c r="AS15" s="46">
        <v>1</v>
      </c>
      <c r="AT15" s="46">
        <v>6</v>
      </c>
      <c r="AU15" s="46">
        <v>1</v>
      </c>
      <c r="AV15" s="46">
        <v>2</v>
      </c>
      <c r="AW15" s="46">
        <v>0</v>
      </c>
      <c r="AX15" s="1">
        <v>1</v>
      </c>
      <c r="AY15" s="1">
        <v>0</v>
      </c>
      <c r="AZ15" s="1">
        <v>1</v>
      </c>
      <c r="BA15" s="1">
        <v>4</v>
      </c>
      <c r="BB15" s="1">
        <v>8</v>
      </c>
      <c r="BC15" s="1">
        <v>6</v>
      </c>
      <c r="BD15" s="1">
        <v>12</v>
      </c>
      <c r="BE15" s="1">
        <v>10</v>
      </c>
      <c r="BF15" s="1">
        <v>4</v>
      </c>
      <c r="BG15" s="1">
        <v>4</v>
      </c>
    </row>
    <row r="16" spans="1:59">
      <c r="A16" s="42" t="s">
        <v>28</v>
      </c>
      <c r="B16" s="57">
        <v>9</v>
      </c>
      <c r="C16" s="46">
        <f>(2+5)+(4+3)</f>
        <v>14</v>
      </c>
      <c r="D16" s="46">
        <f>5+4+2+2</f>
        <v>13</v>
      </c>
      <c r="E16" s="46">
        <v>11</v>
      </c>
      <c r="F16" s="46">
        <v>13</v>
      </c>
      <c r="G16" s="46">
        <v>14</v>
      </c>
      <c r="H16" s="46">
        <v>14</v>
      </c>
      <c r="I16" s="46">
        <v>24</v>
      </c>
      <c r="J16" s="46">
        <v>25</v>
      </c>
      <c r="K16" s="46">
        <v>23</v>
      </c>
      <c r="L16" s="46">
        <v>29</v>
      </c>
      <c r="M16" s="46">
        <v>38</v>
      </c>
      <c r="N16" s="46">
        <v>40</v>
      </c>
      <c r="O16" s="46">
        <v>39</v>
      </c>
      <c r="P16" s="46">
        <v>42</v>
      </c>
      <c r="Q16" s="46">
        <v>51</v>
      </c>
      <c r="R16" s="46">
        <v>51</v>
      </c>
      <c r="S16" s="46">
        <v>48</v>
      </c>
      <c r="T16" s="46">
        <v>59</v>
      </c>
      <c r="U16" s="46">
        <v>84</v>
      </c>
      <c r="V16" s="46">
        <v>95</v>
      </c>
      <c r="W16" s="46">
        <v>100</v>
      </c>
      <c r="X16" s="46">
        <v>109</v>
      </c>
      <c r="Y16" s="46">
        <v>128</v>
      </c>
      <c r="Z16" s="1">
        <v>107</v>
      </c>
      <c r="AA16" s="1">
        <v>110</v>
      </c>
      <c r="AB16" s="1">
        <v>110</v>
      </c>
      <c r="AC16" s="1">
        <v>148</v>
      </c>
      <c r="AD16" s="1">
        <v>126</v>
      </c>
      <c r="AE16" s="57">
        <v>7</v>
      </c>
      <c r="AF16" s="46">
        <f>1+(24+10)</f>
        <v>35</v>
      </c>
      <c r="AG16" s="46">
        <f>3+0+28+14</f>
        <v>45</v>
      </c>
      <c r="AH16" s="46">
        <v>54</v>
      </c>
      <c r="AI16" s="46">
        <v>51</v>
      </c>
      <c r="AJ16" s="46">
        <v>53</v>
      </c>
      <c r="AK16" s="46">
        <v>48</v>
      </c>
      <c r="AL16" s="46">
        <v>44</v>
      </c>
      <c r="AM16" s="46">
        <v>70</v>
      </c>
      <c r="AN16" s="46">
        <v>62</v>
      </c>
      <c r="AO16" s="46">
        <v>75</v>
      </c>
      <c r="AP16" s="46">
        <v>20</v>
      </c>
      <c r="AQ16" s="46">
        <v>14</v>
      </c>
      <c r="AR16" s="46">
        <v>25</v>
      </c>
      <c r="AS16" s="46">
        <v>20</v>
      </c>
      <c r="AT16" s="46">
        <v>20</v>
      </c>
      <c r="AU16" s="46">
        <v>21</v>
      </c>
      <c r="AV16" s="46">
        <v>20</v>
      </c>
      <c r="AW16" s="46">
        <v>32</v>
      </c>
      <c r="AX16" s="1">
        <v>37</v>
      </c>
      <c r="AY16" s="1">
        <v>19</v>
      </c>
      <c r="AZ16" s="1">
        <v>19</v>
      </c>
      <c r="BA16" s="1">
        <v>118</v>
      </c>
      <c r="BB16" s="1">
        <v>33</v>
      </c>
      <c r="BC16" s="1">
        <v>25</v>
      </c>
      <c r="BD16" s="1">
        <v>32</v>
      </c>
      <c r="BE16" s="1">
        <v>42</v>
      </c>
      <c r="BF16" s="1">
        <v>41</v>
      </c>
      <c r="BG16" s="1">
        <v>53</v>
      </c>
    </row>
    <row r="17" spans="1:59">
      <c r="A17" s="42" t="s">
        <v>29</v>
      </c>
      <c r="B17" s="57">
        <v>14</v>
      </c>
      <c r="C17" s="46">
        <f>(3+3)+(2+2)</f>
        <v>10</v>
      </c>
      <c r="D17" s="46">
        <f>3+3+2+2</f>
        <v>10</v>
      </c>
      <c r="E17" s="46">
        <v>17</v>
      </c>
      <c r="F17" s="46">
        <v>17</v>
      </c>
      <c r="G17" s="46">
        <v>17</v>
      </c>
      <c r="H17" s="46">
        <v>19</v>
      </c>
      <c r="I17" s="46">
        <v>10</v>
      </c>
      <c r="J17" s="46">
        <v>14</v>
      </c>
      <c r="K17" s="46">
        <v>25</v>
      </c>
      <c r="L17" s="46">
        <v>27</v>
      </c>
      <c r="M17" s="46">
        <v>25</v>
      </c>
      <c r="N17" s="46">
        <v>28</v>
      </c>
      <c r="O17" s="46">
        <v>37</v>
      </c>
      <c r="P17" s="46">
        <v>30</v>
      </c>
      <c r="Q17" s="46">
        <v>29</v>
      </c>
      <c r="R17" s="46">
        <v>38</v>
      </c>
      <c r="S17" s="46">
        <v>21</v>
      </c>
      <c r="T17" s="46">
        <v>23</v>
      </c>
      <c r="U17" s="46">
        <v>39</v>
      </c>
      <c r="V17" s="46">
        <v>41</v>
      </c>
      <c r="W17" s="46">
        <v>35</v>
      </c>
      <c r="X17" s="46">
        <v>32</v>
      </c>
      <c r="Y17" s="46">
        <v>44</v>
      </c>
      <c r="Z17" s="1">
        <v>54</v>
      </c>
      <c r="AA17" s="1">
        <v>43</v>
      </c>
      <c r="AB17" s="1">
        <v>50</v>
      </c>
      <c r="AC17" s="1">
        <v>72</v>
      </c>
      <c r="AD17" s="1">
        <v>69</v>
      </c>
      <c r="AE17" s="57">
        <v>4</v>
      </c>
      <c r="AF17" s="46">
        <f>1+(2+2)</f>
        <v>5</v>
      </c>
      <c r="AG17" s="46">
        <f>2+2+2+2</f>
        <v>8</v>
      </c>
      <c r="AH17" s="46">
        <v>2</v>
      </c>
      <c r="AI17" s="46">
        <v>5</v>
      </c>
      <c r="AJ17" s="46">
        <v>6</v>
      </c>
      <c r="AK17" s="46">
        <v>10</v>
      </c>
      <c r="AL17" s="46">
        <v>1</v>
      </c>
      <c r="AM17" s="46">
        <v>5</v>
      </c>
      <c r="AN17" s="46">
        <v>17</v>
      </c>
      <c r="AO17" s="46">
        <v>14</v>
      </c>
      <c r="AP17" s="46">
        <v>17</v>
      </c>
      <c r="AQ17" s="46">
        <v>8</v>
      </c>
      <c r="AR17" s="46">
        <v>11</v>
      </c>
      <c r="AS17" s="46">
        <v>14</v>
      </c>
      <c r="AT17" s="46">
        <v>5</v>
      </c>
      <c r="AU17" s="46">
        <v>8</v>
      </c>
      <c r="AV17" s="46">
        <v>13</v>
      </c>
      <c r="AW17" s="46">
        <v>13</v>
      </c>
      <c r="AX17" s="1">
        <v>20</v>
      </c>
      <c r="AY17" s="1">
        <v>14</v>
      </c>
      <c r="AZ17" s="1">
        <v>5</v>
      </c>
      <c r="BA17" s="1">
        <v>8</v>
      </c>
      <c r="BB17" s="1">
        <v>7</v>
      </c>
      <c r="BC17" s="1">
        <v>8</v>
      </c>
      <c r="BD17" s="1">
        <v>14</v>
      </c>
      <c r="BE17" s="1">
        <v>8</v>
      </c>
      <c r="BF17" s="1">
        <v>8</v>
      </c>
      <c r="BG17" s="1">
        <v>10</v>
      </c>
    </row>
    <row r="18" spans="1:59">
      <c r="A18" s="42" t="s">
        <v>30</v>
      </c>
      <c r="B18" s="57">
        <v>2</v>
      </c>
      <c r="C18" s="46">
        <f>1+1</f>
        <v>2</v>
      </c>
      <c r="D18" s="46">
        <f>2+1+0</f>
        <v>3</v>
      </c>
      <c r="E18" s="46">
        <v>3</v>
      </c>
      <c r="F18" s="46">
        <v>6</v>
      </c>
      <c r="G18" s="46">
        <v>1</v>
      </c>
      <c r="H18" s="46">
        <v>7</v>
      </c>
      <c r="I18" s="46">
        <v>6</v>
      </c>
      <c r="J18" s="46">
        <v>9</v>
      </c>
      <c r="K18" s="46">
        <v>10</v>
      </c>
      <c r="L18" s="46">
        <v>10</v>
      </c>
      <c r="M18" s="46">
        <v>9</v>
      </c>
      <c r="N18" s="46">
        <v>5</v>
      </c>
      <c r="O18" s="46">
        <v>14</v>
      </c>
      <c r="P18" s="46">
        <v>12</v>
      </c>
      <c r="Q18" s="46">
        <v>11</v>
      </c>
      <c r="R18" s="46">
        <v>20</v>
      </c>
      <c r="S18" s="46">
        <v>17</v>
      </c>
      <c r="T18" s="46">
        <v>15</v>
      </c>
      <c r="U18" s="46">
        <v>22</v>
      </c>
      <c r="V18" s="46">
        <v>12</v>
      </c>
      <c r="W18" s="46">
        <v>25</v>
      </c>
      <c r="X18" s="46">
        <v>27</v>
      </c>
      <c r="Y18" s="46">
        <v>34</v>
      </c>
      <c r="Z18" s="1">
        <v>37</v>
      </c>
      <c r="AA18" s="1">
        <v>43</v>
      </c>
      <c r="AB18" s="1">
        <v>47</v>
      </c>
      <c r="AC18" s="1">
        <v>60</v>
      </c>
      <c r="AD18" s="1">
        <v>77</v>
      </c>
      <c r="AE18" s="57">
        <v>15</v>
      </c>
      <c r="AF18" s="46">
        <f>(2+1)+(11+1)</f>
        <v>15</v>
      </c>
      <c r="AG18" s="46">
        <f>2+3+0</f>
        <v>5</v>
      </c>
      <c r="AH18" s="46">
        <v>10</v>
      </c>
      <c r="AI18" s="46">
        <v>11</v>
      </c>
      <c r="AJ18" s="46">
        <v>12</v>
      </c>
      <c r="AK18" s="46">
        <v>7</v>
      </c>
      <c r="AL18" s="46">
        <v>13</v>
      </c>
      <c r="AM18" s="46">
        <v>11</v>
      </c>
      <c r="AN18" s="46">
        <v>12</v>
      </c>
      <c r="AO18" s="46">
        <v>12</v>
      </c>
      <c r="AP18" s="46">
        <v>13</v>
      </c>
      <c r="AQ18" s="46">
        <v>15</v>
      </c>
      <c r="AR18" s="46">
        <v>17</v>
      </c>
      <c r="AS18" s="46">
        <v>12</v>
      </c>
      <c r="AT18" s="46">
        <v>9</v>
      </c>
      <c r="AU18" s="46">
        <v>15</v>
      </c>
      <c r="AV18" s="46">
        <v>10</v>
      </c>
      <c r="AW18" s="46">
        <v>6</v>
      </c>
      <c r="AX18" s="1">
        <v>7</v>
      </c>
      <c r="AY18" s="1">
        <v>5</v>
      </c>
      <c r="AZ18" s="1">
        <v>4</v>
      </c>
      <c r="BA18" s="1">
        <v>6</v>
      </c>
      <c r="BB18" s="1">
        <v>11</v>
      </c>
      <c r="BC18" s="1">
        <v>5</v>
      </c>
      <c r="BD18" s="1">
        <v>8</v>
      </c>
      <c r="BE18" s="1">
        <v>6</v>
      </c>
      <c r="BF18" s="1">
        <v>6</v>
      </c>
      <c r="BG18" s="1">
        <v>6</v>
      </c>
    </row>
    <row r="19" spans="1:59">
      <c r="A19" s="42" t="s">
        <v>31</v>
      </c>
      <c r="B19" s="57">
        <v>5</v>
      </c>
      <c r="C19" s="46">
        <f>(3+1)+(5+3)</f>
        <v>12</v>
      </c>
      <c r="D19" s="46">
        <f>4+7</f>
        <v>11</v>
      </c>
      <c r="E19" s="46">
        <v>19</v>
      </c>
      <c r="F19" s="46">
        <v>15</v>
      </c>
      <c r="G19" s="46">
        <v>20</v>
      </c>
      <c r="H19" s="46">
        <v>19</v>
      </c>
      <c r="I19" s="46">
        <v>11</v>
      </c>
      <c r="J19" s="46">
        <v>16</v>
      </c>
      <c r="K19" s="46">
        <v>19</v>
      </c>
      <c r="L19" s="46">
        <v>24</v>
      </c>
      <c r="M19" s="46">
        <v>23</v>
      </c>
      <c r="N19" s="46">
        <v>22</v>
      </c>
      <c r="O19" s="46">
        <v>29</v>
      </c>
      <c r="P19" s="46">
        <v>22</v>
      </c>
      <c r="Q19" s="46">
        <v>32</v>
      </c>
      <c r="R19" s="46">
        <v>17</v>
      </c>
      <c r="S19" s="46">
        <v>22</v>
      </c>
      <c r="T19" s="46">
        <v>37</v>
      </c>
      <c r="U19" s="46">
        <v>37</v>
      </c>
      <c r="V19" s="46">
        <v>47</v>
      </c>
      <c r="W19" s="46">
        <v>63</v>
      </c>
      <c r="X19" s="46">
        <v>50</v>
      </c>
      <c r="Y19" s="46">
        <v>54</v>
      </c>
      <c r="Z19" s="1">
        <v>66</v>
      </c>
      <c r="AA19" s="1">
        <v>73</v>
      </c>
      <c r="AB19" s="1">
        <v>75</v>
      </c>
      <c r="AC19" s="1">
        <v>95</v>
      </c>
      <c r="AD19" s="1">
        <v>90</v>
      </c>
      <c r="AE19" s="57">
        <v>9</v>
      </c>
      <c r="AF19" s="46">
        <f>(5+5)+(13+5)</f>
        <v>28</v>
      </c>
      <c r="AG19" s="46">
        <f>1+1+9+0</f>
        <v>11</v>
      </c>
      <c r="AH19" s="46">
        <v>16</v>
      </c>
      <c r="AI19" s="46">
        <v>44</v>
      </c>
      <c r="AJ19" s="46">
        <v>23</v>
      </c>
      <c r="AK19" s="46">
        <v>33</v>
      </c>
      <c r="AL19" s="46">
        <v>32</v>
      </c>
      <c r="AM19" s="46">
        <v>30</v>
      </c>
      <c r="AN19" s="46">
        <v>19</v>
      </c>
      <c r="AO19" s="46">
        <v>38</v>
      </c>
      <c r="AP19" s="46">
        <v>34</v>
      </c>
      <c r="AQ19" s="46">
        <v>26</v>
      </c>
      <c r="AR19" s="46">
        <v>30</v>
      </c>
      <c r="AS19" s="46">
        <v>27</v>
      </c>
      <c r="AT19" s="46">
        <v>32</v>
      </c>
      <c r="AU19" s="46">
        <v>16</v>
      </c>
      <c r="AV19" s="46">
        <v>15</v>
      </c>
      <c r="AW19" s="46">
        <v>25</v>
      </c>
      <c r="AX19" s="1">
        <v>34</v>
      </c>
      <c r="AY19" s="1">
        <v>16</v>
      </c>
      <c r="AZ19" s="1">
        <v>26</v>
      </c>
      <c r="BA19" s="1">
        <v>24</v>
      </c>
      <c r="BB19" s="1">
        <v>31</v>
      </c>
      <c r="BC19" s="1">
        <v>26</v>
      </c>
      <c r="BD19" s="1">
        <v>17</v>
      </c>
      <c r="BE19" s="1">
        <v>15</v>
      </c>
      <c r="BF19" s="1">
        <v>17</v>
      </c>
      <c r="BG19" s="1">
        <v>22</v>
      </c>
    </row>
    <row r="20" spans="1:59">
      <c r="A20" s="42" t="s">
        <v>32</v>
      </c>
      <c r="B20" s="57">
        <v>270</v>
      </c>
      <c r="C20" s="46">
        <f>(144+74)+(44+28)</f>
        <v>290</v>
      </c>
      <c r="D20" s="46">
        <f>112+73+50+32</f>
        <v>267</v>
      </c>
      <c r="E20" s="46">
        <v>362</v>
      </c>
      <c r="F20" s="46">
        <v>381</v>
      </c>
      <c r="G20" s="46">
        <v>413</v>
      </c>
      <c r="H20" s="46">
        <v>407</v>
      </c>
      <c r="I20" s="46">
        <v>516</v>
      </c>
      <c r="J20" s="46">
        <v>477</v>
      </c>
      <c r="K20" s="46">
        <v>480</v>
      </c>
      <c r="L20" s="46">
        <v>542</v>
      </c>
      <c r="M20" s="46">
        <v>540</v>
      </c>
      <c r="N20" s="46">
        <v>562</v>
      </c>
      <c r="O20" s="46">
        <v>568</v>
      </c>
      <c r="P20" s="46">
        <v>598</v>
      </c>
      <c r="Q20" s="46">
        <v>560</v>
      </c>
      <c r="R20" s="46">
        <v>583</v>
      </c>
      <c r="S20" s="46">
        <v>615</v>
      </c>
      <c r="T20" s="46">
        <v>749</v>
      </c>
      <c r="U20" s="46">
        <v>795</v>
      </c>
      <c r="V20" s="46">
        <v>817</v>
      </c>
      <c r="W20" s="46">
        <v>883</v>
      </c>
      <c r="X20" s="46">
        <v>834</v>
      </c>
      <c r="Y20" s="46">
        <v>903</v>
      </c>
      <c r="Z20" s="1">
        <v>918</v>
      </c>
      <c r="AA20" s="1">
        <v>984</v>
      </c>
      <c r="AB20" s="1">
        <v>1067</v>
      </c>
      <c r="AC20" s="1">
        <v>1106</v>
      </c>
      <c r="AD20" s="1">
        <v>1229</v>
      </c>
      <c r="AE20" s="57">
        <v>39</v>
      </c>
      <c r="AF20" s="46">
        <f>(8+4)+(18+7)</f>
        <v>37</v>
      </c>
      <c r="AG20" s="46">
        <f>13+9+9+1</f>
        <v>32</v>
      </c>
      <c r="AH20" s="46">
        <v>94</v>
      </c>
      <c r="AI20" s="46">
        <v>97</v>
      </c>
      <c r="AJ20" s="46">
        <v>103</v>
      </c>
      <c r="AK20" s="46">
        <v>117</v>
      </c>
      <c r="AL20" s="46">
        <v>100</v>
      </c>
      <c r="AM20" s="46">
        <v>91</v>
      </c>
      <c r="AN20" s="46">
        <v>98</v>
      </c>
      <c r="AO20" s="46">
        <v>89</v>
      </c>
      <c r="AP20" s="46">
        <v>52</v>
      </c>
      <c r="AQ20" s="46">
        <v>46</v>
      </c>
      <c r="AR20" s="46">
        <v>72</v>
      </c>
      <c r="AS20" s="46">
        <v>90</v>
      </c>
      <c r="AT20" s="46">
        <v>98</v>
      </c>
      <c r="AU20" s="46">
        <v>62</v>
      </c>
      <c r="AV20" s="46">
        <v>93</v>
      </c>
      <c r="AW20" s="46">
        <v>79</v>
      </c>
      <c r="AX20" s="1">
        <v>90</v>
      </c>
      <c r="AY20" s="1">
        <v>63</v>
      </c>
      <c r="AZ20" s="1">
        <v>85</v>
      </c>
      <c r="BA20" s="1">
        <v>109</v>
      </c>
      <c r="BB20" s="1">
        <v>83</v>
      </c>
      <c r="BC20" s="1">
        <v>89</v>
      </c>
      <c r="BD20" s="1">
        <v>71</v>
      </c>
      <c r="BE20" s="1">
        <v>74</v>
      </c>
      <c r="BF20" s="1">
        <v>74</v>
      </c>
      <c r="BG20" s="1">
        <v>85</v>
      </c>
    </row>
    <row r="21" spans="1:59">
      <c r="A21" s="42" t="s">
        <v>33</v>
      </c>
      <c r="B21" s="57">
        <v>14</v>
      </c>
      <c r="C21" s="46">
        <f>(4+3)+(4+2)</f>
        <v>13</v>
      </c>
      <c r="D21" s="46">
        <f>8+4+0+2</f>
        <v>14</v>
      </c>
      <c r="E21" s="46">
        <v>22</v>
      </c>
      <c r="F21" s="46">
        <v>20</v>
      </c>
      <c r="G21" s="46">
        <v>24</v>
      </c>
      <c r="H21" s="46">
        <v>33</v>
      </c>
      <c r="I21" s="46">
        <v>23</v>
      </c>
      <c r="J21" s="46">
        <v>32</v>
      </c>
      <c r="K21" s="46">
        <v>20</v>
      </c>
      <c r="L21" s="46">
        <v>29</v>
      </c>
      <c r="M21" s="46">
        <v>42</v>
      </c>
      <c r="N21" s="46">
        <v>32</v>
      </c>
      <c r="O21" s="46">
        <v>35</v>
      </c>
      <c r="P21" s="46">
        <v>24</v>
      </c>
      <c r="Q21" s="46">
        <v>41</v>
      </c>
      <c r="R21" s="46">
        <v>61</v>
      </c>
      <c r="S21" s="46">
        <v>57</v>
      </c>
      <c r="T21" s="46">
        <v>74</v>
      </c>
      <c r="U21" s="46">
        <v>76</v>
      </c>
      <c r="V21" s="46">
        <v>96</v>
      </c>
      <c r="W21" s="46">
        <v>100</v>
      </c>
      <c r="X21" s="46">
        <v>102</v>
      </c>
      <c r="Y21" s="46">
        <v>96</v>
      </c>
      <c r="Z21" s="1">
        <v>127</v>
      </c>
      <c r="AA21" s="1">
        <v>146</v>
      </c>
      <c r="AB21" s="1">
        <v>136</v>
      </c>
      <c r="AC21" s="1">
        <v>174</v>
      </c>
      <c r="AD21" s="1">
        <v>179</v>
      </c>
      <c r="AE21" s="57">
        <v>9</v>
      </c>
      <c r="AF21" s="46">
        <f>(7+2)+7</f>
        <v>16</v>
      </c>
      <c r="AG21" s="46">
        <f>2+3+5+5</f>
        <v>15</v>
      </c>
      <c r="AH21" s="46">
        <v>17</v>
      </c>
      <c r="AI21" s="46">
        <v>18</v>
      </c>
      <c r="AJ21" s="46">
        <v>19</v>
      </c>
      <c r="AK21" s="46">
        <v>18</v>
      </c>
      <c r="AL21" s="46">
        <v>30</v>
      </c>
      <c r="AM21" s="46">
        <v>14</v>
      </c>
      <c r="AN21" s="46">
        <v>37</v>
      </c>
      <c r="AO21" s="46">
        <v>66</v>
      </c>
      <c r="AP21" s="46">
        <v>36</v>
      </c>
      <c r="AQ21" s="46">
        <v>45</v>
      </c>
      <c r="AR21" s="46">
        <v>31</v>
      </c>
      <c r="AS21" s="46">
        <v>33</v>
      </c>
      <c r="AT21" s="46">
        <v>34</v>
      </c>
      <c r="AU21" s="46">
        <v>34</v>
      </c>
      <c r="AV21" s="46">
        <v>27</v>
      </c>
      <c r="AW21" s="46">
        <v>29</v>
      </c>
      <c r="AX21" s="1">
        <v>26</v>
      </c>
      <c r="AY21" s="1">
        <v>44</v>
      </c>
      <c r="AZ21" s="1">
        <v>34</v>
      </c>
      <c r="BA21" s="1">
        <v>41</v>
      </c>
      <c r="BB21" s="1">
        <v>45</v>
      </c>
      <c r="BC21" s="1">
        <v>47</v>
      </c>
      <c r="BD21" s="1">
        <v>54</v>
      </c>
      <c r="BE21" s="1">
        <v>60</v>
      </c>
      <c r="BF21" s="1">
        <v>63</v>
      </c>
      <c r="BG21" s="1">
        <v>60</v>
      </c>
    </row>
    <row r="22" spans="1:59">
      <c r="A22" s="47" t="s">
        <v>34</v>
      </c>
      <c r="B22" s="58">
        <v>2</v>
      </c>
      <c r="C22" s="48">
        <f>2+1</f>
        <v>3</v>
      </c>
      <c r="D22" s="48">
        <v>4</v>
      </c>
      <c r="E22" s="48">
        <v>3</v>
      </c>
      <c r="F22" s="48">
        <v>3</v>
      </c>
      <c r="G22" s="48"/>
      <c r="H22" s="48">
        <v>3</v>
      </c>
      <c r="I22" s="48">
        <v>2</v>
      </c>
      <c r="J22" s="48">
        <v>2</v>
      </c>
      <c r="K22" s="48">
        <v>4</v>
      </c>
      <c r="L22" s="48">
        <v>6</v>
      </c>
      <c r="M22" s="48">
        <v>5</v>
      </c>
      <c r="N22" s="48">
        <v>6</v>
      </c>
      <c r="O22" s="48">
        <v>1</v>
      </c>
      <c r="P22" s="48">
        <v>6</v>
      </c>
      <c r="Q22" s="48">
        <v>4</v>
      </c>
      <c r="R22" s="48">
        <v>5</v>
      </c>
      <c r="S22" s="48">
        <v>4</v>
      </c>
      <c r="T22" s="48">
        <v>9</v>
      </c>
      <c r="U22" s="48">
        <v>17</v>
      </c>
      <c r="V22" s="48">
        <v>15</v>
      </c>
      <c r="W22" s="48">
        <v>11</v>
      </c>
      <c r="X22" s="48">
        <v>15</v>
      </c>
      <c r="Y22" s="48">
        <v>7</v>
      </c>
      <c r="Z22" s="3">
        <v>29</v>
      </c>
      <c r="AA22" s="3">
        <v>22</v>
      </c>
      <c r="AB22" s="3">
        <v>32</v>
      </c>
      <c r="AC22" s="3">
        <v>27</v>
      </c>
      <c r="AD22" s="3">
        <v>33</v>
      </c>
      <c r="AE22" s="58">
        <v>1</v>
      </c>
      <c r="AF22" s="48">
        <f>1+1</f>
        <v>2</v>
      </c>
      <c r="AG22" s="48">
        <f>2+3</f>
        <v>5</v>
      </c>
      <c r="AH22" s="48">
        <v>3</v>
      </c>
      <c r="AI22" s="48">
        <v>2</v>
      </c>
      <c r="AJ22" s="48">
        <v>1</v>
      </c>
      <c r="AK22" s="48">
        <v>2</v>
      </c>
      <c r="AL22" s="48">
        <v>1</v>
      </c>
      <c r="AM22" s="48">
        <v>5</v>
      </c>
      <c r="AN22" s="48">
        <v>3</v>
      </c>
      <c r="AO22" s="48">
        <v>1</v>
      </c>
      <c r="AP22" s="48">
        <v>1</v>
      </c>
      <c r="AQ22" s="48">
        <v>1</v>
      </c>
      <c r="AR22" s="48">
        <v>4</v>
      </c>
      <c r="AS22" s="48">
        <v>4</v>
      </c>
      <c r="AT22" s="48">
        <v>2</v>
      </c>
      <c r="AU22" s="48">
        <v>3</v>
      </c>
      <c r="AV22" s="48">
        <v>2</v>
      </c>
      <c r="AW22" s="48">
        <v>11</v>
      </c>
      <c r="AX22" s="1">
        <v>9</v>
      </c>
      <c r="AY22" s="1">
        <v>5</v>
      </c>
      <c r="AZ22" s="1">
        <v>7</v>
      </c>
      <c r="BA22" s="1">
        <v>10</v>
      </c>
      <c r="BB22" s="1">
        <v>9</v>
      </c>
      <c r="BC22" s="3">
        <v>9</v>
      </c>
      <c r="BD22" s="3">
        <v>9</v>
      </c>
      <c r="BE22" s="3">
        <v>5</v>
      </c>
      <c r="BF22" s="3">
        <v>10</v>
      </c>
      <c r="BG22" s="1">
        <v>6</v>
      </c>
    </row>
    <row r="23" spans="1:59">
      <c r="A23" s="42" t="s">
        <v>35</v>
      </c>
      <c r="B23" s="55">
        <f t="shared" ref="B23:AV23" si="12">SUM(B25:B37)</f>
        <v>532</v>
      </c>
      <c r="C23" s="43">
        <f t="shared" si="12"/>
        <v>0</v>
      </c>
      <c r="D23" s="43">
        <f t="shared" si="12"/>
        <v>0</v>
      </c>
      <c r="E23" s="43">
        <f t="shared" si="12"/>
        <v>820</v>
      </c>
      <c r="F23" s="43">
        <f t="shared" si="12"/>
        <v>816</v>
      </c>
      <c r="G23" s="43">
        <f t="shared" si="12"/>
        <v>863</v>
      </c>
      <c r="H23" s="43">
        <f t="shared" si="12"/>
        <v>825</v>
      </c>
      <c r="I23" s="43">
        <f t="shared" si="12"/>
        <v>867</v>
      </c>
      <c r="J23" s="43">
        <f t="shared" si="12"/>
        <v>990</v>
      </c>
      <c r="K23" s="43">
        <f t="shared" si="12"/>
        <v>918</v>
      </c>
      <c r="L23" s="43">
        <f t="shared" si="12"/>
        <v>868</v>
      </c>
      <c r="M23" s="43">
        <f t="shared" si="12"/>
        <v>926</v>
      </c>
      <c r="N23" s="43">
        <f t="shared" si="12"/>
        <v>984</v>
      </c>
      <c r="O23" s="43">
        <f t="shared" si="12"/>
        <v>1055</v>
      </c>
      <c r="P23" s="43">
        <f t="shared" si="12"/>
        <v>966</v>
      </c>
      <c r="Q23" s="43">
        <f t="shared" si="12"/>
        <v>983</v>
      </c>
      <c r="R23" s="43">
        <f t="shared" si="12"/>
        <v>1003</v>
      </c>
      <c r="S23" s="43">
        <f t="shared" si="12"/>
        <v>1095</v>
      </c>
      <c r="T23" s="43">
        <f>SUM(T25:T37)</f>
        <v>1133</v>
      </c>
      <c r="U23" s="43">
        <f>SUM(U25:U37)</f>
        <v>1208</v>
      </c>
      <c r="V23" s="43">
        <f>SUM(V25:V37)</f>
        <v>1293</v>
      </c>
      <c r="W23" s="43">
        <f>SUM(W25:W37)</f>
        <v>1582</v>
      </c>
      <c r="X23" s="43">
        <f t="shared" ref="X23:AA23" si="13">SUM(X25:X37)</f>
        <v>1723</v>
      </c>
      <c r="Y23" s="43">
        <f t="shared" si="13"/>
        <v>1849</v>
      </c>
      <c r="Z23" s="43">
        <f t="shared" si="13"/>
        <v>1830</v>
      </c>
      <c r="AA23" s="43">
        <f t="shared" si="13"/>
        <v>1997</v>
      </c>
      <c r="AB23" s="43">
        <f>SUM(AB25:AB37)</f>
        <v>2026</v>
      </c>
      <c r="AC23" s="43">
        <f>SUM(AC25:AC37)</f>
        <v>2190</v>
      </c>
      <c r="AD23" s="43">
        <f>SUM(AD25:AD37)</f>
        <v>2412</v>
      </c>
      <c r="AE23" s="55">
        <f t="shared" si="12"/>
        <v>241</v>
      </c>
      <c r="AF23" s="43">
        <f t="shared" si="12"/>
        <v>0</v>
      </c>
      <c r="AG23" s="43">
        <f t="shared" si="12"/>
        <v>0</v>
      </c>
      <c r="AH23" s="43">
        <f t="shared" si="12"/>
        <v>285</v>
      </c>
      <c r="AI23" s="43">
        <f t="shared" si="12"/>
        <v>318</v>
      </c>
      <c r="AJ23" s="43">
        <f t="shared" si="12"/>
        <v>248</v>
      </c>
      <c r="AK23" s="43">
        <f t="shared" si="12"/>
        <v>261</v>
      </c>
      <c r="AL23" s="43">
        <f t="shared" si="12"/>
        <v>301</v>
      </c>
      <c r="AM23" s="43">
        <f t="shared" si="12"/>
        <v>280</v>
      </c>
      <c r="AN23" s="43">
        <f t="shared" si="12"/>
        <v>325</v>
      </c>
      <c r="AO23" s="43">
        <f t="shared" si="12"/>
        <v>306</v>
      </c>
      <c r="AP23" s="43">
        <f t="shared" si="12"/>
        <v>353</v>
      </c>
      <c r="AQ23" s="43">
        <f t="shared" si="12"/>
        <v>365</v>
      </c>
      <c r="AR23" s="43">
        <f t="shared" si="12"/>
        <v>364</v>
      </c>
      <c r="AS23" s="43">
        <f t="shared" si="12"/>
        <v>380</v>
      </c>
      <c r="AT23" s="43">
        <f t="shared" si="12"/>
        <v>341</v>
      </c>
      <c r="AU23" s="43">
        <f t="shared" si="12"/>
        <v>360</v>
      </c>
      <c r="AV23" s="43">
        <f t="shared" si="12"/>
        <v>329</v>
      </c>
      <c r="AW23" s="43">
        <f>SUM(AW25:AW37)</f>
        <v>390</v>
      </c>
      <c r="AX23" s="43">
        <f>SUM(AX25:AX37)</f>
        <v>488</v>
      </c>
      <c r="AY23" s="43">
        <f>SUM(AY25:AY37)</f>
        <v>459</v>
      </c>
      <c r="AZ23" s="43">
        <f>SUM(AZ25:AZ37)</f>
        <v>489</v>
      </c>
      <c r="BA23" s="43">
        <f t="shared" ref="BA23:BD23" si="14">SUM(BA25:BA37)</f>
        <v>486</v>
      </c>
      <c r="BB23" s="43">
        <f t="shared" si="14"/>
        <v>580</v>
      </c>
      <c r="BC23" s="43">
        <f t="shared" si="14"/>
        <v>563</v>
      </c>
      <c r="BD23" s="43">
        <f t="shared" si="14"/>
        <v>597</v>
      </c>
      <c r="BE23" s="43">
        <f>SUM(BE25:BE37)</f>
        <v>623</v>
      </c>
      <c r="BF23" s="43">
        <f>SUM(BF25:BF37)</f>
        <v>673</v>
      </c>
      <c r="BG23" s="43">
        <f>SUM(BG25:BG37)</f>
        <v>686</v>
      </c>
    </row>
    <row r="24" spans="1:59">
      <c r="A24" s="44" t="s">
        <v>131</v>
      </c>
      <c r="B24" s="56">
        <f t="shared" ref="B24:AV24" si="15">(B23/B4)*100</f>
        <v>26.6</v>
      </c>
      <c r="C24" s="45">
        <f t="shared" si="15"/>
        <v>0</v>
      </c>
      <c r="D24" s="45">
        <f t="shared" si="15"/>
        <v>0</v>
      </c>
      <c r="E24" s="45">
        <f t="shared" si="15"/>
        <v>29.1089811856585</v>
      </c>
      <c r="F24" s="45">
        <f t="shared" si="15"/>
        <v>27.689175432643363</v>
      </c>
      <c r="G24" s="45">
        <f t="shared" si="15"/>
        <v>28.416200197563384</v>
      </c>
      <c r="H24" s="45">
        <f t="shared" si="15"/>
        <v>26.10759493670886</v>
      </c>
      <c r="I24" s="45">
        <f t="shared" si="15"/>
        <v>25.612998522895126</v>
      </c>
      <c r="J24" s="45">
        <f t="shared" si="15"/>
        <v>28.109028960817717</v>
      </c>
      <c r="K24" s="45">
        <f t="shared" si="15"/>
        <v>26.5625</v>
      </c>
      <c r="L24" s="45">
        <f t="shared" si="15"/>
        <v>23.780821917808222</v>
      </c>
      <c r="M24" s="45">
        <f t="shared" si="15"/>
        <v>23.995853848147188</v>
      </c>
      <c r="N24" s="45">
        <f t="shared" si="15"/>
        <v>24.338362602028198</v>
      </c>
      <c r="O24" s="45">
        <f t="shared" si="15"/>
        <v>25.142993326978075</v>
      </c>
      <c r="P24" s="45">
        <f t="shared" si="15"/>
        <v>23.265895953757227</v>
      </c>
      <c r="Q24" s="45">
        <f t="shared" si="15"/>
        <v>22.618499769903362</v>
      </c>
      <c r="R24" s="45">
        <f t="shared" si="15"/>
        <v>22.682044323835367</v>
      </c>
      <c r="S24" s="45">
        <f t="shared" si="15"/>
        <v>23.140321217244296</v>
      </c>
      <c r="T24" s="45">
        <f>(T23/T4)*100</f>
        <v>21.893719806763283</v>
      </c>
      <c r="U24" s="45">
        <f>(U23/U4)*100</f>
        <v>21.445055920468668</v>
      </c>
      <c r="V24" s="45">
        <f>(V23/V4)*100</f>
        <v>21.753028263795425</v>
      </c>
      <c r="W24" s="45">
        <f>(W23/W4)*100</f>
        <v>23.810957254665862</v>
      </c>
      <c r="X24" s="45">
        <f t="shared" ref="X24:AA24" si="16">(X23/X4)*100</f>
        <v>24.859327658346558</v>
      </c>
      <c r="Y24" s="45">
        <f t="shared" si="16"/>
        <v>25.712696426088165</v>
      </c>
      <c r="Z24" s="45">
        <f t="shared" si="16"/>
        <v>24.743104380746349</v>
      </c>
      <c r="AA24" s="45">
        <f t="shared" si="16"/>
        <v>25.265688259109311</v>
      </c>
      <c r="AB24" s="45">
        <f>(AB23/AB4)*100</f>
        <v>24.001895510010662</v>
      </c>
      <c r="AC24" s="45">
        <f>(AC23/AC4)*100</f>
        <v>24.058002856201252</v>
      </c>
      <c r="AD24" s="45">
        <f>(AD23/AD4)*100</f>
        <v>24.799506477483035</v>
      </c>
      <c r="AE24" s="56">
        <f t="shared" si="15"/>
        <v>27.63761467889908</v>
      </c>
      <c r="AF24" s="45">
        <f t="shared" si="15"/>
        <v>0</v>
      </c>
      <c r="AG24" s="45">
        <f t="shared" si="15"/>
        <v>0</v>
      </c>
      <c r="AH24" s="45">
        <f t="shared" si="15"/>
        <v>21.236959761549926</v>
      </c>
      <c r="AI24" s="45">
        <f t="shared" si="15"/>
        <v>20.54263565891473</v>
      </c>
      <c r="AJ24" s="45">
        <f t="shared" si="15"/>
        <v>17.258176757132915</v>
      </c>
      <c r="AK24" s="45">
        <f t="shared" si="15"/>
        <v>16.201117318435752</v>
      </c>
      <c r="AL24" s="45">
        <f t="shared" si="15"/>
        <v>18.557336621454994</v>
      </c>
      <c r="AM24" s="45">
        <f t="shared" si="15"/>
        <v>17.01093560145808</v>
      </c>
      <c r="AN24" s="45">
        <f t="shared" si="15"/>
        <v>18.197088465845464</v>
      </c>
      <c r="AO24" s="45">
        <f t="shared" si="15"/>
        <v>16.531604538087521</v>
      </c>
      <c r="AP24" s="45">
        <f t="shared" si="15"/>
        <v>18.102564102564102</v>
      </c>
      <c r="AQ24" s="45">
        <f t="shared" si="15"/>
        <v>18.911917098445596</v>
      </c>
      <c r="AR24" s="45">
        <f t="shared" si="15"/>
        <v>17.895771878072765</v>
      </c>
      <c r="AS24" s="45">
        <f t="shared" si="15"/>
        <v>18.618324350808425</v>
      </c>
      <c r="AT24" s="45">
        <f t="shared" si="15"/>
        <v>17.248356095093577</v>
      </c>
      <c r="AU24" s="45">
        <f t="shared" si="15"/>
        <v>17.126546146527115</v>
      </c>
      <c r="AV24" s="45">
        <f t="shared" si="15"/>
        <v>15.741626794258373</v>
      </c>
      <c r="AW24" s="45">
        <f>(AW23/AW4)*100</f>
        <v>16.839378238341968</v>
      </c>
      <c r="AX24" s="45">
        <f>(AX23/AX4)*100</f>
        <v>19.342053111375346</v>
      </c>
      <c r="AY24" s="45">
        <f>(AY23/AY4)*100</f>
        <v>18.508064516129032</v>
      </c>
      <c r="AZ24" s="45">
        <f>(AZ23/AZ4)*100</f>
        <v>19.005052467936263</v>
      </c>
      <c r="BA24" s="45">
        <f t="shared" ref="BA24:BD24" si="17">(BA23/BA4)*100</f>
        <v>17.431850789096124</v>
      </c>
      <c r="BB24" s="45">
        <f t="shared" si="17"/>
        <v>19.436997319034852</v>
      </c>
      <c r="BC24" s="45">
        <f t="shared" si="17"/>
        <v>19.929203539823011</v>
      </c>
      <c r="BD24" s="45">
        <f t="shared" si="17"/>
        <v>19.270497094899934</v>
      </c>
      <c r="BE24" s="45">
        <f>(BE23/BE4)*100</f>
        <v>18.691869186918691</v>
      </c>
      <c r="BF24" s="45">
        <f>(BF23/BF4)*100</f>
        <v>19.609557109557109</v>
      </c>
      <c r="BG24" s="45">
        <f>(BG23/BG4)*100</f>
        <v>20.582058205820584</v>
      </c>
    </row>
    <row r="25" spans="1:59">
      <c r="A25" s="42" t="s">
        <v>36</v>
      </c>
      <c r="B25" s="57">
        <v>0</v>
      </c>
      <c r="C25" s="46"/>
      <c r="D25" s="46"/>
      <c r="E25" s="46">
        <v>0</v>
      </c>
      <c r="F25" s="46">
        <v>0</v>
      </c>
      <c r="G25" s="46"/>
      <c r="H25" s="46">
        <v>0</v>
      </c>
      <c r="I25" s="46"/>
      <c r="J25" s="46">
        <v>0</v>
      </c>
      <c r="K25" s="46"/>
      <c r="L25" s="46"/>
      <c r="M25" s="46"/>
      <c r="N25" s="46"/>
      <c r="O25" s="46"/>
      <c r="P25" s="46"/>
      <c r="Q25" s="46"/>
      <c r="R25" s="46"/>
      <c r="S25" s="46"/>
      <c r="T25" s="46"/>
      <c r="U25" s="46"/>
      <c r="V25" s="46">
        <v>0</v>
      </c>
      <c r="W25" s="46">
        <v>0</v>
      </c>
      <c r="X25" s="46">
        <v>0</v>
      </c>
      <c r="Y25" s="46">
        <v>1</v>
      </c>
      <c r="Z25" s="1">
        <v>0</v>
      </c>
      <c r="AA25" s="1">
        <v>0</v>
      </c>
      <c r="AB25" s="1">
        <v>0</v>
      </c>
      <c r="AC25" s="1">
        <v>0</v>
      </c>
      <c r="AD25" s="1">
        <v>0</v>
      </c>
      <c r="AE25" s="57">
        <v>0</v>
      </c>
      <c r="AF25" s="46"/>
      <c r="AG25" s="46"/>
      <c r="AH25" s="46">
        <v>0</v>
      </c>
      <c r="AI25" s="46">
        <v>0</v>
      </c>
      <c r="AJ25" s="46"/>
      <c r="AK25" s="46">
        <v>0</v>
      </c>
      <c r="AL25" s="46"/>
      <c r="AM25" s="46">
        <v>0</v>
      </c>
      <c r="AN25" s="46"/>
      <c r="AO25" s="46"/>
      <c r="AP25" s="46"/>
      <c r="AQ25" s="46"/>
      <c r="AR25" s="46"/>
      <c r="AS25" s="46"/>
      <c r="AT25" s="46"/>
      <c r="AU25" s="46"/>
      <c r="AV25" s="46"/>
      <c r="AW25" s="46"/>
      <c r="AY25" s="1">
        <v>0</v>
      </c>
      <c r="AZ25" s="1">
        <v>0</v>
      </c>
      <c r="BA25" s="1">
        <v>0</v>
      </c>
      <c r="BB25" s="1">
        <v>0</v>
      </c>
      <c r="BC25" s="1">
        <v>0</v>
      </c>
      <c r="BD25" s="1">
        <v>0</v>
      </c>
      <c r="BE25" s="1">
        <v>0</v>
      </c>
      <c r="BF25" s="1">
        <v>0</v>
      </c>
      <c r="BG25" s="1">
        <v>0</v>
      </c>
    </row>
    <row r="26" spans="1:59">
      <c r="A26" s="42" t="s">
        <v>38</v>
      </c>
      <c r="B26" s="57">
        <v>13</v>
      </c>
      <c r="C26" s="46"/>
      <c r="D26" s="46"/>
      <c r="E26" s="46">
        <v>57</v>
      </c>
      <c r="F26" s="46">
        <v>46</v>
      </c>
      <c r="G26" s="46">
        <v>52</v>
      </c>
      <c r="H26" s="46">
        <v>55</v>
      </c>
      <c r="I26" s="46">
        <v>56</v>
      </c>
      <c r="J26" s="46">
        <v>54</v>
      </c>
      <c r="K26" s="46">
        <v>47</v>
      </c>
      <c r="L26" s="46">
        <v>60</v>
      </c>
      <c r="M26" s="46">
        <v>64</v>
      </c>
      <c r="N26" s="46">
        <v>71</v>
      </c>
      <c r="O26" s="46">
        <v>66</v>
      </c>
      <c r="P26" s="46">
        <v>66</v>
      </c>
      <c r="Q26" s="46">
        <v>78</v>
      </c>
      <c r="R26" s="46">
        <v>74</v>
      </c>
      <c r="S26" s="46">
        <v>80</v>
      </c>
      <c r="T26" s="46">
        <v>91</v>
      </c>
      <c r="U26" s="46">
        <v>97</v>
      </c>
      <c r="V26" s="46">
        <v>92</v>
      </c>
      <c r="W26" s="46">
        <v>112</v>
      </c>
      <c r="X26" s="46">
        <v>127</v>
      </c>
      <c r="Y26" s="46">
        <v>168</v>
      </c>
      <c r="Z26" s="1">
        <v>138</v>
      </c>
      <c r="AA26" s="1">
        <v>150</v>
      </c>
      <c r="AB26" s="1">
        <v>159</v>
      </c>
      <c r="AC26" s="1">
        <v>192</v>
      </c>
      <c r="AD26" s="1">
        <v>183</v>
      </c>
      <c r="AE26" s="57">
        <v>63</v>
      </c>
      <c r="AF26" s="46"/>
      <c r="AG26" s="46"/>
      <c r="AH26" s="46">
        <v>1</v>
      </c>
      <c r="AI26" s="46">
        <v>2</v>
      </c>
      <c r="AJ26" s="46"/>
      <c r="AK26" s="46">
        <v>3</v>
      </c>
      <c r="AL26" s="46">
        <v>10</v>
      </c>
      <c r="AM26" s="46">
        <v>1</v>
      </c>
      <c r="AN26" s="46">
        <v>0</v>
      </c>
      <c r="AO26" s="46">
        <v>6</v>
      </c>
      <c r="AP26" s="46">
        <v>7</v>
      </c>
      <c r="AQ26" s="46">
        <v>5</v>
      </c>
      <c r="AR26" s="46">
        <v>3</v>
      </c>
      <c r="AS26" s="46">
        <v>7</v>
      </c>
      <c r="AT26" s="46">
        <v>3</v>
      </c>
      <c r="AU26" s="46">
        <v>8</v>
      </c>
      <c r="AV26" s="46">
        <v>10</v>
      </c>
      <c r="AW26" s="46">
        <v>10</v>
      </c>
      <c r="AX26" s="1">
        <v>14</v>
      </c>
      <c r="AY26" s="1">
        <v>26</v>
      </c>
      <c r="AZ26" s="1">
        <v>27</v>
      </c>
      <c r="BA26" s="1">
        <v>28</v>
      </c>
      <c r="BB26" s="1">
        <v>53</v>
      </c>
      <c r="BC26" s="1">
        <v>55</v>
      </c>
      <c r="BD26" s="1">
        <v>49</v>
      </c>
      <c r="BE26" s="1">
        <v>62</v>
      </c>
      <c r="BF26" s="1">
        <v>60</v>
      </c>
      <c r="BG26" s="1">
        <v>31</v>
      </c>
    </row>
    <row r="27" spans="1:59">
      <c r="A27" s="42" t="s">
        <v>39</v>
      </c>
      <c r="B27" s="57">
        <v>420</v>
      </c>
      <c r="C27" s="46"/>
      <c r="D27" s="46"/>
      <c r="E27" s="46">
        <v>564</v>
      </c>
      <c r="F27" s="46">
        <v>620</v>
      </c>
      <c r="G27" s="46">
        <v>642</v>
      </c>
      <c r="H27" s="46">
        <v>602</v>
      </c>
      <c r="I27" s="46">
        <v>639</v>
      </c>
      <c r="J27" s="46">
        <v>752</v>
      </c>
      <c r="K27" s="46">
        <v>666</v>
      </c>
      <c r="L27" s="46">
        <v>592</v>
      </c>
      <c r="M27" s="46">
        <v>639</v>
      </c>
      <c r="N27" s="46">
        <v>672</v>
      </c>
      <c r="O27" s="46">
        <v>732</v>
      </c>
      <c r="P27" s="46">
        <v>653</v>
      </c>
      <c r="Q27" s="46">
        <v>659</v>
      </c>
      <c r="R27" s="46">
        <v>644</v>
      </c>
      <c r="S27" s="46">
        <v>716</v>
      </c>
      <c r="T27" s="46">
        <v>746</v>
      </c>
      <c r="U27" s="46">
        <v>799</v>
      </c>
      <c r="V27" s="46">
        <v>857</v>
      </c>
      <c r="W27" s="46">
        <v>1074</v>
      </c>
      <c r="X27" s="46">
        <v>1109</v>
      </c>
      <c r="Y27" s="46">
        <v>1226</v>
      </c>
      <c r="Z27" s="1">
        <v>1217</v>
      </c>
      <c r="AA27" s="1">
        <v>1274</v>
      </c>
      <c r="AB27" s="1">
        <v>1358</v>
      </c>
      <c r="AC27" s="1">
        <v>1403</v>
      </c>
      <c r="AD27" s="1">
        <v>1573</v>
      </c>
      <c r="AE27" s="57">
        <v>158</v>
      </c>
      <c r="AF27" s="46"/>
      <c r="AG27" s="46"/>
      <c r="AH27" s="46">
        <v>247</v>
      </c>
      <c r="AI27" s="46">
        <v>200</v>
      </c>
      <c r="AJ27" s="46">
        <v>203</v>
      </c>
      <c r="AK27" s="46">
        <v>199</v>
      </c>
      <c r="AL27" s="46">
        <v>201</v>
      </c>
      <c r="AM27" s="46">
        <v>196</v>
      </c>
      <c r="AN27" s="46">
        <v>217</v>
      </c>
      <c r="AO27" s="46">
        <v>210</v>
      </c>
      <c r="AP27" s="46">
        <v>247</v>
      </c>
      <c r="AQ27" s="46">
        <v>287</v>
      </c>
      <c r="AR27" s="46">
        <v>273</v>
      </c>
      <c r="AS27" s="46">
        <v>283</v>
      </c>
      <c r="AT27" s="46">
        <v>228</v>
      </c>
      <c r="AU27" s="46">
        <v>274</v>
      </c>
      <c r="AV27" s="46">
        <v>242</v>
      </c>
      <c r="AW27" s="46">
        <v>258</v>
      </c>
      <c r="AX27" s="1">
        <v>349</v>
      </c>
      <c r="AY27" s="1">
        <v>326</v>
      </c>
      <c r="AZ27" s="1">
        <v>354</v>
      </c>
      <c r="BA27" s="1">
        <v>328</v>
      </c>
      <c r="BB27" s="1">
        <v>370</v>
      </c>
      <c r="BC27" s="1">
        <v>369</v>
      </c>
      <c r="BD27" s="1">
        <v>386</v>
      </c>
      <c r="BE27" s="1">
        <v>411</v>
      </c>
      <c r="BF27" s="1">
        <v>393</v>
      </c>
      <c r="BG27" s="1">
        <v>385</v>
      </c>
    </row>
    <row r="28" spans="1:59">
      <c r="A28" s="42" t="s">
        <v>40</v>
      </c>
      <c r="B28" s="57">
        <v>35</v>
      </c>
      <c r="C28" s="46"/>
      <c r="D28" s="46"/>
      <c r="E28" s="46">
        <v>78</v>
      </c>
      <c r="F28" s="46">
        <v>52</v>
      </c>
      <c r="G28" s="46">
        <v>53</v>
      </c>
      <c r="H28" s="46">
        <v>57</v>
      </c>
      <c r="I28" s="46">
        <v>52</v>
      </c>
      <c r="J28" s="46">
        <v>51</v>
      </c>
      <c r="K28" s="46">
        <v>62</v>
      </c>
      <c r="L28" s="46">
        <v>48</v>
      </c>
      <c r="M28" s="46">
        <v>53</v>
      </c>
      <c r="N28" s="46">
        <v>77</v>
      </c>
      <c r="O28" s="46">
        <v>70</v>
      </c>
      <c r="P28" s="46">
        <v>46</v>
      </c>
      <c r="Q28" s="46">
        <v>50</v>
      </c>
      <c r="R28" s="46">
        <v>67</v>
      </c>
      <c r="S28" s="46">
        <v>65</v>
      </c>
      <c r="T28" s="46">
        <v>64</v>
      </c>
      <c r="U28" s="46">
        <v>71</v>
      </c>
      <c r="V28" s="46">
        <v>89</v>
      </c>
      <c r="W28" s="46">
        <v>97</v>
      </c>
      <c r="X28" s="46">
        <v>103</v>
      </c>
      <c r="Y28" s="46">
        <v>99</v>
      </c>
      <c r="Z28" s="1">
        <v>115</v>
      </c>
      <c r="AA28" s="1">
        <v>163</v>
      </c>
      <c r="AB28" s="1">
        <v>112</v>
      </c>
      <c r="AC28" s="1">
        <v>138</v>
      </c>
      <c r="AD28" s="1">
        <v>155</v>
      </c>
      <c r="AE28" s="57">
        <v>0</v>
      </c>
      <c r="AF28" s="46"/>
      <c r="AG28" s="46"/>
      <c r="AH28" s="46">
        <v>1</v>
      </c>
      <c r="AI28" s="46">
        <v>3</v>
      </c>
      <c r="AJ28" s="46">
        <v>2</v>
      </c>
      <c r="AK28" s="46">
        <v>7</v>
      </c>
      <c r="AL28" s="46">
        <v>4</v>
      </c>
      <c r="AM28" s="46">
        <v>3</v>
      </c>
      <c r="AN28" s="46">
        <v>5</v>
      </c>
      <c r="AO28" s="46">
        <v>7</v>
      </c>
      <c r="AP28" s="46">
        <v>13</v>
      </c>
      <c r="AQ28" s="46">
        <v>13</v>
      </c>
      <c r="AR28" s="46">
        <v>8</v>
      </c>
      <c r="AS28" s="46">
        <v>12</v>
      </c>
      <c r="AT28" s="46">
        <v>10</v>
      </c>
      <c r="AU28" s="46">
        <v>8</v>
      </c>
      <c r="AV28" s="46">
        <v>9</v>
      </c>
      <c r="AW28" s="46">
        <v>17</v>
      </c>
      <c r="AX28" s="1">
        <v>10</v>
      </c>
      <c r="AY28" s="1">
        <v>23</v>
      </c>
      <c r="AZ28" s="1">
        <v>21</v>
      </c>
      <c r="BA28" s="1">
        <v>25</v>
      </c>
      <c r="BB28" s="1">
        <v>28</v>
      </c>
      <c r="BC28" s="1">
        <v>32</v>
      </c>
      <c r="BD28" s="1">
        <v>23</v>
      </c>
      <c r="BE28" s="1">
        <v>15</v>
      </c>
      <c r="BF28" s="1">
        <v>31</v>
      </c>
      <c r="BG28" s="1">
        <v>32</v>
      </c>
    </row>
    <row r="29" spans="1:59">
      <c r="A29" s="42" t="s">
        <v>41</v>
      </c>
      <c r="B29" s="57">
        <v>0</v>
      </c>
      <c r="C29" s="46"/>
      <c r="D29" s="46"/>
      <c r="E29" s="46">
        <v>0</v>
      </c>
      <c r="F29" s="46">
        <v>0</v>
      </c>
      <c r="G29" s="46">
        <v>1</v>
      </c>
      <c r="H29" s="46">
        <v>0</v>
      </c>
      <c r="I29" s="46">
        <v>1</v>
      </c>
      <c r="J29" s="46">
        <v>0</v>
      </c>
      <c r="K29" s="46">
        <v>0</v>
      </c>
      <c r="L29" s="46">
        <v>0</v>
      </c>
      <c r="M29" s="46">
        <v>3</v>
      </c>
      <c r="N29" s="46">
        <v>3</v>
      </c>
      <c r="O29" s="46">
        <v>2</v>
      </c>
      <c r="P29" s="46"/>
      <c r="Q29" s="46">
        <v>3</v>
      </c>
      <c r="R29" s="46">
        <v>1</v>
      </c>
      <c r="S29" s="46">
        <v>3</v>
      </c>
      <c r="T29" s="46">
        <v>6</v>
      </c>
      <c r="U29" s="46">
        <v>10</v>
      </c>
      <c r="V29" s="46">
        <v>8</v>
      </c>
      <c r="W29" s="46">
        <v>16</v>
      </c>
      <c r="X29" s="46">
        <v>17</v>
      </c>
      <c r="Y29" s="46">
        <v>21</v>
      </c>
      <c r="Z29" s="1">
        <v>17</v>
      </c>
      <c r="AA29" s="1">
        <v>17</v>
      </c>
      <c r="AB29" s="1">
        <v>19</v>
      </c>
      <c r="AC29" s="1">
        <v>17</v>
      </c>
      <c r="AD29" s="1">
        <v>18</v>
      </c>
      <c r="AE29" s="57">
        <v>0</v>
      </c>
      <c r="AF29" s="46"/>
      <c r="AG29" s="46"/>
      <c r="AH29" s="46">
        <v>0</v>
      </c>
      <c r="AI29" s="46">
        <v>61</v>
      </c>
      <c r="AJ29" s="46"/>
      <c r="AK29" s="46">
        <v>0</v>
      </c>
      <c r="AL29" s="46">
        <v>0</v>
      </c>
      <c r="AM29" s="46">
        <v>0</v>
      </c>
      <c r="AN29" s="46">
        <v>0</v>
      </c>
      <c r="AO29" s="46">
        <v>0</v>
      </c>
      <c r="AP29" s="46">
        <v>0</v>
      </c>
      <c r="AQ29" s="46">
        <v>0</v>
      </c>
      <c r="AR29" s="46">
        <v>0</v>
      </c>
      <c r="AS29" s="46"/>
      <c r="AT29" s="46">
        <v>3</v>
      </c>
      <c r="AU29" s="46">
        <v>4</v>
      </c>
      <c r="AV29" s="46">
        <v>4</v>
      </c>
      <c r="AW29" s="46">
        <v>3</v>
      </c>
      <c r="AX29" s="1">
        <v>6</v>
      </c>
      <c r="AY29" s="1">
        <v>8</v>
      </c>
      <c r="AZ29" s="1">
        <v>9</v>
      </c>
      <c r="BA29" s="1">
        <v>10</v>
      </c>
      <c r="BB29" s="1">
        <v>10</v>
      </c>
      <c r="BC29" s="1">
        <v>12</v>
      </c>
      <c r="BD29" s="1">
        <v>9</v>
      </c>
      <c r="BE29" s="1">
        <v>9</v>
      </c>
      <c r="BF29" s="1">
        <v>5</v>
      </c>
      <c r="BG29" s="1">
        <v>7</v>
      </c>
    </row>
    <row r="30" spans="1:59">
      <c r="A30" s="42" t="s">
        <v>42</v>
      </c>
      <c r="B30" s="57">
        <v>0</v>
      </c>
      <c r="C30" s="46"/>
      <c r="D30" s="46"/>
      <c r="E30" s="46">
        <v>5</v>
      </c>
      <c r="F30" s="46">
        <v>2</v>
      </c>
      <c r="G30" s="46">
        <v>7</v>
      </c>
      <c r="H30" s="46">
        <v>6</v>
      </c>
      <c r="I30" s="46">
        <v>6</v>
      </c>
      <c r="J30" s="46">
        <v>4</v>
      </c>
      <c r="K30" s="46">
        <v>5</v>
      </c>
      <c r="L30" s="46">
        <v>2</v>
      </c>
      <c r="M30" s="46">
        <v>2</v>
      </c>
      <c r="N30" s="46">
        <v>2</v>
      </c>
      <c r="O30" s="46">
        <v>2</v>
      </c>
      <c r="P30" s="46">
        <v>2</v>
      </c>
      <c r="Q30" s="46">
        <v>5</v>
      </c>
      <c r="R30" s="46">
        <v>3</v>
      </c>
      <c r="S30" s="46">
        <v>4</v>
      </c>
      <c r="T30" s="46">
        <v>9</v>
      </c>
      <c r="U30" s="46">
        <v>8</v>
      </c>
      <c r="V30" s="46">
        <v>9</v>
      </c>
      <c r="W30" s="46">
        <v>14</v>
      </c>
      <c r="X30" s="46">
        <v>9</v>
      </c>
      <c r="Y30" s="46">
        <v>10</v>
      </c>
      <c r="Z30" s="1">
        <v>13</v>
      </c>
      <c r="AA30" s="1">
        <v>15</v>
      </c>
      <c r="AB30" s="1">
        <v>17</v>
      </c>
      <c r="AC30" s="1">
        <v>18</v>
      </c>
      <c r="AD30" s="1">
        <v>15</v>
      </c>
      <c r="AE30" s="57">
        <v>0</v>
      </c>
      <c r="AF30" s="46"/>
      <c r="AG30" s="46"/>
      <c r="AH30" s="46">
        <v>2</v>
      </c>
      <c r="AI30" s="46">
        <v>2</v>
      </c>
      <c r="AJ30" s="46">
        <v>3</v>
      </c>
      <c r="AK30" s="46">
        <v>5</v>
      </c>
      <c r="AL30" s="46">
        <v>2</v>
      </c>
      <c r="AM30" s="46">
        <v>2</v>
      </c>
      <c r="AN30" s="46">
        <v>2</v>
      </c>
      <c r="AO30" s="46">
        <v>0</v>
      </c>
      <c r="AP30" s="46">
        <v>3</v>
      </c>
      <c r="AQ30" s="46">
        <v>5</v>
      </c>
      <c r="AR30" s="46">
        <v>4</v>
      </c>
      <c r="AS30" s="46">
        <v>3</v>
      </c>
      <c r="AT30" s="46">
        <v>3</v>
      </c>
      <c r="AU30" s="46">
        <v>6</v>
      </c>
      <c r="AV30" s="46">
        <v>2</v>
      </c>
      <c r="AW30" s="46">
        <v>5</v>
      </c>
      <c r="AX30" s="1">
        <v>7</v>
      </c>
      <c r="AY30" s="1">
        <v>2</v>
      </c>
      <c r="AZ30" s="1">
        <v>4</v>
      </c>
      <c r="BA30" s="1">
        <v>10</v>
      </c>
      <c r="BB30" s="1">
        <v>8</v>
      </c>
      <c r="BC30" s="1">
        <v>6</v>
      </c>
      <c r="BD30" s="1">
        <v>10</v>
      </c>
      <c r="BE30" s="1">
        <v>6</v>
      </c>
      <c r="BF30" s="1">
        <v>5</v>
      </c>
      <c r="BG30" s="1">
        <v>6</v>
      </c>
    </row>
    <row r="31" spans="1:59">
      <c r="A31" s="42" t="s">
        <v>43</v>
      </c>
      <c r="B31" s="57">
        <v>0</v>
      </c>
      <c r="C31" s="46"/>
      <c r="D31" s="46"/>
      <c r="E31" s="46">
        <v>0</v>
      </c>
      <c r="F31" s="46">
        <v>1</v>
      </c>
      <c r="G31" s="46"/>
      <c r="H31" s="46">
        <v>0</v>
      </c>
      <c r="I31" s="46">
        <v>0</v>
      </c>
      <c r="J31" s="46">
        <v>0</v>
      </c>
      <c r="K31" s="46">
        <v>2</v>
      </c>
      <c r="L31" s="46">
        <v>1</v>
      </c>
      <c r="M31" s="46">
        <v>2</v>
      </c>
      <c r="N31" s="46">
        <v>0</v>
      </c>
      <c r="O31" s="46">
        <v>1</v>
      </c>
      <c r="P31" s="46"/>
      <c r="Q31" s="46">
        <v>0</v>
      </c>
      <c r="R31" s="46">
        <v>2</v>
      </c>
      <c r="S31" s="46">
        <v>2</v>
      </c>
      <c r="T31" s="46">
        <v>3</v>
      </c>
      <c r="U31" s="46">
        <v>6</v>
      </c>
      <c r="V31" s="46">
        <v>6</v>
      </c>
      <c r="W31" s="46">
        <v>7</v>
      </c>
      <c r="X31" s="46">
        <v>11</v>
      </c>
      <c r="Y31" s="46">
        <v>8</v>
      </c>
      <c r="Z31" s="1">
        <v>7</v>
      </c>
      <c r="AA31" s="1">
        <v>11</v>
      </c>
      <c r="AB31" s="1">
        <v>8</v>
      </c>
      <c r="AC31" s="1">
        <v>8</v>
      </c>
      <c r="AD31" s="1">
        <v>9</v>
      </c>
      <c r="AE31" s="57">
        <v>0</v>
      </c>
      <c r="AF31" s="46"/>
      <c r="AG31" s="46"/>
      <c r="AH31" s="46">
        <v>1</v>
      </c>
      <c r="AI31" s="46">
        <v>0</v>
      </c>
      <c r="AJ31" s="46"/>
      <c r="AK31" s="46">
        <v>0</v>
      </c>
      <c r="AL31" s="46">
        <v>0</v>
      </c>
      <c r="AM31" s="46">
        <v>0</v>
      </c>
      <c r="AN31" s="46">
        <v>0</v>
      </c>
      <c r="AO31" s="46">
        <v>0</v>
      </c>
      <c r="AP31" s="46">
        <v>2</v>
      </c>
      <c r="AQ31" s="46">
        <v>0</v>
      </c>
      <c r="AR31" s="46">
        <v>1</v>
      </c>
      <c r="AS31" s="46">
        <v>1</v>
      </c>
      <c r="AT31" s="46">
        <v>1</v>
      </c>
      <c r="AU31" s="46">
        <v>3</v>
      </c>
      <c r="AV31" s="46">
        <v>1</v>
      </c>
      <c r="AW31" s="46">
        <v>2</v>
      </c>
      <c r="AX31" s="1">
        <v>2</v>
      </c>
      <c r="AY31" s="1">
        <v>0</v>
      </c>
      <c r="AZ31" s="1">
        <v>2</v>
      </c>
      <c r="BA31" s="1">
        <v>13</v>
      </c>
      <c r="BB31" s="1">
        <v>33</v>
      </c>
      <c r="BC31" s="1">
        <v>22</v>
      </c>
      <c r="BD31" s="1">
        <v>18</v>
      </c>
      <c r="BE31" s="1">
        <v>24</v>
      </c>
      <c r="BF31" s="1">
        <v>58</v>
      </c>
      <c r="BG31" s="1">
        <v>89</v>
      </c>
    </row>
    <row r="32" spans="1:59">
      <c r="A32" s="42" t="s">
        <v>44</v>
      </c>
      <c r="B32" s="57">
        <v>1</v>
      </c>
      <c r="C32" s="46"/>
      <c r="D32" s="46"/>
      <c r="E32" s="46">
        <v>1</v>
      </c>
      <c r="F32" s="46">
        <v>1</v>
      </c>
      <c r="G32" s="46"/>
      <c r="H32" s="46">
        <v>1</v>
      </c>
      <c r="I32" s="46">
        <v>3</v>
      </c>
      <c r="J32" s="46">
        <v>4</v>
      </c>
      <c r="K32" s="46">
        <v>4</v>
      </c>
      <c r="L32" s="46">
        <v>2</v>
      </c>
      <c r="M32" s="46">
        <v>15</v>
      </c>
      <c r="N32" s="46">
        <v>12</v>
      </c>
      <c r="O32" s="46">
        <v>14</v>
      </c>
      <c r="P32" s="46">
        <v>16</v>
      </c>
      <c r="Q32" s="46">
        <v>20</v>
      </c>
      <c r="R32" s="46">
        <v>26</v>
      </c>
      <c r="S32" s="46">
        <v>29</v>
      </c>
      <c r="T32" s="46">
        <v>22</v>
      </c>
      <c r="U32" s="46">
        <v>28</v>
      </c>
      <c r="V32" s="46">
        <v>34</v>
      </c>
      <c r="W32" s="46">
        <v>25</v>
      </c>
      <c r="X32" s="46">
        <v>27</v>
      </c>
      <c r="Y32" s="46">
        <v>46</v>
      </c>
      <c r="Z32" s="1">
        <v>44</v>
      </c>
      <c r="AA32" s="1">
        <v>49</v>
      </c>
      <c r="AB32" s="1">
        <v>44</v>
      </c>
      <c r="AC32" s="1">
        <v>61</v>
      </c>
      <c r="AD32" s="1">
        <v>67</v>
      </c>
      <c r="AE32" s="57">
        <v>0</v>
      </c>
      <c r="AF32" s="46"/>
      <c r="AG32" s="46"/>
      <c r="AH32" s="46">
        <v>0</v>
      </c>
      <c r="AI32" s="46">
        <v>0</v>
      </c>
      <c r="AJ32" s="46"/>
      <c r="AK32" s="46">
        <v>0</v>
      </c>
      <c r="AL32" s="46">
        <v>0</v>
      </c>
      <c r="AM32" s="46">
        <v>0</v>
      </c>
      <c r="AN32" s="46">
        <v>0</v>
      </c>
      <c r="AO32" s="46">
        <v>0</v>
      </c>
      <c r="AP32" s="46">
        <v>0</v>
      </c>
      <c r="AQ32" s="46">
        <v>1</v>
      </c>
      <c r="AR32" s="46">
        <v>0</v>
      </c>
      <c r="AS32" s="46"/>
      <c r="AT32" s="46">
        <v>0</v>
      </c>
      <c r="AU32" s="46">
        <v>0</v>
      </c>
      <c r="AV32" s="46">
        <v>8</v>
      </c>
      <c r="AW32" s="46">
        <v>4</v>
      </c>
      <c r="AX32" s="1">
        <v>6</v>
      </c>
      <c r="AY32" s="1">
        <v>12</v>
      </c>
      <c r="AZ32" s="1">
        <v>8</v>
      </c>
      <c r="BA32" s="1">
        <v>5</v>
      </c>
      <c r="BB32" s="1">
        <v>8</v>
      </c>
      <c r="BC32" s="1">
        <v>3</v>
      </c>
      <c r="BD32" s="1">
        <v>7</v>
      </c>
      <c r="BE32" s="1">
        <v>8</v>
      </c>
      <c r="BF32" s="1">
        <v>2</v>
      </c>
      <c r="BG32" s="1">
        <v>4</v>
      </c>
    </row>
    <row r="33" spans="1:59">
      <c r="A33" s="42" t="s">
        <v>45</v>
      </c>
      <c r="B33" s="57">
        <v>34</v>
      </c>
      <c r="C33" s="46"/>
      <c r="D33" s="46"/>
      <c r="E33" s="46">
        <v>54</v>
      </c>
      <c r="F33" s="46">
        <v>39</v>
      </c>
      <c r="G33" s="46">
        <v>40</v>
      </c>
      <c r="H33" s="46">
        <v>43</v>
      </c>
      <c r="I33" s="46">
        <v>54</v>
      </c>
      <c r="J33" s="46">
        <v>38</v>
      </c>
      <c r="K33" s="46">
        <v>44</v>
      </c>
      <c r="L33" s="46">
        <v>65</v>
      </c>
      <c r="M33" s="46">
        <v>61</v>
      </c>
      <c r="N33" s="46">
        <v>57</v>
      </c>
      <c r="O33" s="46">
        <v>63</v>
      </c>
      <c r="P33" s="46">
        <v>65</v>
      </c>
      <c r="Q33" s="46">
        <v>74</v>
      </c>
      <c r="R33" s="46">
        <v>81</v>
      </c>
      <c r="S33" s="46">
        <v>81</v>
      </c>
      <c r="T33" s="46">
        <v>77</v>
      </c>
      <c r="U33" s="46">
        <v>92</v>
      </c>
      <c r="V33" s="46">
        <v>82</v>
      </c>
      <c r="W33" s="46">
        <v>77</v>
      </c>
      <c r="X33" s="46">
        <v>91</v>
      </c>
      <c r="Y33" s="46">
        <v>100</v>
      </c>
      <c r="Z33" s="1">
        <v>108</v>
      </c>
      <c r="AA33" s="1">
        <v>131</v>
      </c>
      <c r="AB33" s="1">
        <v>110</v>
      </c>
      <c r="AC33" s="1">
        <v>126</v>
      </c>
      <c r="AD33" s="1">
        <v>150</v>
      </c>
      <c r="AE33" s="57">
        <v>0</v>
      </c>
      <c r="AF33" s="46"/>
      <c r="AG33" s="46"/>
      <c r="AH33" s="46">
        <v>0</v>
      </c>
      <c r="AI33" s="46">
        <v>0</v>
      </c>
      <c r="AJ33" s="46"/>
      <c r="AK33" s="46">
        <v>1</v>
      </c>
      <c r="AL33" s="46">
        <v>0</v>
      </c>
      <c r="AM33" s="46">
        <v>1</v>
      </c>
      <c r="AN33" s="46">
        <v>0</v>
      </c>
      <c r="AO33" s="46">
        <v>1</v>
      </c>
      <c r="AP33" s="46">
        <v>0</v>
      </c>
      <c r="AQ33" s="46">
        <v>1</v>
      </c>
      <c r="AR33" s="46">
        <v>1</v>
      </c>
      <c r="AS33" s="46">
        <v>1</v>
      </c>
      <c r="AT33" s="46">
        <v>26</v>
      </c>
      <c r="AU33" s="46">
        <v>1</v>
      </c>
      <c r="AV33" s="46">
        <v>0</v>
      </c>
      <c r="AW33" s="46">
        <v>0</v>
      </c>
      <c r="AX33" s="1">
        <v>0</v>
      </c>
      <c r="AY33" s="1">
        <v>0</v>
      </c>
      <c r="AZ33" s="1">
        <v>1</v>
      </c>
      <c r="BA33" s="1">
        <v>1</v>
      </c>
      <c r="BB33" s="1">
        <v>2</v>
      </c>
      <c r="BC33" s="1">
        <v>1</v>
      </c>
      <c r="BD33" s="1">
        <v>4</v>
      </c>
      <c r="BE33" s="1">
        <v>4</v>
      </c>
      <c r="BF33" s="1">
        <v>5</v>
      </c>
      <c r="BG33" s="1">
        <v>1</v>
      </c>
    </row>
    <row r="34" spans="1:59">
      <c r="A34" s="42" t="s">
        <v>46</v>
      </c>
      <c r="B34" s="57">
        <v>14</v>
      </c>
      <c r="C34" s="46"/>
      <c r="D34" s="46"/>
      <c r="E34" s="46">
        <v>25</v>
      </c>
      <c r="F34" s="46">
        <v>20</v>
      </c>
      <c r="G34" s="46">
        <v>16</v>
      </c>
      <c r="H34" s="46">
        <v>18</v>
      </c>
      <c r="I34" s="46">
        <v>19</v>
      </c>
      <c r="J34" s="46">
        <v>22</v>
      </c>
      <c r="K34" s="46">
        <v>42</v>
      </c>
      <c r="L34" s="46">
        <v>22</v>
      </c>
      <c r="M34" s="46">
        <v>25</v>
      </c>
      <c r="N34" s="46">
        <v>25</v>
      </c>
      <c r="O34" s="46">
        <v>45</v>
      </c>
      <c r="P34" s="46">
        <v>42</v>
      </c>
      <c r="Q34" s="46">
        <v>31</v>
      </c>
      <c r="R34" s="46">
        <v>34</v>
      </c>
      <c r="S34" s="46">
        <v>43</v>
      </c>
      <c r="T34" s="46">
        <v>45</v>
      </c>
      <c r="U34" s="46">
        <v>30</v>
      </c>
      <c r="V34" s="46">
        <v>38</v>
      </c>
      <c r="W34" s="46">
        <v>66</v>
      </c>
      <c r="X34" s="46">
        <v>48</v>
      </c>
      <c r="Y34" s="46">
        <v>69</v>
      </c>
      <c r="Z34" s="1">
        <v>67</v>
      </c>
      <c r="AA34" s="1">
        <v>78</v>
      </c>
      <c r="AB34" s="1">
        <v>80</v>
      </c>
      <c r="AC34" s="1">
        <v>99</v>
      </c>
      <c r="AD34" s="1">
        <v>108</v>
      </c>
      <c r="AE34" s="57">
        <v>12</v>
      </c>
      <c r="AF34" s="46"/>
      <c r="AG34" s="46"/>
      <c r="AH34" s="46">
        <v>19</v>
      </c>
      <c r="AI34" s="46">
        <v>31</v>
      </c>
      <c r="AJ34" s="46">
        <v>23</v>
      </c>
      <c r="AK34" s="46">
        <v>29</v>
      </c>
      <c r="AL34" s="46">
        <v>63</v>
      </c>
      <c r="AM34" s="46">
        <v>64</v>
      </c>
      <c r="AN34" s="46">
        <v>87</v>
      </c>
      <c r="AO34" s="46">
        <v>59</v>
      </c>
      <c r="AP34" s="46">
        <v>54</v>
      </c>
      <c r="AQ34" s="46">
        <v>32</v>
      </c>
      <c r="AR34" s="46">
        <v>44</v>
      </c>
      <c r="AS34" s="46">
        <v>42</v>
      </c>
      <c r="AT34" s="46">
        <v>36</v>
      </c>
      <c r="AU34" s="46">
        <v>27</v>
      </c>
      <c r="AV34" s="46">
        <v>22</v>
      </c>
      <c r="AW34" s="46">
        <v>52</v>
      </c>
      <c r="AX34" s="1">
        <v>49</v>
      </c>
      <c r="AY34" s="1">
        <v>32</v>
      </c>
      <c r="AZ34" s="1">
        <v>33</v>
      </c>
      <c r="BA34" s="1">
        <v>40</v>
      </c>
      <c r="BB34" s="1">
        <v>35</v>
      </c>
      <c r="BC34" s="1">
        <v>28</v>
      </c>
      <c r="BD34" s="1">
        <v>56</v>
      </c>
      <c r="BE34" s="1">
        <v>51</v>
      </c>
      <c r="BF34" s="1">
        <v>80</v>
      </c>
      <c r="BG34" s="1">
        <v>102</v>
      </c>
    </row>
    <row r="35" spans="1:59">
      <c r="A35" s="42" t="s">
        <v>47</v>
      </c>
      <c r="B35" s="57">
        <v>9</v>
      </c>
      <c r="C35" s="46"/>
      <c r="D35" s="46"/>
      <c r="E35" s="46">
        <v>10</v>
      </c>
      <c r="F35" s="46">
        <v>12</v>
      </c>
      <c r="G35" s="46">
        <v>12</v>
      </c>
      <c r="H35" s="46">
        <v>7</v>
      </c>
      <c r="I35" s="46">
        <v>7</v>
      </c>
      <c r="J35" s="46">
        <v>18</v>
      </c>
      <c r="K35" s="46">
        <v>7</v>
      </c>
      <c r="L35" s="46">
        <v>23</v>
      </c>
      <c r="M35" s="46">
        <v>21</v>
      </c>
      <c r="N35" s="46">
        <v>17</v>
      </c>
      <c r="O35" s="46">
        <v>14</v>
      </c>
      <c r="P35" s="46">
        <v>19</v>
      </c>
      <c r="Q35" s="46">
        <v>19</v>
      </c>
      <c r="R35" s="46">
        <v>17</v>
      </c>
      <c r="S35" s="46">
        <v>21</v>
      </c>
      <c r="T35" s="46">
        <v>18</v>
      </c>
      <c r="U35" s="46">
        <v>25</v>
      </c>
      <c r="V35" s="46">
        <v>19</v>
      </c>
      <c r="W35" s="46">
        <v>32</v>
      </c>
      <c r="X35" s="46">
        <v>34</v>
      </c>
      <c r="Y35" s="46">
        <v>37</v>
      </c>
      <c r="Z35" s="1">
        <v>31</v>
      </c>
      <c r="AA35" s="1">
        <v>28</v>
      </c>
      <c r="AB35" s="1">
        <v>39</v>
      </c>
      <c r="AC35" s="1">
        <v>41</v>
      </c>
      <c r="AD35" s="1">
        <v>39</v>
      </c>
      <c r="AE35" s="57">
        <v>6</v>
      </c>
      <c r="AF35" s="46"/>
      <c r="AG35" s="46"/>
      <c r="AH35" s="46">
        <v>5</v>
      </c>
      <c r="AI35" s="46">
        <v>12</v>
      </c>
      <c r="AJ35" s="46">
        <v>8</v>
      </c>
      <c r="AK35" s="46">
        <v>10</v>
      </c>
      <c r="AL35" s="46">
        <v>8</v>
      </c>
      <c r="AM35" s="46">
        <v>10</v>
      </c>
      <c r="AN35" s="46">
        <v>12</v>
      </c>
      <c r="AO35" s="46">
        <v>5</v>
      </c>
      <c r="AP35" s="46">
        <v>3</v>
      </c>
      <c r="AQ35" s="46">
        <v>6</v>
      </c>
      <c r="AR35" s="46">
        <v>4</v>
      </c>
      <c r="AS35" s="46">
        <v>3</v>
      </c>
      <c r="AT35" s="46">
        <v>2</v>
      </c>
      <c r="AU35" s="46">
        <v>2</v>
      </c>
      <c r="AV35" s="46">
        <v>3</v>
      </c>
      <c r="AW35" s="46">
        <v>4</v>
      </c>
      <c r="AX35" s="1">
        <v>2</v>
      </c>
      <c r="AY35" s="1">
        <v>3</v>
      </c>
      <c r="AZ35" s="1">
        <v>8</v>
      </c>
      <c r="BA35" s="1">
        <v>2</v>
      </c>
      <c r="BB35" s="1">
        <v>7</v>
      </c>
      <c r="BC35" s="1">
        <v>8</v>
      </c>
      <c r="BD35" s="1">
        <v>9</v>
      </c>
      <c r="BE35" s="1">
        <v>6</v>
      </c>
      <c r="BF35" s="1">
        <v>3</v>
      </c>
      <c r="BG35" s="1">
        <v>1</v>
      </c>
    </row>
    <row r="36" spans="1:59">
      <c r="A36" s="42" t="s">
        <v>48</v>
      </c>
      <c r="B36" s="57">
        <v>6</v>
      </c>
      <c r="C36" s="46"/>
      <c r="D36" s="46"/>
      <c r="E36" s="46">
        <v>23</v>
      </c>
      <c r="F36" s="46">
        <v>22</v>
      </c>
      <c r="G36" s="46">
        <v>40</v>
      </c>
      <c r="H36" s="46">
        <v>34</v>
      </c>
      <c r="I36" s="46">
        <v>28</v>
      </c>
      <c r="J36" s="46">
        <v>42</v>
      </c>
      <c r="K36" s="46">
        <v>38</v>
      </c>
      <c r="L36" s="46">
        <v>50</v>
      </c>
      <c r="M36" s="46">
        <v>35</v>
      </c>
      <c r="N36" s="46">
        <v>46</v>
      </c>
      <c r="O36" s="46">
        <v>43</v>
      </c>
      <c r="P36" s="46">
        <v>52</v>
      </c>
      <c r="Q36" s="46">
        <v>42</v>
      </c>
      <c r="R36" s="46">
        <v>51</v>
      </c>
      <c r="S36" s="46">
        <v>45</v>
      </c>
      <c r="T36" s="46">
        <v>48</v>
      </c>
      <c r="U36" s="46">
        <v>40</v>
      </c>
      <c r="V36" s="46">
        <v>56</v>
      </c>
      <c r="W36" s="46">
        <v>62</v>
      </c>
      <c r="X36" s="46">
        <v>141</v>
      </c>
      <c r="Y36" s="46">
        <v>59</v>
      </c>
      <c r="Z36" s="1">
        <v>72</v>
      </c>
      <c r="AA36" s="1">
        <v>77</v>
      </c>
      <c r="AB36" s="1">
        <v>70</v>
      </c>
      <c r="AC36" s="1">
        <v>82</v>
      </c>
      <c r="AD36" s="1">
        <v>88</v>
      </c>
      <c r="AE36" s="57">
        <v>2</v>
      </c>
      <c r="AF36" s="46"/>
      <c r="AG36" s="46"/>
      <c r="AH36" s="46">
        <v>9</v>
      </c>
      <c r="AI36" s="46">
        <v>7</v>
      </c>
      <c r="AJ36" s="46">
        <v>9</v>
      </c>
      <c r="AK36" s="46">
        <v>7</v>
      </c>
      <c r="AL36" s="46">
        <v>13</v>
      </c>
      <c r="AM36" s="46">
        <v>3</v>
      </c>
      <c r="AN36" s="46">
        <v>2</v>
      </c>
      <c r="AO36" s="46">
        <v>18</v>
      </c>
      <c r="AP36" s="46">
        <v>21</v>
      </c>
      <c r="AQ36" s="46">
        <v>13</v>
      </c>
      <c r="AR36" s="46">
        <v>24</v>
      </c>
      <c r="AS36" s="46">
        <v>28</v>
      </c>
      <c r="AT36" s="46">
        <v>28</v>
      </c>
      <c r="AU36" s="46">
        <v>23</v>
      </c>
      <c r="AV36" s="46">
        <v>26</v>
      </c>
      <c r="AW36" s="46">
        <v>32</v>
      </c>
      <c r="AX36" s="1">
        <v>42</v>
      </c>
      <c r="AY36" s="1">
        <v>26</v>
      </c>
      <c r="AZ36" s="1">
        <v>19</v>
      </c>
      <c r="BA36" s="1">
        <v>21</v>
      </c>
      <c r="BB36" s="1">
        <v>24</v>
      </c>
      <c r="BC36" s="1">
        <v>24</v>
      </c>
      <c r="BD36" s="1">
        <v>24</v>
      </c>
      <c r="BE36" s="1">
        <v>23</v>
      </c>
      <c r="BF36" s="1">
        <v>30</v>
      </c>
      <c r="BG36" s="1">
        <v>27</v>
      </c>
    </row>
    <row r="37" spans="1:59">
      <c r="A37" s="47" t="s">
        <v>49</v>
      </c>
      <c r="B37" s="58">
        <v>0</v>
      </c>
      <c r="C37" s="48"/>
      <c r="D37" s="48"/>
      <c r="E37" s="48">
        <v>3</v>
      </c>
      <c r="F37" s="48">
        <v>1</v>
      </c>
      <c r="G37" s="48"/>
      <c r="H37" s="48">
        <v>2</v>
      </c>
      <c r="I37" s="48">
        <v>2</v>
      </c>
      <c r="J37" s="48">
        <v>5</v>
      </c>
      <c r="K37" s="48">
        <v>1</v>
      </c>
      <c r="L37" s="48">
        <v>3</v>
      </c>
      <c r="M37" s="48">
        <v>6</v>
      </c>
      <c r="N37" s="48">
        <v>2</v>
      </c>
      <c r="O37" s="48">
        <v>3</v>
      </c>
      <c r="P37" s="48">
        <v>5</v>
      </c>
      <c r="Q37" s="48">
        <v>2</v>
      </c>
      <c r="R37" s="48">
        <v>3</v>
      </c>
      <c r="S37" s="48">
        <v>6</v>
      </c>
      <c r="T37" s="48">
        <v>4</v>
      </c>
      <c r="U37" s="48">
        <v>2</v>
      </c>
      <c r="V37" s="48">
        <v>3</v>
      </c>
      <c r="W37" s="48">
        <v>0</v>
      </c>
      <c r="X37" s="48">
        <v>6</v>
      </c>
      <c r="Y37" s="48">
        <v>5</v>
      </c>
      <c r="Z37" s="1">
        <v>1</v>
      </c>
      <c r="AA37" s="1">
        <v>4</v>
      </c>
      <c r="AB37" s="1">
        <v>10</v>
      </c>
      <c r="AC37" s="1">
        <v>5</v>
      </c>
      <c r="AD37" s="1">
        <v>7</v>
      </c>
      <c r="AE37" s="58">
        <v>0</v>
      </c>
      <c r="AF37" s="48"/>
      <c r="AG37" s="48"/>
      <c r="AH37" s="48">
        <v>0</v>
      </c>
      <c r="AI37" s="48">
        <v>0</v>
      </c>
      <c r="AJ37" s="48"/>
      <c r="AK37" s="48">
        <v>0</v>
      </c>
      <c r="AL37" s="48">
        <v>0</v>
      </c>
      <c r="AM37" s="48">
        <v>0</v>
      </c>
      <c r="AN37" s="48">
        <v>0</v>
      </c>
      <c r="AO37" s="48">
        <v>0</v>
      </c>
      <c r="AP37" s="48">
        <v>3</v>
      </c>
      <c r="AQ37" s="48">
        <v>2</v>
      </c>
      <c r="AR37" s="48">
        <v>2</v>
      </c>
      <c r="AS37" s="48"/>
      <c r="AT37" s="48">
        <v>1</v>
      </c>
      <c r="AU37" s="48">
        <v>4</v>
      </c>
      <c r="AV37" s="48">
        <v>2</v>
      </c>
      <c r="AW37" s="48">
        <v>3</v>
      </c>
      <c r="AX37" s="1">
        <v>1</v>
      </c>
      <c r="AY37" s="1">
        <v>1</v>
      </c>
      <c r="AZ37" s="1">
        <v>3</v>
      </c>
      <c r="BA37" s="1">
        <v>3</v>
      </c>
      <c r="BB37" s="1">
        <v>2</v>
      </c>
      <c r="BC37" s="1">
        <v>3</v>
      </c>
      <c r="BD37" s="1">
        <v>2</v>
      </c>
      <c r="BE37" s="1">
        <v>4</v>
      </c>
      <c r="BF37" s="1">
        <v>1</v>
      </c>
      <c r="BG37" s="1">
        <v>1</v>
      </c>
    </row>
    <row r="38" spans="1:59">
      <c r="A38" s="42" t="s">
        <v>50</v>
      </c>
      <c r="B38" s="55">
        <f t="shared" ref="B38:AV38" si="18">SUM(B40:B51)</f>
        <v>370</v>
      </c>
      <c r="C38" s="43">
        <f t="shared" si="18"/>
        <v>0</v>
      </c>
      <c r="D38" s="43">
        <f t="shared" si="18"/>
        <v>0</v>
      </c>
      <c r="E38" s="43">
        <f t="shared" si="18"/>
        <v>473</v>
      </c>
      <c r="F38" s="43">
        <f t="shared" si="18"/>
        <v>546</v>
      </c>
      <c r="G38" s="43">
        <f t="shared" si="18"/>
        <v>500</v>
      </c>
      <c r="H38" s="43">
        <f t="shared" si="18"/>
        <v>513</v>
      </c>
      <c r="I38" s="43">
        <f t="shared" si="18"/>
        <v>564</v>
      </c>
      <c r="J38" s="43">
        <f t="shared" si="18"/>
        <v>546</v>
      </c>
      <c r="K38" s="43">
        <f t="shared" si="18"/>
        <v>574</v>
      </c>
      <c r="L38" s="43">
        <f t="shared" si="18"/>
        <v>610</v>
      </c>
      <c r="M38" s="43">
        <f t="shared" si="18"/>
        <v>606</v>
      </c>
      <c r="N38" s="43">
        <f t="shared" si="18"/>
        <v>600</v>
      </c>
      <c r="O38" s="43">
        <f t="shared" si="18"/>
        <v>637</v>
      </c>
      <c r="P38" s="43">
        <f t="shared" si="18"/>
        <v>678</v>
      </c>
      <c r="Q38" s="43">
        <f t="shared" si="18"/>
        <v>699</v>
      </c>
      <c r="R38" s="43">
        <f t="shared" si="18"/>
        <v>732</v>
      </c>
      <c r="S38" s="43">
        <f t="shared" si="18"/>
        <v>790</v>
      </c>
      <c r="T38" s="43">
        <f>SUM(T40:T51)</f>
        <v>800</v>
      </c>
      <c r="U38" s="43">
        <f>SUM(U40:U51)</f>
        <v>937</v>
      </c>
      <c r="V38" s="43">
        <f>SUM(V40:V51)</f>
        <v>912</v>
      </c>
      <c r="W38" s="43">
        <f>SUM(W40:W51)</f>
        <v>1014</v>
      </c>
      <c r="X38" s="43">
        <f t="shared" ref="X38:AA38" si="19">SUM(X40:X51)</f>
        <v>1071</v>
      </c>
      <c r="Y38" s="43">
        <f t="shared" si="19"/>
        <v>1034</v>
      </c>
      <c r="Z38" s="43">
        <f t="shared" si="19"/>
        <v>1107</v>
      </c>
      <c r="AA38" s="43">
        <f t="shared" si="19"/>
        <v>1204</v>
      </c>
      <c r="AB38" s="43">
        <f>SUM(AB40:AB51)</f>
        <v>1347</v>
      </c>
      <c r="AC38" s="43">
        <f>SUM(AC40:AC51)</f>
        <v>1387</v>
      </c>
      <c r="AD38" s="43">
        <f>SUM(AD40:AD51)</f>
        <v>1425</v>
      </c>
      <c r="AE38" s="55">
        <f t="shared" si="18"/>
        <v>231</v>
      </c>
      <c r="AF38" s="43">
        <f t="shared" si="18"/>
        <v>0</v>
      </c>
      <c r="AG38" s="43">
        <f t="shared" si="18"/>
        <v>0</v>
      </c>
      <c r="AH38" s="43">
        <f t="shared" si="18"/>
        <v>469</v>
      </c>
      <c r="AI38" s="43">
        <f t="shared" si="18"/>
        <v>529</v>
      </c>
      <c r="AJ38" s="43">
        <f t="shared" si="18"/>
        <v>450</v>
      </c>
      <c r="AK38" s="43">
        <f t="shared" si="18"/>
        <v>518</v>
      </c>
      <c r="AL38" s="43">
        <f t="shared" si="18"/>
        <v>516</v>
      </c>
      <c r="AM38" s="43">
        <f t="shared" si="18"/>
        <v>527</v>
      </c>
      <c r="AN38" s="43">
        <f t="shared" si="18"/>
        <v>555</v>
      </c>
      <c r="AO38" s="43">
        <f t="shared" si="18"/>
        <v>576</v>
      </c>
      <c r="AP38" s="43">
        <f t="shared" si="18"/>
        <v>513</v>
      </c>
      <c r="AQ38" s="43">
        <f t="shared" si="18"/>
        <v>577</v>
      </c>
      <c r="AR38" s="43">
        <f t="shared" si="18"/>
        <v>588</v>
      </c>
      <c r="AS38" s="43">
        <f t="shared" si="18"/>
        <v>494</v>
      </c>
      <c r="AT38" s="43">
        <f t="shared" si="18"/>
        <v>490</v>
      </c>
      <c r="AU38" s="43">
        <f t="shared" si="18"/>
        <v>590</v>
      </c>
      <c r="AV38" s="43">
        <f t="shared" si="18"/>
        <v>558</v>
      </c>
      <c r="AW38" s="43">
        <f>SUM(AW40:AW51)</f>
        <v>554</v>
      </c>
      <c r="AX38" s="43">
        <f>SUM(AX40:AX51)</f>
        <v>571</v>
      </c>
      <c r="AY38" s="43">
        <f>SUM(AY40:AY51)</f>
        <v>661</v>
      </c>
      <c r="AZ38" s="43">
        <f>SUM(AZ40:AZ51)</f>
        <v>682</v>
      </c>
      <c r="BA38" s="43">
        <f t="shared" ref="BA38:BD38" si="20">SUM(BA40:BA51)</f>
        <v>685</v>
      </c>
      <c r="BB38" s="43">
        <f t="shared" si="20"/>
        <v>728</v>
      </c>
      <c r="BC38" s="43">
        <f t="shared" si="20"/>
        <v>717</v>
      </c>
      <c r="BD38" s="43">
        <f t="shared" si="20"/>
        <v>770</v>
      </c>
      <c r="BE38" s="43">
        <f>SUM(BE40:BE51)</f>
        <v>809</v>
      </c>
      <c r="BF38" s="43">
        <f>SUM(BF40:BF51)</f>
        <v>839</v>
      </c>
      <c r="BG38" s="43">
        <f>SUM(BG40:BG51)</f>
        <v>728</v>
      </c>
    </row>
    <row r="39" spans="1:59">
      <c r="A39" s="44" t="s">
        <v>131</v>
      </c>
      <c r="B39" s="56">
        <f t="shared" ref="B39:AV39" si="21">(B38/B4)*100</f>
        <v>18.5</v>
      </c>
      <c r="C39" s="45">
        <f t="shared" si="21"/>
        <v>0</v>
      </c>
      <c r="D39" s="45">
        <f t="shared" si="21"/>
        <v>0</v>
      </c>
      <c r="E39" s="45">
        <f t="shared" si="21"/>
        <v>16.79091231806887</v>
      </c>
      <c r="F39" s="45">
        <f t="shared" si="21"/>
        <v>18.527315914489311</v>
      </c>
      <c r="G39" s="45">
        <f t="shared" si="21"/>
        <v>16.463615409944023</v>
      </c>
      <c r="H39" s="45">
        <f t="shared" si="21"/>
        <v>16.234177215189874</v>
      </c>
      <c r="I39" s="45">
        <f t="shared" si="21"/>
        <v>16.661742983751846</v>
      </c>
      <c r="J39" s="45">
        <f t="shared" si="21"/>
        <v>15.502555366269167</v>
      </c>
      <c r="K39" s="45">
        <f t="shared" si="21"/>
        <v>16.608796296296298</v>
      </c>
      <c r="L39" s="45">
        <f t="shared" si="21"/>
        <v>16.712328767123289</v>
      </c>
      <c r="M39" s="45">
        <f t="shared" si="21"/>
        <v>15.703550142523969</v>
      </c>
      <c r="N39" s="45">
        <f t="shared" si="21"/>
        <v>14.840465001236705</v>
      </c>
      <c r="O39" s="45">
        <f t="shared" si="21"/>
        <v>15.181124880838896</v>
      </c>
      <c r="P39" s="45">
        <f t="shared" si="21"/>
        <v>16.329479768786126</v>
      </c>
      <c r="Q39" s="45">
        <f t="shared" si="21"/>
        <v>16.083755177174414</v>
      </c>
      <c r="R39" s="45">
        <f t="shared" si="21"/>
        <v>16.55359565807327</v>
      </c>
      <c r="S39" s="45">
        <f t="shared" si="21"/>
        <v>16.69484361792054</v>
      </c>
      <c r="T39" s="45">
        <f>(T38/T4)*100</f>
        <v>15.458937198067632</v>
      </c>
      <c r="U39" s="45">
        <f>(U38/U4)*100</f>
        <v>16.634120362151606</v>
      </c>
      <c r="V39" s="45">
        <f>(V38/V4)*100</f>
        <v>15.343203230148047</v>
      </c>
      <c r="W39" s="45">
        <f>(W38/W4)*100</f>
        <v>15.261890427453343</v>
      </c>
      <c r="X39" s="45">
        <f t="shared" ref="X39:AA39" si="22">(X38/X4)*100</f>
        <v>15.452315683162604</v>
      </c>
      <c r="Y39" s="45">
        <f t="shared" si="22"/>
        <v>14.37908496732026</v>
      </c>
      <c r="Z39" s="45">
        <f t="shared" si="22"/>
        <v>14.967550027041643</v>
      </c>
      <c r="AA39" s="45">
        <f t="shared" si="22"/>
        <v>15.232793522267208</v>
      </c>
      <c r="AB39" s="45">
        <f>(AB38/AB4)*100</f>
        <v>15.957824902262766</v>
      </c>
      <c r="AC39" s="45">
        <f>(AC38/AC4)*100</f>
        <v>15.236735142260793</v>
      </c>
      <c r="AD39" s="45">
        <f>(AD38/AD4)*100</f>
        <v>14.651449722393583</v>
      </c>
      <c r="AE39" s="56">
        <f t="shared" si="21"/>
        <v>26.490825688073393</v>
      </c>
      <c r="AF39" s="45">
        <f t="shared" si="21"/>
        <v>0</v>
      </c>
      <c r="AG39" s="45">
        <f t="shared" si="21"/>
        <v>0</v>
      </c>
      <c r="AH39" s="45">
        <f t="shared" si="21"/>
        <v>34.947839046199704</v>
      </c>
      <c r="AI39" s="45">
        <f t="shared" si="21"/>
        <v>34.173126614987083</v>
      </c>
      <c r="AJ39" s="45">
        <f t="shared" si="21"/>
        <v>31.315240083507305</v>
      </c>
      <c r="AK39" s="45">
        <f t="shared" si="21"/>
        <v>32.153941651148358</v>
      </c>
      <c r="AL39" s="45">
        <f t="shared" si="21"/>
        <v>31.812577065351416</v>
      </c>
      <c r="AM39" s="45">
        <f t="shared" si="21"/>
        <v>32.017010935601462</v>
      </c>
      <c r="AN39" s="45">
        <f t="shared" si="21"/>
        <v>31.075027995520717</v>
      </c>
      <c r="AO39" s="45">
        <f t="shared" si="21"/>
        <v>31.118314424635336</v>
      </c>
      <c r="AP39" s="45">
        <f t="shared" si="21"/>
        <v>26.30769230769231</v>
      </c>
      <c r="AQ39" s="45">
        <f t="shared" si="21"/>
        <v>29.896373056994818</v>
      </c>
      <c r="AR39" s="45">
        <f t="shared" si="21"/>
        <v>28.908554572271388</v>
      </c>
      <c r="AS39" s="45">
        <f t="shared" si="21"/>
        <v>24.203821656050955</v>
      </c>
      <c r="AT39" s="45">
        <f t="shared" si="21"/>
        <v>24.785027819929187</v>
      </c>
      <c r="AU39" s="45">
        <f t="shared" si="21"/>
        <v>28.068506184586106</v>
      </c>
      <c r="AV39" s="45">
        <f t="shared" si="21"/>
        <v>26.698564593301437</v>
      </c>
      <c r="AW39" s="45">
        <f>(AW38/AW4)*100</f>
        <v>23.92055267702936</v>
      </c>
      <c r="AX39" s="45">
        <f>(AX38/AX4)*100</f>
        <v>22.631787554498615</v>
      </c>
      <c r="AY39" s="45">
        <f>(AY38/AY4)*100</f>
        <v>26.653225806451612</v>
      </c>
      <c r="AZ39" s="45">
        <f>(AZ38/AZ4)*100</f>
        <v>26.506024096385545</v>
      </c>
      <c r="BA39" s="45">
        <f t="shared" ref="BA39:BD39" si="23">(BA38/BA4)*100</f>
        <v>24.56958393113343</v>
      </c>
      <c r="BB39" s="45">
        <f t="shared" si="23"/>
        <v>24.396782841823057</v>
      </c>
      <c r="BC39" s="45">
        <f t="shared" si="23"/>
        <v>25.380530973451325</v>
      </c>
      <c r="BD39" s="45">
        <f t="shared" si="23"/>
        <v>24.854744996772109</v>
      </c>
      <c r="BE39" s="45">
        <f>(BE38/BE4)*100</f>
        <v>24.272427242724273</v>
      </c>
      <c r="BF39" s="45">
        <f>(BF38/BF4)*100</f>
        <v>24.446386946386948</v>
      </c>
      <c r="BG39" s="45">
        <f>(BG38/BG4)*100</f>
        <v>21.842184218421842</v>
      </c>
    </row>
    <row r="40" spans="1:59">
      <c r="A40" s="42" t="s">
        <v>51</v>
      </c>
      <c r="B40" s="57">
        <v>104</v>
      </c>
      <c r="C40" s="46"/>
      <c r="D40" s="46"/>
      <c r="E40" s="46">
        <v>138</v>
      </c>
      <c r="F40" s="46">
        <v>175</v>
      </c>
      <c r="G40" s="46">
        <v>146</v>
      </c>
      <c r="H40" s="46">
        <v>171</v>
      </c>
      <c r="I40" s="46">
        <v>196</v>
      </c>
      <c r="J40" s="46">
        <v>159</v>
      </c>
      <c r="K40" s="46">
        <v>173</v>
      </c>
      <c r="L40" s="46">
        <v>202</v>
      </c>
      <c r="M40" s="46">
        <v>232</v>
      </c>
      <c r="N40" s="46">
        <v>177</v>
      </c>
      <c r="O40" s="46">
        <v>189</v>
      </c>
      <c r="P40" s="46">
        <v>198</v>
      </c>
      <c r="Q40" s="46">
        <v>221</v>
      </c>
      <c r="R40" s="46">
        <v>217</v>
      </c>
      <c r="S40" s="46">
        <v>253</v>
      </c>
      <c r="T40" s="46">
        <v>255</v>
      </c>
      <c r="U40" s="46">
        <v>301</v>
      </c>
      <c r="V40" s="46">
        <v>295</v>
      </c>
      <c r="W40" s="46">
        <v>322</v>
      </c>
      <c r="X40" s="46">
        <v>397</v>
      </c>
      <c r="Y40" s="46">
        <v>371</v>
      </c>
      <c r="Z40" s="1">
        <v>402</v>
      </c>
      <c r="AA40" s="1">
        <v>420</v>
      </c>
      <c r="AB40" s="1">
        <v>465</v>
      </c>
      <c r="AC40" s="1">
        <v>467</v>
      </c>
      <c r="AD40" s="1">
        <v>461</v>
      </c>
      <c r="AE40" s="57">
        <v>51</v>
      </c>
      <c r="AF40" s="46"/>
      <c r="AG40" s="46"/>
      <c r="AH40" s="46">
        <v>99</v>
      </c>
      <c r="AI40" s="46">
        <v>119</v>
      </c>
      <c r="AJ40" s="46">
        <v>109</v>
      </c>
      <c r="AK40" s="46">
        <v>133</v>
      </c>
      <c r="AL40" s="46">
        <v>129</v>
      </c>
      <c r="AM40" s="46">
        <v>119</v>
      </c>
      <c r="AN40" s="46">
        <v>162</v>
      </c>
      <c r="AO40" s="46">
        <v>150</v>
      </c>
      <c r="AP40" s="46">
        <v>168</v>
      </c>
      <c r="AQ40" s="46">
        <v>207</v>
      </c>
      <c r="AR40" s="46">
        <v>151</v>
      </c>
      <c r="AS40" s="46">
        <v>116</v>
      </c>
      <c r="AT40" s="46">
        <v>138</v>
      </c>
      <c r="AU40" s="46">
        <v>142</v>
      </c>
      <c r="AV40" s="46">
        <v>120</v>
      </c>
      <c r="AW40" s="46">
        <v>120</v>
      </c>
      <c r="AX40" s="1">
        <v>96</v>
      </c>
      <c r="AY40" s="1">
        <v>110</v>
      </c>
      <c r="AZ40" s="1">
        <v>112</v>
      </c>
      <c r="BA40" s="1">
        <v>123</v>
      </c>
      <c r="BB40" s="1">
        <v>138</v>
      </c>
      <c r="BC40" s="1">
        <v>156</v>
      </c>
      <c r="BD40" s="1">
        <v>175</v>
      </c>
      <c r="BE40" s="1">
        <v>195</v>
      </c>
      <c r="BF40" s="1">
        <v>164</v>
      </c>
      <c r="BG40" s="1">
        <v>113</v>
      </c>
    </row>
    <row r="41" spans="1:59">
      <c r="A41" s="42" t="s">
        <v>52</v>
      </c>
      <c r="B41" s="57">
        <v>19</v>
      </c>
      <c r="C41" s="46"/>
      <c r="D41" s="46"/>
      <c r="E41" s="46">
        <v>22</v>
      </c>
      <c r="F41" s="46">
        <v>34</v>
      </c>
      <c r="G41" s="46">
        <v>36</v>
      </c>
      <c r="H41" s="46">
        <v>32</v>
      </c>
      <c r="I41" s="46">
        <v>42</v>
      </c>
      <c r="J41" s="46">
        <v>44</v>
      </c>
      <c r="K41" s="46">
        <v>48</v>
      </c>
      <c r="L41" s="46">
        <v>35</v>
      </c>
      <c r="M41" s="46">
        <v>42</v>
      </c>
      <c r="N41" s="46">
        <v>55</v>
      </c>
      <c r="O41" s="46">
        <v>51</v>
      </c>
      <c r="P41" s="46">
        <v>54</v>
      </c>
      <c r="Q41" s="46">
        <v>49</v>
      </c>
      <c r="R41" s="46">
        <v>65</v>
      </c>
      <c r="S41" s="46">
        <v>59</v>
      </c>
      <c r="T41" s="46">
        <v>64</v>
      </c>
      <c r="U41" s="46">
        <v>56</v>
      </c>
      <c r="V41" s="46">
        <v>72</v>
      </c>
      <c r="W41" s="46">
        <v>83</v>
      </c>
      <c r="X41" s="46">
        <v>72</v>
      </c>
      <c r="Y41" s="46">
        <v>80</v>
      </c>
      <c r="Z41" s="1">
        <v>104</v>
      </c>
      <c r="AA41" s="1">
        <v>119</v>
      </c>
      <c r="AB41" s="1">
        <v>118</v>
      </c>
      <c r="AC41" s="1">
        <v>119</v>
      </c>
      <c r="AD41" s="1">
        <v>125</v>
      </c>
      <c r="AE41" s="57">
        <v>17</v>
      </c>
      <c r="AF41" s="46"/>
      <c r="AG41" s="46"/>
      <c r="AH41" s="46">
        <v>29</v>
      </c>
      <c r="AI41" s="46">
        <v>28</v>
      </c>
      <c r="AJ41" s="46">
        <v>29</v>
      </c>
      <c r="AK41" s="46">
        <v>31</v>
      </c>
      <c r="AL41" s="46">
        <v>39</v>
      </c>
      <c r="AM41" s="46">
        <v>26</v>
      </c>
      <c r="AN41" s="46">
        <v>39</v>
      </c>
      <c r="AO41" s="46">
        <v>34</v>
      </c>
      <c r="AP41" s="46">
        <v>39</v>
      </c>
      <c r="AQ41" s="46">
        <v>31</v>
      </c>
      <c r="AR41" s="46">
        <v>43</v>
      </c>
      <c r="AS41" s="46">
        <v>23</v>
      </c>
      <c r="AT41" s="46">
        <v>34</v>
      </c>
      <c r="AU41" s="46">
        <v>50</v>
      </c>
      <c r="AV41" s="46">
        <v>33</v>
      </c>
      <c r="AW41" s="46">
        <v>38</v>
      </c>
      <c r="AX41" s="1">
        <v>44</v>
      </c>
      <c r="AY41" s="1">
        <v>51</v>
      </c>
      <c r="AZ41" s="1">
        <v>42</v>
      </c>
      <c r="BA41" s="1">
        <v>52</v>
      </c>
      <c r="BB41" s="1">
        <v>42</v>
      </c>
      <c r="BC41" s="1">
        <v>44</v>
      </c>
      <c r="BD41" s="1">
        <v>42</v>
      </c>
      <c r="BE41" s="1">
        <v>36</v>
      </c>
      <c r="BF41" s="1">
        <v>53</v>
      </c>
      <c r="BG41" s="1">
        <v>48</v>
      </c>
    </row>
    <row r="42" spans="1:59">
      <c r="A42" s="42" t="s">
        <v>53</v>
      </c>
      <c r="B42" s="57">
        <v>13</v>
      </c>
      <c r="C42" s="46"/>
      <c r="D42" s="46"/>
      <c r="E42" s="46">
        <v>38</v>
      </c>
      <c r="F42" s="46">
        <v>48</v>
      </c>
      <c r="G42" s="46">
        <v>44</v>
      </c>
      <c r="H42" s="46">
        <v>39</v>
      </c>
      <c r="I42" s="46">
        <v>27</v>
      </c>
      <c r="J42" s="46">
        <v>36</v>
      </c>
      <c r="K42" s="46">
        <v>39</v>
      </c>
      <c r="L42" s="46">
        <v>43</v>
      </c>
      <c r="M42" s="46">
        <v>41</v>
      </c>
      <c r="N42" s="46">
        <v>42</v>
      </c>
      <c r="O42" s="46">
        <v>45</v>
      </c>
      <c r="P42" s="46">
        <v>43</v>
      </c>
      <c r="Q42" s="46">
        <v>54</v>
      </c>
      <c r="R42" s="46">
        <v>54</v>
      </c>
      <c r="S42" s="46">
        <v>65</v>
      </c>
      <c r="T42" s="46">
        <v>54</v>
      </c>
      <c r="U42" s="46">
        <v>79</v>
      </c>
      <c r="V42" s="46">
        <v>65</v>
      </c>
      <c r="W42" s="46">
        <v>77</v>
      </c>
      <c r="X42" s="46">
        <v>62</v>
      </c>
      <c r="Y42" s="46">
        <v>76</v>
      </c>
      <c r="Z42" s="1">
        <v>81</v>
      </c>
      <c r="AA42" s="1">
        <v>103</v>
      </c>
      <c r="AB42" s="1">
        <v>108</v>
      </c>
      <c r="AC42" s="1">
        <v>140</v>
      </c>
      <c r="AD42" s="1">
        <v>111</v>
      </c>
      <c r="AE42" s="57">
        <v>44</v>
      </c>
      <c r="AF42" s="46"/>
      <c r="AG42" s="46"/>
      <c r="AH42" s="46">
        <v>58</v>
      </c>
      <c r="AI42" s="46">
        <v>50</v>
      </c>
      <c r="AJ42" s="46">
        <v>52</v>
      </c>
      <c r="AK42" s="46">
        <v>66</v>
      </c>
      <c r="AL42" s="46">
        <v>53</v>
      </c>
      <c r="AM42" s="46">
        <v>72</v>
      </c>
      <c r="AN42" s="46">
        <v>35</v>
      </c>
      <c r="AO42" s="46">
        <v>76</v>
      </c>
      <c r="AP42" s="46">
        <v>21</v>
      </c>
      <c r="AQ42" s="46">
        <v>23</v>
      </c>
      <c r="AR42" s="46">
        <v>16</v>
      </c>
      <c r="AS42" s="46">
        <v>15</v>
      </c>
      <c r="AT42" s="46">
        <v>10</v>
      </c>
      <c r="AU42" s="46">
        <v>11</v>
      </c>
      <c r="AV42" s="46">
        <v>8</v>
      </c>
      <c r="AW42" s="46">
        <v>17</v>
      </c>
      <c r="AX42" s="1">
        <v>6</v>
      </c>
      <c r="AY42" s="1">
        <v>22</v>
      </c>
      <c r="AZ42" s="1">
        <v>25</v>
      </c>
      <c r="BA42" s="1">
        <v>14</v>
      </c>
      <c r="BB42" s="1">
        <v>25</v>
      </c>
      <c r="BC42" s="1">
        <v>25</v>
      </c>
      <c r="BD42" s="1">
        <v>17</v>
      </c>
      <c r="BE42" s="1">
        <v>15</v>
      </c>
      <c r="BF42" s="1">
        <v>11</v>
      </c>
      <c r="BG42" s="1">
        <v>9</v>
      </c>
    </row>
    <row r="43" spans="1:59">
      <c r="A43" s="42" t="s">
        <v>54</v>
      </c>
      <c r="B43" s="57">
        <v>5</v>
      </c>
      <c r="C43" s="46"/>
      <c r="D43" s="46"/>
      <c r="E43" s="46">
        <v>25</v>
      </c>
      <c r="F43" s="46">
        <v>38</v>
      </c>
      <c r="G43" s="46">
        <v>12</v>
      </c>
      <c r="H43" s="46">
        <v>16</v>
      </c>
      <c r="I43" s="46">
        <v>19</v>
      </c>
      <c r="J43" s="46">
        <v>23</v>
      </c>
      <c r="K43" s="46">
        <v>19</v>
      </c>
      <c r="L43" s="46">
        <v>14</v>
      </c>
      <c r="M43" s="46">
        <v>21</v>
      </c>
      <c r="N43" s="46">
        <v>22</v>
      </c>
      <c r="O43" s="46">
        <v>23</v>
      </c>
      <c r="P43" s="46">
        <v>31</v>
      </c>
      <c r="Q43" s="46">
        <v>36</v>
      </c>
      <c r="R43" s="46">
        <v>24</v>
      </c>
      <c r="S43" s="46">
        <v>18</v>
      </c>
      <c r="T43" s="46">
        <v>26</v>
      </c>
      <c r="U43" s="46">
        <v>32</v>
      </c>
      <c r="V43" s="46">
        <v>34</v>
      </c>
      <c r="W43" s="46">
        <v>39</v>
      </c>
      <c r="X43" s="46">
        <v>35</v>
      </c>
      <c r="Y43" s="46">
        <v>35</v>
      </c>
      <c r="Z43" s="1">
        <v>39</v>
      </c>
      <c r="AA43" s="1">
        <v>50</v>
      </c>
      <c r="AB43" s="1">
        <v>62</v>
      </c>
      <c r="AC43" s="1">
        <v>44</v>
      </c>
      <c r="AD43" s="1">
        <v>47</v>
      </c>
      <c r="AE43" s="57">
        <v>1</v>
      </c>
      <c r="AF43" s="46"/>
      <c r="AG43" s="46"/>
      <c r="AH43" s="46">
        <v>2</v>
      </c>
      <c r="AI43" s="46">
        <v>2</v>
      </c>
      <c r="AJ43" s="46">
        <v>2</v>
      </c>
      <c r="AK43" s="46">
        <v>2</v>
      </c>
      <c r="AL43" s="46">
        <v>1</v>
      </c>
      <c r="AM43" s="46">
        <v>3</v>
      </c>
      <c r="AN43" s="46">
        <v>2</v>
      </c>
      <c r="AO43" s="46">
        <v>7</v>
      </c>
      <c r="AP43" s="46">
        <v>5</v>
      </c>
      <c r="AQ43" s="46">
        <v>9</v>
      </c>
      <c r="AR43" s="46">
        <v>4</v>
      </c>
      <c r="AS43" s="46">
        <v>7</v>
      </c>
      <c r="AT43" s="46">
        <v>10</v>
      </c>
      <c r="AU43" s="46">
        <v>14</v>
      </c>
      <c r="AV43" s="46">
        <v>12</v>
      </c>
      <c r="AW43" s="46">
        <v>8</v>
      </c>
      <c r="AX43" s="1">
        <v>16</v>
      </c>
      <c r="AY43" s="1">
        <v>10</v>
      </c>
      <c r="AZ43" s="1">
        <v>9</v>
      </c>
      <c r="BA43" s="1">
        <v>13</v>
      </c>
      <c r="BB43" s="1">
        <v>32</v>
      </c>
      <c r="BC43" s="1">
        <v>4</v>
      </c>
      <c r="BD43" s="1">
        <v>8</v>
      </c>
      <c r="BE43" s="1">
        <v>7</v>
      </c>
      <c r="BF43" s="1">
        <v>7</v>
      </c>
      <c r="BG43" s="1">
        <v>7</v>
      </c>
    </row>
    <row r="44" spans="1:59">
      <c r="A44" s="42" t="s">
        <v>55</v>
      </c>
      <c r="B44" s="57">
        <v>53</v>
      </c>
      <c r="C44" s="46"/>
      <c r="D44" s="46"/>
      <c r="E44" s="46">
        <v>61</v>
      </c>
      <c r="F44" s="46">
        <v>57</v>
      </c>
      <c r="G44" s="46">
        <v>91</v>
      </c>
      <c r="H44" s="46">
        <v>84</v>
      </c>
      <c r="I44" s="46">
        <v>59</v>
      </c>
      <c r="J44" s="46">
        <v>85</v>
      </c>
      <c r="K44" s="46">
        <v>84</v>
      </c>
      <c r="L44" s="46">
        <v>98</v>
      </c>
      <c r="M44" s="46">
        <v>81</v>
      </c>
      <c r="N44" s="46">
        <v>119</v>
      </c>
      <c r="O44" s="46">
        <v>103</v>
      </c>
      <c r="P44" s="46">
        <v>136</v>
      </c>
      <c r="Q44" s="46">
        <v>132</v>
      </c>
      <c r="R44" s="46">
        <v>143</v>
      </c>
      <c r="S44" s="46">
        <v>138</v>
      </c>
      <c r="T44" s="46">
        <v>129</v>
      </c>
      <c r="U44" s="46">
        <v>143</v>
      </c>
      <c r="V44" s="46">
        <v>142</v>
      </c>
      <c r="W44" s="46">
        <v>140</v>
      </c>
      <c r="X44" s="46">
        <v>136</v>
      </c>
      <c r="Y44" s="46">
        <v>137</v>
      </c>
      <c r="Z44" s="1">
        <v>118</v>
      </c>
      <c r="AA44" s="1">
        <v>104</v>
      </c>
      <c r="AB44" s="1">
        <v>97</v>
      </c>
      <c r="AC44" s="1">
        <v>107</v>
      </c>
      <c r="AD44" s="1">
        <v>148</v>
      </c>
      <c r="AE44" s="57">
        <v>29</v>
      </c>
      <c r="AF44" s="46"/>
      <c r="AG44" s="46"/>
      <c r="AH44" s="46">
        <v>80</v>
      </c>
      <c r="AI44" s="46">
        <v>97</v>
      </c>
      <c r="AJ44" s="46">
        <v>119</v>
      </c>
      <c r="AK44" s="46">
        <v>112</v>
      </c>
      <c r="AL44" s="46">
        <v>127</v>
      </c>
      <c r="AM44" s="46">
        <v>127</v>
      </c>
      <c r="AN44" s="46">
        <v>104</v>
      </c>
      <c r="AO44" s="46">
        <v>103</v>
      </c>
      <c r="AP44" s="46">
        <v>90</v>
      </c>
      <c r="AQ44" s="46">
        <v>134</v>
      </c>
      <c r="AR44" s="46">
        <v>160</v>
      </c>
      <c r="AS44" s="46">
        <v>157</v>
      </c>
      <c r="AT44" s="46">
        <v>145</v>
      </c>
      <c r="AU44" s="46">
        <v>174</v>
      </c>
      <c r="AV44" s="46">
        <v>163</v>
      </c>
      <c r="AW44" s="46">
        <v>157</v>
      </c>
      <c r="AX44" s="1">
        <v>183</v>
      </c>
      <c r="AY44" s="1">
        <v>183</v>
      </c>
      <c r="AZ44" s="1">
        <v>220</v>
      </c>
      <c r="BA44" s="1">
        <v>198</v>
      </c>
      <c r="BB44" s="1">
        <v>210</v>
      </c>
      <c r="BC44" s="1">
        <v>197</v>
      </c>
      <c r="BD44" s="1">
        <v>250</v>
      </c>
      <c r="BE44" s="1">
        <v>266</v>
      </c>
      <c r="BF44" s="1">
        <v>261</v>
      </c>
      <c r="BG44" s="1">
        <v>236</v>
      </c>
    </row>
    <row r="45" spans="1:59">
      <c r="A45" s="42" t="s">
        <v>56</v>
      </c>
      <c r="B45" s="57">
        <v>22</v>
      </c>
      <c r="C45" s="46"/>
      <c r="D45" s="46"/>
      <c r="E45" s="46">
        <v>26</v>
      </c>
      <c r="F45" s="46">
        <v>28</v>
      </c>
      <c r="G45" s="46">
        <v>28</v>
      </c>
      <c r="H45" s="46">
        <v>27</v>
      </c>
      <c r="I45" s="46">
        <v>32</v>
      </c>
      <c r="J45" s="46">
        <v>25</v>
      </c>
      <c r="K45" s="46">
        <v>30</v>
      </c>
      <c r="L45" s="46">
        <v>29</v>
      </c>
      <c r="M45" s="46">
        <v>28</v>
      </c>
      <c r="N45" s="46">
        <v>23</v>
      </c>
      <c r="O45" s="46">
        <v>39</v>
      </c>
      <c r="P45" s="46">
        <v>36</v>
      </c>
      <c r="Q45" s="46">
        <v>33</v>
      </c>
      <c r="R45" s="46">
        <v>50</v>
      </c>
      <c r="S45" s="46">
        <v>43</v>
      </c>
      <c r="T45" s="46">
        <v>31</v>
      </c>
      <c r="U45" s="46">
        <v>55</v>
      </c>
      <c r="V45" s="46">
        <v>49</v>
      </c>
      <c r="W45" s="46">
        <v>50</v>
      </c>
      <c r="X45" s="46">
        <v>56</v>
      </c>
      <c r="Y45" s="46">
        <v>49</v>
      </c>
      <c r="Z45" s="1">
        <v>50</v>
      </c>
      <c r="AA45" s="1">
        <v>47</v>
      </c>
      <c r="AB45" s="1">
        <v>61</v>
      </c>
      <c r="AC45" s="1">
        <v>57</v>
      </c>
      <c r="AD45" s="1">
        <v>73</v>
      </c>
      <c r="AE45" s="57">
        <v>11</v>
      </c>
      <c r="AF45" s="46"/>
      <c r="AG45" s="46"/>
      <c r="AH45" s="46">
        <v>99</v>
      </c>
      <c r="AI45" s="46">
        <v>106</v>
      </c>
      <c r="AJ45" s="46">
        <v>35</v>
      </c>
      <c r="AK45" s="46">
        <v>28</v>
      </c>
      <c r="AL45" s="46">
        <v>29</v>
      </c>
      <c r="AM45" s="46">
        <v>46</v>
      </c>
      <c r="AN45" s="46">
        <v>72</v>
      </c>
      <c r="AO45" s="46">
        <v>51</v>
      </c>
      <c r="AP45" s="46">
        <v>43</v>
      </c>
      <c r="AQ45" s="46">
        <v>31</v>
      </c>
      <c r="AR45" s="46">
        <v>31</v>
      </c>
      <c r="AS45" s="46">
        <v>29</v>
      </c>
      <c r="AT45" s="46">
        <v>31</v>
      </c>
      <c r="AU45" s="46">
        <v>30</v>
      </c>
      <c r="AV45" s="46">
        <v>31</v>
      </c>
      <c r="AW45" s="46">
        <v>44</v>
      </c>
      <c r="AX45" s="1">
        <v>47</v>
      </c>
      <c r="AY45" s="1">
        <v>54</v>
      </c>
      <c r="AZ45" s="1">
        <v>51</v>
      </c>
      <c r="BA45" s="1">
        <v>57</v>
      </c>
      <c r="BB45" s="1">
        <v>70</v>
      </c>
      <c r="BC45" s="1">
        <v>77</v>
      </c>
      <c r="BD45" s="1">
        <v>61</v>
      </c>
      <c r="BE45" s="1">
        <v>58</v>
      </c>
      <c r="BF45" s="1">
        <v>72</v>
      </c>
      <c r="BG45" s="1">
        <v>59</v>
      </c>
    </row>
    <row r="46" spans="1:59">
      <c r="A46" s="42" t="s">
        <v>57</v>
      </c>
      <c r="B46" s="57">
        <v>28</v>
      </c>
      <c r="C46" s="46"/>
      <c r="D46" s="46"/>
      <c r="E46" s="46">
        <v>34</v>
      </c>
      <c r="F46" s="46">
        <v>52</v>
      </c>
      <c r="G46" s="46">
        <v>37</v>
      </c>
      <c r="H46" s="46">
        <v>28</v>
      </c>
      <c r="I46" s="46">
        <v>45</v>
      </c>
      <c r="J46" s="46">
        <v>38</v>
      </c>
      <c r="K46" s="46">
        <v>34</v>
      </c>
      <c r="L46" s="46">
        <v>47</v>
      </c>
      <c r="M46" s="46">
        <v>56</v>
      </c>
      <c r="N46" s="46">
        <v>40</v>
      </c>
      <c r="O46" s="46">
        <v>51</v>
      </c>
      <c r="P46" s="46">
        <v>52</v>
      </c>
      <c r="Q46" s="46">
        <v>46</v>
      </c>
      <c r="R46" s="46">
        <v>45</v>
      </c>
      <c r="S46" s="46">
        <v>54</v>
      </c>
      <c r="T46" s="46">
        <v>82</v>
      </c>
      <c r="U46" s="46">
        <v>94</v>
      </c>
      <c r="V46" s="46">
        <v>76</v>
      </c>
      <c r="W46" s="46">
        <v>102</v>
      </c>
      <c r="X46" s="46">
        <v>99</v>
      </c>
      <c r="Y46" s="46">
        <v>91</v>
      </c>
      <c r="Z46" s="1">
        <v>88</v>
      </c>
      <c r="AA46" s="1">
        <v>125</v>
      </c>
      <c r="AB46" s="1">
        <v>139</v>
      </c>
      <c r="AC46" s="1">
        <v>162</v>
      </c>
      <c r="AD46" s="1">
        <v>135</v>
      </c>
      <c r="AE46" s="57">
        <v>34</v>
      </c>
      <c r="AF46" s="46"/>
      <c r="AG46" s="46"/>
      <c r="AH46" s="46">
        <v>32</v>
      </c>
      <c r="AI46" s="46">
        <v>40</v>
      </c>
      <c r="AJ46" s="46">
        <v>30</v>
      </c>
      <c r="AK46" s="46">
        <v>68</v>
      </c>
      <c r="AL46" s="46">
        <v>61</v>
      </c>
      <c r="AM46" s="46">
        <v>58</v>
      </c>
      <c r="AN46" s="46">
        <v>56</v>
      </c>
      <c r="AO46" s="46">
        <v>87</v>
      </c>
      <c r="AP46" s="46">
        <v>53</v>
      </c>
      <c r="AQ46" s="46">
        <v>65</v>
      </c>
      <c r="AR46" s="46">
        <v>80</v>
      </c>
      <c r="AS46" s="46">
        <v>66</v>
      </c>
      <c r="AT46" s="46">
        <v>43</v>
      </c>
      <c r="AU46" s="46">
        <v>85</v>
      </c>
      <c r="AV46" s="46">
        <v>105</v>
      </c>
      <c r="AW46" s="46">
        <v>95</v>
      </c>
      <c r="AX46" s="1">
        <v>86</v>
      </c>
      <c r="AY46" s="1">
        <v>108</v>
      </c>
      <c r="AZ46" s="1">
        <v>90</v>
      </c>
      <c r="BA46" s="1">
        <v>91</v>
      </c>
      <c r="BB46" s="1">
        <v>78</v>
      </c>
      <c r="BC46" s="1">
        <v>94</v>
      </c>
      <c r="BD46" s="1">
        <v>101</v>
      </c>
      <c r="BE46" s="1">
        <v>107</v>
      </c>
      <c r="BF46" s="1">
        <v>119</v>
      </c>
      <c r="BG46" s="1">
        <v>114</v>
      </c>
    </row>
    <row r="47" spans="1:59">
      <c r="A47" s="42" t="s">
        <v>58</v>
      </c>
      <c r="B47" s="57">
        <v>16</v>
      </c>
      <c r="C47" s="46"/>
      <c r="D47" s="46"/>
      <c r="E47" s="46">
        <v>23</v>
      </c>
      <c r="F47" s="46">
        <v>20</v>
      </c>
      <c r="G47" s="46">
        <v>12</v>
      </c>
      <c r="H47" s="46">
        <v>23</v>
      </c>
      <c r="I47" s="46">
        <v>29</v>
      </c>
      <c r="J47" s="46">
        <v>25</v>
      </c>
      <c r="K47" s="46">
        <v>16</v>
      </c>
      <c r="L47" s="46">
        <v>27</v>
      </c>
      <c r="M47" s="46">
        <v>13</v>
      </c>
      <c r="N47" s="46">
        <v>22</v>
      </c>
      <c r="O47" s="46">
        <v>19</v>
      </c>
      <c r="P47" s="46">
        <v>18</v>
      </c>
      <c r="Q47" s="46">
        <v>21</v>
      </c>
      <c r="R47" s="46">
        <v>22</v>
      </c>
      <c r="S47" s="46">
        <v>31</v>
      </c>
      <c r="T47" s="46">
        <v>37</v>
      </c>
      <c r="U47" s="46">
        <v>31</v>
      </c>
      <c r="V47" s="46">
        <v>24</v>
      </c>
      <c r="W47" s="46">
        <v>34</v>
      </c>
      <c r="X47" s="46">
        <v>36</v>
      </c>
      <c r="Y47" s="46">
        <v>38</v>
      </c>
      <c r="Z47" s="1">
        <v>41</v>
      </c>
      <c r="AA47" s="1">
        <v>48</v>
      </c>
      <c r="AB47" s="1">
        <v>55</v>
      </c>
      <c r="AC47" s="1">
        <v>54</v>
      </c>
      <c r="AD47" s="1">
        <v>59</v>
      </c>
      <c r="AE47" s="57">
        <v>6</v>
      </c>
      <c r="AF47" s="46"/>
      <c r="AG47" s="46"/>
      <c r="AH47" s="46">
        <v>16</v>
      </c>
      <c r="AI47" s="46">
        <v>11</v>
      </c>
      <c r="AJ47" s="46">
        <v>7</v>
      </c>
      <c r="AK47" s="46">
        <v>18</v>
      </c>
      <c r="AL47" s="46">
        <v>14</v>
      </c>
      <c r="AM47" s="46">
        <v>17</v>
      </c>
      <c r="AN47" s="46">
        <v>11</v>
      </c>
      <c r="AO47" s="46">
        <v>5</v>
      </c>
      <c r="AP47" s="46">
        <v>15</v>
      </c>
      <c r="AQ47" s="46">
        <v>14</v>
      </c>
      <c r="AR47" s="46">
        <v>15</v>
      </c>
      <c r="AS47" s="46">
        <v>8</v>
      </c>
      <c r="AT47" s="46">
        <v>4</v>
      </c>
      <c r="AU47" s="46">
        <v>8</v>
      </c>
      <c r="AV47" s="46">
        <v>2</v>
      </c>
      <c r="AW47" s="46">
        <v>1</v>
      </c>
      <c r="AX47" s="1">
        <v>8</v>
      </c>
      <c r="AY47" s="1">
        <v>7</v>
      </c>
      <c r="AZ47" s="1">
        <v>10</v>
      </c>
      <c r="BA47" s="1">
        <v>9</v>
      </c>
      <c r="BB47" s="1">
        <v>10</v>
      </c>
      <c r="BC47" s="1">
        <v>17</v>
      </c>
      <c r="BD47" s="1">
        <v>12</v>
      </c>
      <c r="BE47" s="1">
        <v>20</v>
      </c>
      <c r="BF47" s="1">
        <v>20</v>
      </c>
      <c r="BG47" s="1">
        <v>17</v>
      </c>
    </row>
    <row r="48" spans="1:59">
      <c r="A48" s="42" t="s">
        <v>59</v>
      </c>
      <c r="B48" s="57">
        <v>0</v>
      </c>
      <c r="C48" s="46"/>
      <c r="D48" s="46"/>
      <c r="E48" s="46">
        <v>3</v>
      </c>
      <c r="F48" s="46">
        <v>2</v>
      </c>
      <c r="G48" s="46"/>
      <c r="H48" s="46">
        <v>1</v>
      </c>
      <c r="I48" s="46">
        <v>3</v>
      </c>
      <c r="J48" s="46">
        <v>0</v>
      </c>
      <c r="K48" s="46">
        <v>0</v>
      </c>
      <c r="L48" s="46">
        <v>0</v>
      </c>
      <c r="M48" s="46">
        <v>1</v>
      </c>
      <c r="N48" s="46">
        <v>0</v>
      </c>
      <c r="O48" s="46">
        <v>2</v>
      </c>
      <c r="P48" s="46">
        <v>2</v>
      </c>
      <c r="Q48" s="46">
        <v>3</v>
      </c>
      <c r="R48" s="46">
        <v>4</v>
      </c>
      <c r="S48" s="46">
        <v>2</v>
      </c>
      <c r="T48" s="46">
        <v>3</v>
      </c>
      <c r="U48" s="46">
        <v>2</v>
      </c>
      <c r="V48" s="46">
        <v>2</v>
      </c>
      <c r="W48" s="46">
        <v>1</v>
      </c>
      <c r="X48" s="46">
        <v>1</v>
      </c>
      <c r="Y48" s="46">
        <v>3</v>
      </c>
      <c r="Z48" s="1">
        <v>1</v>
      </c>
      <c r="AA48" s="1">
        <v>4</v>
      </c>
      <c r="AB48" s="1">
        <v>8</v>
      </c>
      <c r="AC48" s="1">
        <v>11</v>
      </c>
      <c r="AD48" s="1">
        <v>6</v>
      </c>
      <c r="AE48" s="57">
        <v>0</v>
      </c>
      <c r="AF48" s="46"/>
      <c r="AG48" s="46"/>
      <c r="AH48" s="46">
        <v>0</v>
      </c>
      <c r="AI48" s="46">
        <v>1</v>
      </c>
      <c r="AJ48" s="46">
        <v>7</v>
      </c>
      <c r="AK48" s="46">
        <v>6</v>
      </c>
      <c r="AL48" s="46">
        <v>6</v>
      </c>
      <c r="AM48" s="46">
        <v>7</v>
      </c>
      <c r="AN48" s="46">
        <v>1</v>
      </c>
      <c r="AO48" s="46">
        <v>4</v>
      </c>
      <c r="AP48" s="46">
        <v>5</v>
      </c>
      <c r="AQ48" s="46">
        <v>3</v>
      </c>
      <c r="AR48" s="46">
        <v>6</v>
      </c>
      <c r="AS48" s="46">
        <v>5</v>
      </c>
      <c r="AT48" s="46">
        <v>7</v>
      </c>
      <c r="AU48" s="46">
        <v>6</v>
      </c>
      <c r="AV48" s="46">
        <v>8</v>
      </c>
      <c r="AW48" s="46">
        <v>8</v>
      </c>
      <c r="AX48" s="1">
        <v>3</v>
      </c>
      <c r="AY48" s="1">
        <v>12</v>
      </c>
      <c r="AZ48" s="1">
        <v>10</v>
      </c>
      <c r="BA48" s="1">
        <v>6</v>
      </c>
      <c r="BB48" s="1">
        <v>14</v>
      </c>
      <c r="BC48" s="1">
        <v>9</v>
      </c>
      <c r="BD48" s="1">
        <v>5</v>
      </c>
      <c r="BE48" s="1">
        <v>14</v>
      </c>
      <c r="BF48" s="1">
        <v>18</v>
      </c>
      <c r="BG48" s="1">
        <v>8</v>
      </c>
    </row>
    <row r="49" spans="1:59">
      <c r="A49" s="42" t="s">
        <v>60</v>
      </c>
      <c r="B49" s="57">
        <v>93</v>
      </c>
      <c r="C49" s="46"/>
      <c r="D49" s="46"/>
      <c r="E49" s="46">
        <v>51</v>
      </c>
      <c r="F49" s="46">
        <v>45</v>
      </c>
      <c r="G49" s="46">
        <v>49</v>
      </c>
      <c r="H49" s="46">
        <v>47</v>
      </c>
      <c r="I49" s="46">
        <v>72</v>
      </c>
      <c r="J49" s="46">
        <v>61</v>
      </c>
      <c r="K49" s="46">
        <v>72</v>
      </c>
      <c r="L49" s="46">
        <v>62</v>
      </c>
      <c r="M49" s="46">
        <v>62</v>
      </c>
      <c r="N49" s="46">
        <v>58</v>
      </c>
      <c r="O49" s="46">
        <v>66</v>
      </c>
      <c r="P49" s="46">
        <v>61</v>
      </c>
      <c r="Q49" s="46">
        <v>57</v>
      </c>
      <c r="R49" s="46">
        <v>62</v>
      </c>
      <c r="S49" s="46">
        <v>74</v>
      </c>
      <c r="T49" s="46">
        <v>68</v>
      </c>
      <c r="U49" s="46">
        <v>81</v>
      </c>
      <c r="V49" s="46">
        <v>90</v>
      </c>
      <c r="W49" s="46">
        <v>109</v>
      </c>
      <c r="X49" s="46">
        <v>118</v>
      </c>
      <c r="Y49" s="46">
        <v>101</v>
      </c>
      <c r="Z49" s="1">
        <v>124</v>
      </c>
      <c r="AA49" s="1">
        <v>119</v>
      </c>
      <c r="AB49" s="1">
        <v>147</v>
      </c>
      <c r="AC49" s="1">
        <v>142</v>
      </c>
      <c r="AD49" s="1">
        <v>174</v>
      </c>
      <c r="AE49" s="57">
        <v>30</v>
      </c>
      <c r="AF49" s="46"/>
      <c r="AG49" s="46"/>
      <c r="AH49" s="46">
        <v>39</v>
      </c>
      <c r="AI49" s="46">
        <v>56</v>
      </c>
      <c r="AJ49" s="46">
        <v>44</v>
      </c>
      <c r="AK49" s="46">
        <v>29</v>
      </c>
      <c r="AL49" s="46">
        <v>38</v>
      </c>
      <c r="AM49" s="46">
        <v>28</v>
      </c>
      <c r="AN49" s="46">
        <v>48</v>
      </c>
      <c r="AO49" s="46">
        <v>36</v>
      </c>
      <c r="AP49" s="46">
        <v>54</v>
      </c>
      <c r="AQ49" s="46">
        <v>40</v>
      </c>
      <c r="AR49" s="46">
        <v>63</v>
      </c>
      <c r="AS49" s="46">
        <v>45</v>
      </c>
      <c r="AT49" s="46">
        <v>52</v>
      </c>
      <c r="AU49" s="46">
        <v>58</v>
      </c>
      <c r="AV49" s="46">
        <v>67</v>
      </c>
      <c r="AW49" s="46">
        <v>56</v>
      </c>
      <c r="AX49" s="1">
        <v>67</v>
      </c>
      <c r="AY49" s="1">
        <v>86</v>
      </c>
      <c r="AZ49" s="1">
        <v>103</v>
      </c>
      <c r="BA49" s="1">
        <v>99</v>
      </c>
      <c r="BB49" s="1">
        <v>98</v>
      </c>
      <c r="BC49" s="1">
        <v>77</v>
      </c>
      <c r="BD49" s="1">
        <v>81</v>
      </c>
      <c r="BE49" s="1">
        <v>80</v>
      </c>
      <c r="BF49" s="1">
        <v>91</v>
      </c>
      <c r="BG49" s="1">
        <v>92</v>
      </c>
    </row>
    <row r="50" spans="1:59">
      <c r="A50" s="42" t="s">
        <v>61</v>
      </c>
      <c r="B50" s="57">
        <v>0</v>
      </c>
      <c r="C50" s="46"/>
      <c r="D50" s="46"/>
      <c r="E50" s="46">
        <v>0</v>
      </c>
      <c r="F50" s="46">
        <v>1</v>
      </c>
      <c r="G50" s="46">
        <v>1</v>
      </c>
      <c r="H50" s="46">
        <v>0</v>
      </c>
      <c r="I50" s="46">
        <v>0</v>
      </c>
      <c r="J50" s="46">
        <v>1</v>
      </c>
      <c r="K50" s="46">
        <v>1</v>
      </c>
      <c r="L50" s="46">
        <v>2</v>
      </c>
      <c r="M50" s="46">
        <v>0</v>
      </c>
      <c r="N50" s="46">
        <v>2</v>
      </c>
      <c r="O50" s="46">
        <v>2</v>
      </c>
      <c r="P50" s="46">
        <v>1</v>
      </c>
      <c r="Q50" s="46">
        <v>1</v>
      </c>
      <c r="R50" s="46">
        <v>3</v>
      </c>
      <c r="S50" s="46">
        <v>0</v>
      </c>
      <c r="T50" s="46">
        <v>0</v>
      </c>
      <c r="U50" s="46">
        <v>1</v>
      </c>
      <c r="V50" s="46">
        <v>1</v>
      </c>
      <c r="W50" s="46">
        <v>1</v>
      </c>
      <c r="X50" s="46">
        <v>1</v>
      </c>
      <c r="Y50" s="46">
        <v>2</v>
      </c>
      <c r="Z50" s="1">
        <v>3</v>
      </c>
      <c r="AA50" s="1">
        <v>3</v>
      </c>
      <c r="AB50" s="1">
        <v>5</v>
      </c>
      <c r="AC50" s="1">
        <v>2</v>
      </c>
      <c r="AD50" s="1">
        <v>5</v>
      </c>
      <c r="AE50" s="57">
        <v>1</v>
      </c>
      <c r="AF50" s="46"/>
      <c r="AG50" s="46"/>
      <c r="AH50" s="46">
        <v>2</v>
      </c>
      <c r="AI50" s="46">
        <v>3</v>
      </c>
      <c r="AJ50" s="46">
        <v>2</v>
      </c>
      <c r="AK50" s="46">
        <v>0</v>
      </c>
      <c r="AL50" s="46">
        <v>3</v>
      </c>
      <c r="AM50" s="46">
        <v>2</v>
      </c>
      <c r="AN50" s="46">
        <v>1</v>
      </c>
      <c r="AO50" s="46">
        <v>0</v>
      </c>
      <c r="AP50" s="46">
        <v>2</v>
      </c>
      <c r="AQ50" s="46">
        <v>2</v>
      </c>
      <c r="AR50" s="46">
        <v>2</v>
      </c>
      <c r="AS50" s="46">
        <v>1</v>
      </c>
      <c r="AT50" s="46">
        <v>2</v>
      </c>
      <c r="AU50" s="46">
        <v>0</v>
      </c>
      <c r="AV50" s="46">
        <v>0</v>
      </c>
      <c r="AW50" s="46">
        <v>1</v>
      </c>
      <c r="AX50" s="1">
        <v>1</v>
      </c>
      <c r="AY50" s="1">
        <v>0</v>
      </c>
      <c r="AZ50" s="1">
        <v>0</v>
      </c>
      <c r="BA50" s="1">
        <v>3</v>
      </c>
      <c r="BB50" s="1">
        <v>2</v>
      </c>
      <c r="BC50" s="1">
        <v>1</v>
      </c>
      <c r="BD50" s="1">
        <v>1</v>
      </c>
      <c r="BE50" s="1">
        <v>1</v>
      </c>
      <c r="BF50" s="1">
        <v>2</v>
      </c>
      <c r="BG50" s="1">
        <v>9</v>
      </c>
    </row>
    <row r="51" spans="1:59">
      <c r="A51" s="47" t="s">
        <v>62</v>
      </c>
      <c r="B51" s="58">
        <v>17</v>
      </c>
      <c r="C51" s="48"/>
      <c r="D51" s="48"/>
      <c r="E51" s="48">
        <v>52</v>
      </c>
      <c r="F51" s="48">
        <v>46</v>
      </c>
      <c r="G51" s="48">
        <v>44</v>
      </c>
      <c r="H51" s="48">
        <v>45</v>
      </c>
      <c r="I51" s="48">
        <v>40</v>
      </c>
      <c r="J51" s="48">
        <v>49</v>
      </c>
      <c r="K51" s="48">
        <v>58</v>
      </c>
      <c r="L51" s="48">
        <v>51</v>
      </c>
      <c r="M51" s="48">
        <v>29</v>
      </c>
      <c r="N51" s="48">
        <v>40</v>
      </c>
      <c r="O51" s="48">
        <v>47</v>
      </c>
      <c r="P51" s="48">
        <v>46</v>
      </c>
      <c r="Q51" s="48">
        <v>46</v>
      </c>
      <c r="R51" s="48">
        <v>43</v>
      </c>
      <c r="S51" s="48">
        <v>53</v>
      </c>
      <c r="T51" s="48">
        <v>51</v>
      </c>
      <c r="U51" s="48">
        <v>62</v>
      </c>
      <c r="V51" s="48">
        <v>62</v>
      </c>
      <c r="W51" s="48">
        <v>56</v>
      </c>
      <c r="X51" s="48">
        <v>58</v>
      </c>
      <c r="Y51" s="48">
        <v>51</v>
      </c>
      <c r="Z51" s="1">
        <v>56</v>
      </c>
      <c r="AA51" s="1">
        <v>62</v>
      </c>
      <c r="AB51" s="1">
        <v>82</v>
      </c>
      <c r="AC51" s="1">
        <v>82</v>
      </c>
      <c r="AD51" s="1">
        <v>81</v>
      </c>
      <c r="AE51" s="58">
        <v>7</v>
      </c>
      <c r="AF51" s="48"/>
      <c r="AG51" s="48"/>
      <c r="AH51" s="48">
        <v>13</v>
      </c>
      <c r="AI51" s="48">
        <v>16</v>
      </c>
      <c r="AJ51" s="48">
        <v>14</v>
      </c>
      <c r="AK51" s="48">
        <v>25</v>
      </c>
      <c r="AL51" s="48">
        <v>16</v>
      </c>
      <c r="AM51" s="48">
        <v>22</v>
      </c>
      <c r="AN51" s="48">
        <v>24</v>
      </c>
      <c r="AO51" s="48">
        <v>23</v>
      </c>
      <c r="AP51" s="48">
        <v>18</v>
      </c>
      <c r="AQ51" s="48">
        <v>18</v>
      </c>
      <c r="AR51" s="48">
        <v>17</v>
      </c>
      <c r="AS51" s="48">
        <v>22</v>
      </c>
      <c r="AT51" s="48">
        <v>14</v>
      </c>
      <c r="AU51" s="48">
        <v>12</v>
      </c>
      <c r="AV51" s="48">
        <v>9</v>
      </c>
      <c r="AW51" s="48">
        <v>9</v>
      </c>
      <c r="AX51" s="1">
        <v>14</v>
      </c>
      <c r="AY51" s="1">
        <v>18</v>
      </c>
      <c r="AZ51" s="1">
        <v>10</v>
      </c>
      <c r="BA51" s="1">
        <v>20</v>
      </c>
      <c r="BB51" s="1">
        <v>9</v>
      </c>
      <c r="BC51" s="1">
        <v>16</v>
      </c>
      <c r="BD51" s="1">
        <v>17</v>
      </c>
      <c r="BE51" s="1">
        <v>10</v>
      </c>
      <c r="BF51" s="1">
        <v>21</v>
      </c>
      <c r="BG51" s="1">
        <v>16</v>
      </c>
    </row>
    <row r="52" spans="1:59">
      <c r="A52" s="42" t="s">
        <v>63</v>
      </c>
      <c r="B52" s="55">
        <f t="shared" ref="B52:AV52" si="24">SUM(B54:B62)</f>
        <v>445</v>
      </c>
      <c r="C52" s="43">
        <f t="shared" si="24"/>
        <v>0</v>
      </c>
      <c r="D52" s="43">
        <f t="shared" si="24"/>
        <v>0</v>
      </c>
      <c r="E52" s="43">
        <f t="shared" si="24"/>
        <v>658</v>
      </c>
      <c r="F52" s="43">
        <f t="shared" si="24"/>
        <v>650</v>
      </c>
      <c r="G52" s="43">
        <f t="shared" si="24"/>
        <v>716</v>
      </c>
      <c r="H52" s="43">
        <f t="shared" si="24"/>
        <v>773</v>
      </c>
      <c r="I52" s="43">
        <f t="shared" si="24"/>
        <v>766</v>
      </c>
      <c r="J52" s="43">
        <f t="shared" si="24"/>
        <v>807</v>
      </c>
      <c r="K52" s="43">
        <f t="shared" si="24"/>
        <v>814</v>
      </c>
      <c r="L52" s="43">
        <f t="shared" si="24"/>
        <v>764</v>
      </c>
      <c r="M52" s="43">
        <f t="shared" si="24"/>
        <v>893</v>
      </c>
      <c r="N52" s="43">
        <f t="shared" si="24"/>
        <v>960</v>
      </c>
      <c r="O52" s="43">
        <f t="shared" si="24"/>
        <v>937</v>
      </c>
      <c r="P52" s="43">
        <f t="shared" si="24"/>
        <v>911</v>
      </c>
      <c r="Q52" s="43">
        <f t="shared" si="24"/>
        <v>968</v>
      </c>
      <c r="R52" s="43">
        <f t="shared" si="24"/>
        <v>984</v>
      </c>
      <c r="S52" s="43">
        <f t="shared" si="24"/>
        <v>1028</v>
      </c>
      <c r="T52" s="43">
        <f>SUM(T54:T62)</f>
        <v>1067</v>
      </c>
      <c r="U52" s="43">
        <f>SUM(U54:U62)</f>
        <v>1180</v>
      </c>
      <c r="V52" s="43">
        <f>SUM(V54:V62)</f>
        <v>1282</v>
      </c>
      <c r="W52" s="43">
        <f>SUM(W54:W62)</f>
        <v>1332</v>
      </c>
      <c r="X52" s="43">
        <f t="shared" ref="X52:AA52" si="25">SUM(X54:X62)</f>
        <v>1463</v>
      </c>
      <c r="Y52" s="43">
        <f t="shared" si="25"/>
        <v>1477</v>
      </c>
      <c r="Z52" s="43">
        <f t="shared" si="25"/>
        <v>1486</v>
      </c>
      <c r="AA52" s="43">
        <f t="shared" si="25"/>
        <v>1552</v>
      </c>
      <c r="AB52" s="43">
        <f>SUM(AB54:AB62)</f>
        <v>1678</v>
      </c>
      <c r="AC52" s="43">
        <f>SUM(AC54:AC62)</f>
        <v>1815</v>
      </c>
      <c r="AD52" s="43">
        <f>SUM(AD54:AD62)</f>
        <v>1973</v>
      </c>
      <c r="AE52" s="55">
        <f t="shared" si="24"/>
        <v>167</v>
      </c>
      <c r="AF52" s="43">
        <f t="shared" si="24"/>
        <v>0</v>
      </c>
      <c r="AG52" s="43">
        <f t="shared" si="24"/>
        <v>0</v>
      </c>
      <c r="AH52" s="43">
        <f t="shared" si="24"/>
        <v>244</v>
      </c>
      <c r="AI52" s="43">
        <f t="shared" si="24"/>
        <v>306</v>
      </c>
      <c r="AJ52" s="43">
        <f t="shared" si="24"/>
        <v>331</v>
      </c>
      <c r="AK52" s="43">
        <f t="shared" si="24"/>
        <v>390</v>
      </c>
      <c r="AL52" s="43">
        <f t="shared" si="24"/>
        <v>384</v>
      </c>
      <c r="AM52" s="43">
        <f t="shared" si="24"/>
        <v>440</v>
      </c>
      <c r="AN52" s="43">
        <f t="shared" si="24"/>
        <v>441</v>
      </c>
      <c r="AO52" s="43">
        <f t="shared" si="24"/>
        <v>461</v>
      </c>
      <c r="AP52" s="43">
        <f t="shared" si="24"/>
        <v>676</v>
      </c>
      <c r="AQ52" s="43">
        <f t="shared" si="24"/>
        <v>619</v>
      </c>
      <c r="AR52" s="43">
        <f t="shared" si="24"/>
        <v>630</v>
      </c>
      <c r="AS52" s="43">
        <f t="shared" si="24"/>
        <v>710</v>
      </c>
      <c r="AT52" s="43">
        <f t="shared" si="24"/>
        <v>686</v>
      </c>
      <c r="AU52" s="43">
        <f t="shared" si="24"/>
        <v>693</v>
      </c>
      <c r="AV52" s="43">
        <f t="shared" si="24"/>
        <v>758</v>
      </c>
      <c r="AW52" s="43">
        <f>SUM(AW54:AW62)</f>
        <v>865</v>
      </c>
      <c r="AX52" s="43">
        <f>SUM(AX54:AX62)</f>
        <v>869</v>
      </c>
      <c r="AY52" s="43">
        <f>SUM(AY54:AY62)</f>
        <v>833</v>
      </c>
      <c r="AZ52" s="43">
        <f>SUM(AZ54:AZ62)</f>
        <v>872</v>
      </c>
      <c r="BA52" s="43">
        <f t="shared" ref="BA52:BD52" si="26">SUM(BA54:BA62)</f>
        <v>944</v>
      </c>
      <c r="BB52" s="43">
        <f t="shared" si="26"/>
        <v>1084</v>
      </c>
      <c r="BC52" s="43">
        <f t="shared" si="26"/>
        <v>931</v>
      </c>
      <c r="BD52" s="43">
        <f t="shared" si="26"/>
        <v>1085</v>
      </c>
      <c r="BE52" s="43">
        <f>SUM(BE54:BE62)</f>
        <v>1261</v>
      </c>
      <c r="BF52" s="43">
        <f>SUM(BF54:BF62)</f>
        <v>1276</v>
      </c>
      <c r="BG52" s="43">
        <f>SUM(BG54:BG62)</f>
        <v>1278</v>
      </c>
    </row>
    <row r="53" spans="1:59">
      <c r="A53" s="44" t="s">
        <v>131</v>
      </c>
      <c r="B53" s="56">
        <f t="shared" ref="B53:AV53" si="27">(B52/B4)*100</f>
        <v>22.25</v>
      </c>
      <c r="C53" s="45">
        <f t="shared" si="27"/>
        <v>0</v>
      </c>
      <c r="D53" s="45">
        <f t="shared" si="27"/>
        <v>0</v>
      </c>
      <c r="E53" s="45">
        <f t="shared" si="27"/>
        <v>23.358182463613776</v>
      </c>
      <c r="F53" s="45">
        <f t="shared" si="27"/>
        <v>22.056328469630131</v>
      </c>
      <c r="G53" s="45">
        <f t="shared" si="27"/>
        <v>23.575897267039842</v>
      </c>
      <c r="H53" s="45">
        <f t="shared" si="27"/>
        <v>24.462025316455698</v>
      </c>
      <c r="I53" s="45">
        <f t="shared" si="27"/>
        <v>22.629246676514033</v>
      </c>
      <c r="J53" s="45">
        <f t="shared" si="27"/>
        <v>22.913117546848383</v>
      </c>
      <c r="K53" s="45">
        <f t="shared" si="27"/>
        <v>23.55324074074074</v>
      </c>
      <c r="L53" s="45">
        <f t="shared" si="27"/>
        <v>20.931506849315067</v>
      </c>
      <c r="M53" s="45">
        <f t="shared" si="27"/>
        <v>23.140710028504792</v>
      </c>
      <c r="N53" s="45">
        <f t="shared" si="27"/>
        <v>23.744744001978731</v>
      </c>
      <c r="O53" s="45">
        <f t="shared" si="27"/>
        <v>22.330791229742612</v>
      </c>
      <c r="P53" s="45">
        <f t="shared" si="27"/>
        <v>21.941233140655108</v>
      </c>
      <c r="Q53" s="45">
        <f t="shared" si="27"/>
        <v>22.273354809019789</v>
      </c>
      <c r="R53" s="45">
        <f t="shared" si="27"/>
        <v>22.252374491180461</v>
      </c>
      <c r="S53" s="45">
        <f t="shared" si="27"/>
        <v>21.724429416737109</v>
      </c>
      <c r="T53" s="45">
        <f>(T52/T4)*100</f>
        <v>20.618357487922705</v>
      </c>
      <c r="U53" s="45">
        <f>(U52/U4)*100</f>
        <v>20.947985087875022</v>
      </c>
      <c r="V53" s="45">
        <f>(V52/V4)*100</f>
        <v>21.567967698519517</v>
      </c>
      <c r="W53" s="45">
        <f>(W52/W4)*100</f>
        <v>20.048163756773025</v>
      </c>
      <c r="X53" s="45">
        <f t="shared" ref="X53:AA53" si="28">(X52/X4)*100</f>
        <v>21.108065214254797</v>
      </c>
      <c r="Y53" s="45">
        <f t="shared" si="28"/>
        <v>20.539563343067723</v>
      </c>
      <c r="Z53" s="45">
        <f t="shared" si="28"/>
        <v>20.091941590048677</v>
      </c>
      <c r="AA53" s="45">
        <f t="shared" si="28"/>
        <v>19.635627530364371</v>
      </c>
      <c r="AB53" s="45">
        <f>(AB52/AB4)*100</f>
        <v>19.879161236820281</v>
      </c>
      <c r="AC53" s="45">
        <f>(AC52/AC4)*100</f>
        <v>19.938481819180488</v>
      </c>
      <c r="AD53" s="45">
        <f>(AD52/AD4)*100</f>
        <v>20.285831791075466</v>
      </c>
      <c r="AE53" s="56">
        <f t="shared" si="27"/>
        <v>19.151376146788991</v>
      </c>
      <c r="AF53" s="45">
        <f t="shared" si="27"/>
        <v>0</v>
      </c>
      <c r="AG53" s="45">
        <f t="shared" si="27"/>
        <v>0</v>
      </c>
      <c r="AH53" s="45">
        <f t="shared" si="27"/>
        <v>18.181818181818183</v>
      </c>
      <c r="AI53" s="45">
        <f t="shared" si="27"/>
        <v>19.767441860465116</v>
      </c>
      <c r="AJ53" s="45">
        <f t="shared" si="27"/>
        <v>23.034098816979821</v>
      </c>
      <c r="AK53" s="45">
        <f t="shared" si="27"/>
        <v>24.208566108007449</v>
      </c>
      <c r="AL53" s="45">
        <f t="shared" si="27"/>
        <v>23.674475955610358</v>
      </c>
      <c r="AM53" s="45">
        <f t="shared" si="27"/>
        <v>26.731470230862698</v>
      </c>
      <c r="AN53" s="45">
        <f t="shared" si="27"/>
        <v>24.692049272116463</v>
      </c>
      <c r="AO53" s="45">
        <f t="shared" si="27"/>
        <v>24.905456509994597</v>
      </c>
      <c r="AP53" s="45">
        <f t="shared" si="27"/>
        <v>34.666666666666671</v>
      </c>
      <c r="AQ53" s="45">
        <f t="shared" si="27"/>
        <v>32.072538860103627</v>
      </c>
      <c r="AR53" s="45">
        <f t="shared" si="27"/>
        <v>30.973451327433626</v>
      </c>
      <c r="AS53" s="45">
        <f t="shared" si="27"/>
        <v>34.786869181773639</v>
      </c>
      <c r="AT53" s="45">
        <f t="shared" si="27"/>
        <v>34.69903894790086</v>
      </c>
      <c r="AU53" s="45">
        <f t="shared" si="27"/>
        <v>32.968601332064701</v>
      </c>
      <c r="AV53" s="45">
        <f t="shared" si="27"/>
        <v>36.267942583732058</v>
      </c>
      <c r="AW53" s="45">
        <f>(AW52/AW4)*100</f>
        <v>37.348877374784109</v>
      </c>
      <c r="AX53" s="45">
        <f>(AX52/AX4)*100</f>
        <v>34.443123265953233</v>
      </c>
      <c r="AY53" s="45">
        <f>(AY52/AY4)*100</f>
        <v>33.588709677419352</v>
      </c>
      <c r="AZ53" s="45">
        <f>(AZ52/AZ4)*100</f>
        <v>33.890400310921102</v>
      </c>
      <c r="BA53" s="45">
        <f t="shared" ref="BA53:BD53" si="29">(BA52/BA4)*100</f>
        <v>33.859397417503587</v>
      </c>
      <c r="BB53" s="45">
        <f t="shared" si="29"/>
        <v>36.327077747989279</v>
      </c>
      <c r="BC53" s="45">
        <f t="shared" si="29"/>
        <v>32.955752212389385</v>
      </c>
      <c r="BD53" s="45">
        <f t="shared" si="29"/>
        <v>35.022595222724341</v>
      </c>
      <c r="BE53" s="45">
        <f>(BE52/BE4)*100</f>
        <v>37.833783378337834</v>
      </c>
      <c r="BF53" s="45">
        <f>(BF52/BF4)*100</f>
        <v>37.179487179487182</v>
      </c>
      <c r="BG53" s="45">
        <f>(BG52/BG4)*100</f>
        <v>38.343834383438349</v>
      </c>
    </row>
    <row r="54" spans="1:59">
      <c r="A54" s="42" t="s">
        <v>64</v>
      </c>
      <c r="B54" s="57">
        <v>15</v>
      </c>
      <c r="C54" s="46"/>
      <c r="D54" s="46"/>
      <c r="E54" s="46">
        <v>30</v>
      </c>
      <c r="F54" s="46">
        <v>31</v>
      </c>
      <c r="G54" s="46">
        <v>34</v>
      </c>
      <c r="H54" s="46">
        <v>37</v>
      </c>
      <c r="I54" s="46">
        <v>41</v>
      </c>
      <c r="J54" s="46">
        <v>44</v>
      </c>
      <c r="K54" s="46">
        <v>28</v>
      </c>
      <c r="L54" s="46">
        <v>43</v>
      </c>
      <c r="M54" s="46">
        <v>58</v>
      </c>
      <c r="N54" s="46">
        <v>49</v>
      </c>
      <c r="O54" s="46">
        <v>47</v>
      </c>
      <c r="P54" s="46">
        <v>62</v>
      </c>
      <c r="Q54" s="46">
        <v>82</v>
      </c>
      <c r="R54" s="46">
        <v>51</v>
      </c>
      <c r="S54" s="46">
        <v>55</v>
      </c>
      <c r="T54" s="46">
        <v>53</v>
      </c>
      <c r="U54" s="46">
        <v>50</v>
      </c>
      <c r="V54" s="46">
        <v>73</v>
      </c>
      <c r="W54" s="46">
        <v>50</v>
      </c>
      <c r="X54" s="46">
        <v>69</v>
      </c>
      <c r="Y54" s="46">
        <v>65</v>
      </c>
      <c r="Z54" s="1">
        <v>62</v>
      </c>
      <c r="AA54" s="1">
        <v>84</v>
      </c>
      <c r="AB54" s="1">
        <v>82</v>
      </c>
      <c r="AC54" s="1">
        <v>96</v>
      </c>
      <c r="AD54" s="1">
        <v>120</v>
      </c>
      <c r="AE54" s="57">
        <v>11</v>
      </c>
      <c r="AF54" s="46"/>
      <c r="AG54" s="46"/>
      <c r="AH54" s="46">
        <v>10</v>
      </c>
      <c r="AI54" s="46">
        <v>11</v>
      </c>
      <c r="AJ54" s="46">
        <v>18</v>
      </c>
      <c r="AK54" s="46">
        <v>14</v>
      </c>
      <c r="AL54" s="46">
        <v>12</v>
      </c>
      <c r="AM54" s="46">
        <v>16</v>
      </c>
      <c r="AN54" s="46">
        <v>4</v>
      </c>
      <c r="AO54" s="46">
        <v>17</v>
      </c>
      <c r="AP54" s="46">
        <v>33</v>
      </c>
      <c r="AQ54" s="46">
        <v>23</v>
      </c>
      <c r="AR54" s="46">
        <v>23</v>
      </c>
      <c r="AS54" s="46">
        <v>23</v>
      </c>
      <c r="AT54" s="46">
        <v>27</v>
      </c>
      <c r="AU54" s="46">
        <v>27</v>
      </c>
      <c r="AV54" s="46">
        <v>24</v>
      </c>
      <c r="AW54" s="46">
        <v>32</v>
      </c>
      <c r="AX54" s="1">
        <v>34</v>
      </c>
      <c r="AY54" s="1">
        <v>33</v>
      </c>
      <c r="AZ54" s="1">
        <v>44</v>
      </c>
      <c r="BA54" s="1">
        <v>24</v>
      </c>
      <c r="BB54" s="1">
        <v>46</v>
      </c>
      <c r="BC54" s="1">
        <v>29</v>
      </c>
      <c r="BD54" s="1">
        <v>38</v>
      </c>
      <c r="BE54" s="1">
        <v>41</v>
      </c>
      <c r="BF54" s="1">
        <v>47</v>
      </c>
      <c r="BG54" s="1">
        <v>38</v>
      </c>
    </row>
    <row r="55" spans="1:59">
      <c r="A55" s="42" t="s">
        <v>65</v>
      </c>
      <c r="B55" s="57">
        <v>0</v>
      </c>
      <c r="C55" s="46"/>
      <c r="D55" s="46"/>
      <c r="E55" s="46">
        <v>4</v>
      </c>
      <c r="F55" s="46">
        <v>2</v>
      </c>
      <c r="G55" s="46">
        <v>4</v>
      </c>
      <c r="H55" s="46">
        <v>5</v>
      </c>
      <c r="I55" s="46">
        <v>0</v>
      </c>
      <c r="J55" s="46">
        <v>3</v>
      </c>
      <c r="K55" s="46">
        <v>1</v>
      </c>
      <c r="L55" s="46">
        <v>1</v>
      </c>
      <c r="M55" s="46">
        <v>2</v>
      </c>
      <c r="N55" s="46">
        <v>2</v>
      </c>
      <c r="O55" s="46">
        <v>1</v>
      </c>
      <c r="P55" s="46">
        <v>1</v>
      </c>
      <c r="Q55" s="46">
        <v>3</v>
      </c>
      <c r="R55" s="46">
        <v>3</v>
      </c>
      <c r="S55" s="46">
        <v>0</v>
      </c>
      <c r="T55" s="46">
        <v>0</v>
      </c>
      <c r="U55" s="46">
        <v>5</v>
      </c>
      <c r="V55" s="46">
        <v>5</v>
      </c>
      <c r="W55" s="46">
        <v>4</v>
      </c>
      <c r="X55" s="46">
        <v>8</v>
      </c>
      <c r="Y55" s="46">
        <v>6</v>
      </c>
      <c r="Z55" s="1">
        <v>4</v>
      </c>
      <c r="AA55" s="1">
        <v>12</v>
      </c>
      <c r="AB55" s="1">
        <v>10</v>
      </c>
      <c r="AC55" s="1">
        <v>11</v>
      </c>
      <c r="AD55" s="1">
        <v>12</v>
      </c>
      <c r="AE55" s="57">
        <v>1</v>
      </c>
      <c r="AF55" s="46"/>
      <c r="AG55" s="46"/>
      <c r="AH55" s="46">
        <v>3</v>
      </c>
      <c r="AI55" s="46">
        <v>2</v>
      </c>
      <c r="AJ55" s="46">
        <v>1</v>
      </c>
      <c r="AK55" s="46">
        <v>1</v>
      </c>
      <c r="AL55" s="46">
        <v>1</v>
      </c>
      <c r="AM55" s="46">
        <v>1</v>
      </c>
      <c r="AN55" s="46">
        <v>1</v>
      </c>
      <c r="AO55" s="46">
        <v>1</v>
      </c>
      <c r="AP55" s="46">
        <v>0</v>
      </c>
      <c r="AQ55" s="46">
        <v>1</v>
      </c>
      <c r="AR55" s="46">
        <v>0</v>
      </c>
      <c r="AS55" s="46">
        <v>1</v>
      </c>
      <c r="AT55" s="46">
        <v>1</v>
      </c>
      <c r="AU55" s="46">
        <v>4</v>
      </c>
      <c r="AV55" s="46">
        <v>1</v>
      </c>
      <c r="AW55" s="46">
        <v>2</v>
      </c>
      <c r="AX55" s="1">
        <v>2</v>
      </c>
      <c r="AY55" s="1">
        <v>2</v>
      </c>
      <c r="AZ55" s="1">
        <v>5</v>
      </c>
      <c r="BA55" s="1">
        <v>6</v>
      </c>
      <c r="BB55" s="1">
        <v>14</v>
      </c>
      <c r="BC55" s="1">
        <v>8</v>
      </c>
      <c r="BD55" s="1">
        <v>10</v>
      </c>
      <c r="BE55" s="1">
        <v>12</v>
      </c>
      <c r="BF55" s="1">
        <v>16</v>
      </c>
      <c r="BG55" s="1">
        <v>9</v>
      </c>
    </row>
    <row r="56" spans="1:59">
      <c r="A56" s="42" t="s">
        <v>66</v>
      </c>
      <c r="B56" s="57">
        <v>86</v>
      </c>
      <c r="C56" s="46"/>
      <c r="D56" s="46"/>
      <c r="E56" s="46">
        <v>130</v>
      </c>
      <c r="F56" s="46">
        <v>121</v>
      </c>
      <c r="G56" s="46">
        <v>151</v>
      </c>
      <c r="H56" s="46">
        <v>116</v>
      </c>
      <c r="I56" s="46">
        <v>135</v>
      </c>
      <c r="J56" s="46">
        <v>166</v>
      </c>
      <c r="K56" s="46">
        <v>164</v>
      </c>
      <c r="L56" s="46">
        <v>138</v>
      </c>
      <c r="M56" s="46">
        <v>172</v>
      </c>
      <c r="N56" s="46">
        <v>158</v>
      </c>
      <c r="O56" s="46">
        <v>175</v>
      </c>
      <c r="P56" s="46">
        <v>145</v>
      </c>
      <c r="Q56" s="46">
        <v>182</v>
      </c>
      <c r="R56" s="46">
        <v>167</v>
      </c>
      <c r="S56" s="46">
        <v>194</v>
      </c>
      <c r="T56" s="46">
        <v>174</v>
      </c>
      <c r="U56" s="46">
        <v>215</v>
      </c>
      <c r="V56" s="46">
        <v>250</v>
      </c>
      <c r="W56" s="46">
        <v>258</v>
      </c>
      <c r="X56" s="46">
        <v>286</v>
      </c>
      <c r="Y56" s="46">
        <v>287</v>
      </c>
      <c r="Z56" s="1">
        <v>315</v>
      </c>
      <c r="AA56" s="1">
        <v>284</v>
      </c>
      <c r="AB56" s="1">
        <v>335</v>
      </c>
      <c r="AC56" s="1">
        <v>364</v>
      </c>
      <c r="AD56" s="1">
        <v>377</v>
      </c>
      <c r="AE56" s="57">
        <v>71</v>
      </c>
      <c r="AF56" s="46"/>
      <c r="AG56" s="46"/>
      <c r="AH56" s="46">
        <v>83</v>
      </c>
      <c r="AI56" s="46">
        <v>117</v>
      </c>
      <c r="AJ56" s="46">
        <v>105</v>
      </c>
      <c r="AK56" s="46">
        <v>150</v>
      </c>
      <c r="AL56" s="46">
        <v>142</v>
      </c>
      <c r="AM56" s="46">
        <v>139</v>
      </c>
      <c r="AN56" s="46">
        <v>128</v>
      </c>
      <c r="AO56" s="46">
        <v>162</v>
      </c>
      <c r="AP56" s="46">
        <v>158</v>
      </c>
      <c r="AQ56" s="46">
        <v>188</v>
      </c>
      <c r="AR56" s="46">
        <v>158</v>
      </c>
      <c r="AS56" s="46">
        <v>193</v>
      </c>
      <c r="AT56" s="46">
        <v>185</v>
      </c>
      <c r="AU56" s="46">
        <v>182</v>
      </c>
      <c r="AV56" s="46">
        <v>226</v>
      </c>
      <c r="AW56" s="46">
        <v>266</v>
      </c>
      <c r="AX56" s="1">
        <v>270</v>
      </c>
      <c r="AY56" s="1">
        <v>251</v>
      </c>
      <c r="AZ56" s="1">
        <v>255</v>
      </c>
      <c r="BA56" s="1">
        <v>239</v>
      </c>
      <c r="BB56" s="1">
        <v>303</v>
      </c>
      <c r="BC56" s="1">
        <v>286</v>
      </c>
      <c r="BD56" s="1">
        <v>310</v>
      </c>
      <c r="BE56" s="1">
        <v>345</v>
      </c>
      <c r="BF56" s="1">
        <v>372</v>
      </c>
      <c r="BG56" s="1">
        <v>356</v>
      </c>
    </row>
    <row r="57" spans="1:59">
      <c r="A57" s="42" t="s">
        <v>67</v>
      </c>
      <c r="B57" s="57">
        <v>1</v>
      </c>
      <c r="C57" s="46"/>
      <c r="D57" s="46"/>
      <c r="E57" s="46">
        <v>3</v>
      </c>
      <c r="F57" s="46">
        <v>3</v>
      </c>
      <c r="G57" s="46">
        <v>2</v>
      </c>
      <c r="H57" s="46">
        <v>2</v>
      </c>
      <c r="I57" s="46">
        <v>2</v>
      </c>
      <c r="J57" s="46">
        <v>6</v>
      </c>
      <c r="K57" s="46">
        <v>7</v>
      </c>
      <c r="L57" s="46">
        <v>8</v>
      </c>
      <c r="M57" s="46">
        <v>7</v>
      </c>
      <c r="N57" s="46">
        <v>5</v>
      </c>
      <c r="O57" s="46">
        <v>8</v>
      </c>
      <c r="P57" s="46">
        <v>3</v>
      </c>
      <c r="Q57" s="46">
        <v>7</v>
      </c>
      <c r="R57" s="46">
        <v>10</v>
      </c>
      <c r="S57" s="46">
        <v>7</v>
      </c>
      <c r="T57" s="46">
        <v>7</v>
      </c>
      <c r="U57" s="46">
        <v>10</v>
      </c>
      <c r="V57" s="46">
        <v>6</v>
      </c>
      <c r="W57" s="46">
        <v>12</v>
      </c>
      <c r="X57" s="46">
        <v>11</v>
      </c>
      <c r="Y57" s="46">
        <v>12</v>
      </c>
      <c r="Z57" s="1">
        <v>12</v>
      </c>
      <c r="AA57" s="1">
        <v>22</v>
      </c>
      <c r="AB57" s="1">
        <v>12</v>
      </c>
      <c r="AC57" s="1">
        <v>18</v>
      </c>
      <c r="AD57" s="1">
        <v>30</v>
      </c>
      <c r="AE57" s="57">
        <v>2</v>
      </c>
      <c r="AF57" s="46"/>
      <c r="AG57" s="46"/>
      <c r="AH57" s="46">
        <v>1</v>
      </c>
      <c r="AI57" s="46">
        <v>3</v>
      </c>
      <c r="AJ57" s="46"/>
      <c r="AK57" s="46">
        <v>1</v>
      </c>
      <c r="AL57" s="46">
        <v>0</v>
      </c>
      <c r="AM57" s="46">
        <v>0</v>
      </c>
      <c r="AN57" s="46">
        <v>0</v>
      </c>
      <c r="AO57" s="46">
        <v>3</v>
      </c>
      <c r="AP57" s="46">
        <v>22</v>
      </c>
      <c r="AQ57" s="46">
        <v>16</v>
      </c>
      <c r="AR57" s="46">
        <v>8</v>
      </c>
      <c r="AS57" s="46">
        <v>11</v>
      </c>
      <c r="AT57" s="46">
        <v>6</v>
      </c>
      <c r="AU57" s="46">
        <v>9</v>
      </c>
      <c r="AV57" s="46">
        <v>16</v>
      </c>
      <c r="AW57" s="46">
        <v>21</v>
      </c>
      <c r="AX57" s="1">
        <v>15</v>
      </c>
      <c r="AY57" s="1">
        <v>12</v>
      </c>
      <c r="AZ57" s="1">
        <v>21</v>
      </c>
      <c r="BA57" s="1">
        <v>11</v>
      </c>
      <c r="BB57" s="1">
        <v>19</v>
      </c>
      <c r="BC57" s="1">
        <v>13</v>
      </c>
      <c r="BD57" s="1">
        <v>10</v>
      </c>
      <c r="BE57" s="1">
        <v>14</v>
      </c>
      <c r="BF57" s="1">
        <v>15</v>
      </c>
      <c r="BG57" s="1">
        <v>9</v>
      </c>
    </row>
    <row r="58" spans="1:59">
      <c r="A58" s="42" t="s">
        <v>68</v>
      </c>
      <c r="B58" s="57">
        <v>53</v>
      </c>
      <c r="C58" s="46"/>
      <c r="D58" s="46"/>
      <c r="E58" s="46">
        <v>67</v>
      </c>
      <c r="F58" s="46">
        <v>88</v>
      </c>
      <c r="G58" s="46">
        <v>101</v>
      </c>
      <c r="H58" s="46">
        <v>86</v>
      </c>
      <c r="I58" s="46">
        <v>100</v>
      </c>
      <c r="J58" s="46">
        <v>91</v>
      </c>
      <c r="K58" s="46">
        <v>101</v>
      </c>
      <c r="L58" s="46">
        <v>78</v>
      </c>
      <c r="M58" s="46">
        <v>116</v>
      </c>
      <c r="N58" s="46">
        <v>120</v>
      </c>
      <c r="O58" s="46">
        <v>110</v>
      </c>
      <c r="P58" s="46">
        <v>107</v>
      </c>
      <c r="Q58" s="46">
        <v>110</v>
      </c>
      <c r="R58" s="46">
        <v>127</v>
      </c>
      <c r="S58" s="46">
        <v>114</v>
      </c>
      <c r="T58" s="46">
        <v>116</v>
      </c>
      <c r="U58" s="46">
        <v>114</v>
      </c>
      <c r="V58" s="46">
        <v>101</v>
      </c>
      <c r="W58" s="46">
        <v>88</v>
      </c>
      <c r="X58" s="46">
        <v>126</v>
      </c>
      <c r="Y58" s="46">
        <v>125</v>
      </c>
      <c r="Z58" s="1">
        <v>127</v>
      </c>
      <c r="AA58" s="1">
        <v>142</v>
      </c>
      <c r="AB58" s="1">
        <v>169</v>
      </c>
      <c r="AC58" s="1">
        <v>175</v>
      </c>
      <c r="AD58" s="1">
        <v>188</v>
      </c>
      <c r="AE58" s="57">
        <v>22</v>
      </c>
      <c r="AF58" s="46"/>
      <c r="AG58" s="46"/>
      <c r="AH58" s="46">
        <v>13</v>
      </c>
      <c r="AI58" s="46">
        <v>18</v>
      </c>
      <c r="AJ58" s="46">
        <v>20</v>
      </c>
      <c r="AK58" s="46">
        <v>21</v>
      </c>
      <c r="AL58" s="46">
        <v>14</v>
      </c>
      <c r="AM58" s="46">
        <v>32</v>
      </c>
      <c r="AN58" s="46">
        <v>27</v>
      </c>
      <c r="AO58" s="46">
        <v>18</v>
      </c>
      <c r="AP58" s="46">
        <v>22</v>
      </c>
      <c r="AQ58" s="46">
        <v>22</v>
      </c>
      <c r="AR58" s="46">
        <v>22</v>
      </c>
      <c r="AS58" s="46">
        <v>41</v>
      </c>
      <c r="AT58" s="46">
        <v>25</v>
      </c>
      <c r="AU58" s="46">
        <v>42</v>
      </c>
      <c r="AV58" s="46">
        <v>28</v>
      </c>
      <c r="AW58" s="46">
        <v>24</v>
      </c>
      <c r="AX58" s="1">
        <v>33</v>
      </c>
      <c r="AY58" s="1">
        <v>32</v>
      </c>
      <c r="AZ58" s="1">
        <v>18</v>
      </c>
      <c r="BA58" s="1">
        <v>42</v>
      </c>
      <c r="BB58" s="1">
        <v>31</v>
      </c>
      <c r="BC58" s="1">
        <v>36</v>
      </c>
      <c r="BD58" s="1">
        <v>50</v>
      </c>
      <c r="BE58" s="1">
        <v>49</v>
      </c>
      <c r="BF58" s="1">
        <v>49</v>
      </c>
      <c r="BG58" s="1">
        <v>59</v>
      </c>
    </row>
    <row r="59" spans="1:59">
      <c r="A59" s="42" t="s">
        <v>69</v>
      </c>
      <c r="B59" s="57">
        <v>234</v>
      </c>
      <c r="C59" s="46"/>
      <c r="D59" s="46"/>
      <c r="E59" s="46">
        <v>328</v>
      </c>
      <c r="F59" s="46">
        <v>304</v>
      </c>
      <c r="G59" s="46">
        <v>325</v>
      </c>
      <c r="H59" s="46">
        <v>419</v>
      </c>
      <c r="I59" s="46">
        <v>356</v>
      </c>
      <c r="J59" s="46">
        <v>377</v>
      </c>
      <c r="K59" s="46">
        <v>380</v>
      </c>
      <c r="L59" s="46">
        <v>373</v>
      </c>
      <c r="M59" s="46">
        <v>388</v>
      </c>
      <c r="N59" s="46">
        <v>454</v>
      </c>
      <c r="O59" s="46">
        <v>419</v>
      </c>
      <c r="P59" s="46">
        <v>413</v>
      </c>
      <c r="Q59" s="46">
        <v>414</v>
      </c>
      <c r="R59" s="46">
        <v>463</v>
      </c>
      <c r="S59" s="46">
        <v>454</v>
      </c>
      <c r="T59" s="46">
        <v>505</v>
      </c>
      <c r="U59" s="46">
        <v>545</v>
      </c>
      <c r="V59" s="46">
        <v>594</v>
      </c>
      <c r="W59" s="46">
        <v>668</v>
      </c>
      <c r="X59" s="46">
        <v>667</v>
      </c>
      <c r="Y59" s="46">
        <v>680</v>
      </c>
      <c r="Z59" s="1">
        <v>659</v>
      </c>
      <c r="AA59" s="1">
        <v>649</v>
      </c>
      <c r="AB59" s="1">
        <v>741</v>
      </c>
      <c r="AC59" s="1">
        <v>746</v>
      </c>
      <c r="AD59" s="1">
        <v>787</v>
      </c>
      <c r="AE59" s="57">
        <v>18</v>
      </c>
      <c r="AF59" s="46"/>
      <c r="AG59" s="46"/>
      <c r="AH59" s="46">
        <v>87</v>
      </c>
      <c r="AI59" s="46">
        <v>106</v>
      </c>
      <c r="AJ59" s="46">
        <v>122</v>
      </c>
      <c r="AK59" s="46">
        <v>128</v>
      </c>
      <c r="AL59" s="46">
        <v>122</v>
      </c>
      <c r="AM59" s="46">
        <v>159</v>
      </c>
      <c r="AN59" s="46">
        <v>184</v>
      </c>
      <c r="AO59" s="46">
        <v>186</v>
      </c>
      <c r="AP59" s="46">
        <v>299</v>
      </c>
      <c r="AQ59" s="46">
        <v>250</v>
      </c>
      <c r="AR59" s="46">
        <v>271</v>
      </c>
      <c r="AS59" s="46">
        <v>297</v>
      </c>
      <c r="AT59" s="46">
        <v>313</v>
      </c>
      <c r="AU59" s="46">
        <v>320</v>
      </c>
      <c r="AV59" s="46">
        <v>304</v>
      </c>
      <c r="AW59" s="46">
        <v>386</v>
      </c>
      <c r="AX59" s="1">
        <v>392</v>
      </c>
      <c r="AY59" s="1">
        <v>372</v>
      </c>
      <c r="AZ59" s="1">
        <v>410</v>
      </c>
      <c r="BA59" s="1">
        <v>486</v>
      </c>
      <c r="BB59" s="1">
        <v>560</v>
      </c>
      <c r="BC59" s="1">
        <v>448</v>
      </c>
      <c r="BD59" s="1">
        <v>544</v>
      </c>
      <c r="BE59" s="1">
        <v>638</v>
      </c>
      <c r="BF59" s="1">
        <v>582</v>
      </c>
      <c r="BG59" s="1">
        <v>531</v>
      </c>
    </row>
    <row r="60" spans="1:59">
      <c r="A60" s="42" t="s">
        <v>70</v>
      </c>
      <c r="B60" s="57">
        <v>53</v>
      </c>
      <c r="C60" s="46"/>
      <c r="D60" s="46"/>
      <c r="E60" s="46">
        <v>90</v>
      </c>
      <c r="F60" s="46">
        <v>97</v>
      </c>
      <c r="G60" s="46">
        <v>94</v>
      </c>
      <c r="H60" s="46">
        <v>106</v>
      </c>
      <c r="I60" s="46">
        <v>125</v>
      </c>
      <c r="J60" s="46">
        <v>110</v>
      </c>
      <c r="K60" s="46">
        <v>127</v>
      </c>
      <c r="L60" s="46">
        <v>113</v>
      </c>
      <c r="M60" s="46">
        <v>136</v>
      </c>
      <c r="N60" s="46">
        <v>151</v>
      </c>
      <c r="O60" s="46">
        <v>155</v>
      </c>
      <c r="P60" s="46">
        <v>161</v>
      </c>
      <c r="Q60" s="46">
        <v>153</v>
      </c>
      <c r="R60" s="46">
        <v>142</v>
      </c>
      <c r="S60" s="46">
        <v>188</v>
      </c>
      <c r="T60" s="46">
        <v>188</v>
      </c>
      <c r="U60" s="46">
        <v>216</v>
      </c>
      <c r="V60" s="46">
        <v>230</v>
      </c>
      <c r="W60" s="46">
        <v>221</v>
      </c>
      <c r="X60" s="46">
        <v>258</v>
      </c>
      <c r="Y60" s="46">
        <v>249</v>
      </c>
      <c r="Z60" s="1">
        <v>256</v>
      </c>
      <c r="AA60" s="1">
        <v>310</v>
      </c>
      <c r="AB60" s="1">
        <v>279</v>
      </c>
      <c r="AC60" s="1">
        <v>362</v>
      </c>
      <c r="AD60" s="1">
        <v>388</v>
      </c>
      <c r="AE60" s="57">
        <v>42</v>
      </c>
      <c r="AF60" s="46"/>
      <c r="AG60" s="46"/>
      <c r="AH60" s="46">
        <v>46</v>
      </c>
      <c r="AI60" s="46">
        <v>47</v>
      </c>
      <c r="AJ60" s="46">
        <v>63</v>
      </c>
      <c r="AK60" s="46">
        <v>71</v>
      </c>
      <c r="AL60" s="46">
        <v>90</v>
      </c>
      <c r="AM60" s="46">
        <v>87</v>
      </c>
      <c r="AN60" s="46">
        <v>92</v>
      </c>
      <c r="AO60" s="46">
        <v>68</v>
      </c>
      <c r="AP60" s="46">
        <v>135</v>
      </c>
      <c r="AQ60" s="46">
        <v>113</v>
      </c>
      <c r="AR60" s="46">
        <v>142</v>
      </c>
      <c r="AS60" s="46">
        <v>136</v>
      </c>
      <c r="AT60" s="46">
        <v>124</v>
      </c>
      <c r="AU60" s="46">
        <v>104</v>
      </c>
      <c r="AV60" s="46">
        <v>151</v>
      </c>
      <c r="AW60" s="46">
        <v>125</v>
      </c>
      <c r="AX60" s="1">
        <v>107</v>
      </c>
      <c r="AY60" s="1">
        <v>125</v>
      </c>
      <c r="AZ60" s="1">
        <v>110</v>
      </c>
      <c r="BA60" s="1">
        <v>125</v>
      </c>
      <c r="BB60" s="1">
        <v>105</v>
      </c>
      <c r="BC60" s="1">
        <v>98</v>
      </c>
      <c r="BD60" s="1">
        <v>110</v>
      </c>
      <c r="BE60" s="1">
        <v>152</v>
      </c>
      <c r="BF60" s="1">
        <v>187</v>
      </c>
      <c r="BG60" s="1">
        <v>268</v>
      </c>
    </row>
    <row r="61" spans="1:59">
      <c r="A61" s="42" t="s">
        <v>71</v>
      </c>
      <c r="B61" s="57">
        <v>3</v>
      </c>
      <c r="C61" s="46"/>
      <c r="D61" s="46"/>
      <c r="E61" s="46">
        <v>2</v>
      </c>
      <c r="F61" s="46">
        <v>3</v>
      </c>
      <c r="G61" s="46">
        <v>2</v>
      </c>
      <c r="H61" s="46">
        <v>2</v>
      </c>
      <c r="I61" s="46">
        <v>3</v>
      </c>
      <c r="J61" s="46">
        <v>7</v>
      </c>
      <c r="K61" s="46">
        <v>2</v>
      </c>
      <c r="L61" s="46">
        <v>7</v>
      </c>
      <c r="M61" s="46">
        <v>5</v>
      </c>
      <c r="N61" s="46">
        <v>17</v>
      </c>
      <c r="O61" s="46">
        <v>13</v>
      </c>
      <c r="P61" s="46">
        <v>9</v>
      </c>
      <c r="Q61" s="46">
        <v>10</v>
      </c>
      <c r="R61" s="46">
        <v>15</v>
      </c>
      <c r="S61" s="46">
        <v>13</v>
      </c>
      <c r="T61" s="46">
        <v>18</v>
      </c>
      <c r="U61" s="46">
        <v>14</v>
      </c>
      <c r="V61" s="46">
        <v>17</v>
      </c>
      <c r="W61" s="46">
        <v>24</v>
      </c>
      <c r="X61" s="46">
        <v>29</v>
      </c>
      <c r="Y61" s="46">
        <v>35</v>
      </c>
      <c r="Z61" s="1">
        <v>31</v>
      </c>
      <c r="AA61" s="1">
        <v>34</v>
      </c>
      <c r="AB61" s="1">
        <v>32</v>
      </c>
      <c r="AC61" s="1">
        <v>25</v>
      </c>
      <c r="AD61" s="1">
        <v>42</v>
      </c>
      <c r="AE61" s="57">
        <v>0</v>
      </c>
      <c r="AF61" s="46"/>
      <c r="AG61" s="46"/>
      <c r="AH61" s="46">
        <v>1</v>
      </c>
      <c r="AI61" s="46">
        <v>0</v>
      </c>
      <c r="AJ61" s="46">
        <v>2</v>
      </c>
      <c r="AK61" s="46">
        <v>1</v>
      </c>
      <c r="AL61" s="46">
        <v>1</v>
      </c>
      <c r="AM61" s="46">
        <v>5</v>
      </c>
      <c r="AN61" s="46">
        <v>4</v>
      </c>
      <c r="AO61" s="46">
        <v>4</v>
      </c>
      <c r="AP61" s="46">
        <v>1</v>
      </c>
      <c r="AQ61" s="46">
        <v>4</v>
      </c>
      <c r="AR61" s="46">
        <v>5</v>
      </c>
      <c r="AS61" s="46">
        <v>4</v>
      </c>
      <c r="AT61" s="46">
        <v>4</v>
      </c>
      <c r="AU61" s="46">
        <v>2</v>
      </c>
      <c r="AV61" s="46">
        <v>4</v>
      </c>
      <c r="AW61" s="46">
        <v>2</v>
      </c>
      <c r="AX61" s="1">
        <v>7</v>
      </c>
      <c r="AY61" s="1">
        <v>3</v>
      </c>
      <c r="AZ61" s="1">
        <v>4</v>
      </c>
      <c r="BA61" s="1">
        <v>10</v>
      </c>
      <c r="BB61" s="1">
        <v>5</v>
      </c>
      <c r="BC61" s="1">
        <v>10</v>
      </c>
      <c r="BD61" s="1">
        <v>10</v>
      </c>
      <c r="BE61" s="1">
        <v>7</v>
      </c>
      <c r="BF61" s="1">
        <v>4</v>
      </c>
      <c r="BG61" s="1">
        <v>5</v>
      </c>
    </row>
    <row r="62" spans="1:59">
      <c r="A62" s="47" t="s">
        <v>72</v>
      </c>
      <c r="B62" s="58">
        <v>0</v>
      </c>
      <c r="C62" s="48"/>
      <c r="D62" s="48"/>
      <c r="E62" s="48">
        <v>4</v>
      </c>
      <c r="F62" s="48">
        <v>1</v>
      </c>
      <c r="G62" s="48">
        <v>3</v>
      </c>
      <c r="H62" s="48">
        <v>0</v>
      </c>
      <c r="I62" s="48">
        <v>4</v>
      </c>
      <c r="J62" s="48">
        <v>3</v>
      </c>
      <c r="K62" s="48">
        <v>4</v>
      </c>
      <c r="L62" s="48">
        <v>3</v>
      </c>
      <c r="M62" s="48">
        <v>9</v>
      </c>
      <c r="N62" s="48">
        <v>4</v>
      </c>
      <c r="O62" s="48">
        <v>9</v>
      </c>
      <c r="P62" s="48">
        <v>10</v>
      </c>
      <c r="Q62" s="48">
        <v>7</v>
      </c>
      <c r="R62" s="48">
        <v>6</v>
      </c>
      <c r="S62" s="48">
        <v>3</v>
      </c>
      <c r="T62" s="48">
        <v>6</v>
      </c>
      <c r="U62" s="48">
        <v>11</v>
      </c>
      <c r="V62" s="48">
        <v>6</v>
      </c>
      <c r="W62" s="48">
        <v>7</v>
      </c>
      <c r="X62" s="48">
        <v>9</v>
      </c>
      <c r="Y62" s="48">
        <v>18</v>
      </c>
      <c r="Z62" s="1">
        <v>20</v>
      </c>
      <c r="AA62" s="1">
        <v>15</v>
      </c>
      <c r="AB62" s="1">
        <v>18</v>
      </c>
      <c r="AC62" s="1">
        <v>18</v>
      </c>
      <c r="AD62" s="1">
        <v>29</v>
      </c>
      <c r="AE62" s="58">
        <v>0</v>
      </c>
      <c r="AF62" s="48"/>
      <c r="AG62" s="48"/>
      <c r="AH62" s="48">
        <v>0</v>
      </c>
      <c r="AI62" s="48">
        <v>2</v>
      </c>
      <c r="AJ62" s="48"/>
      <c r="AK62" s="48">
        <v>3</v>
      </c>
      <c r="AL62" s="48">
        <v>2</v>
      </c>
      <c r="AM62" s="48">
        <v>1</v>
      </c>
      <c r="AN62" s="48">
        <v>1</v>
      </c>
      <c r="AO62" s="48">
        <v>2</v>
      </c>
      <c r="AP62" s="48">
        <v>6</v>
      </c>
      <c r="AQ62" s="48">
        <v>2</v>
      </c>
      <c r="AR62" s="48">
        <v>1</v>
      </c>
      <c r="AS62" s="48">
        <v>4</v>
      </c>
      <c r="AT62" s="48">
        <v>1</v>
      </c>
      <c r="AU62" s="48">
        <v>3</v>
      </c>
      <c r="AV62" s="48">
        <v>4</v>
      </c>
      <c r="AW62" s="48">
        <v>7</v>
      </c>
      <c r="AX62" s="1">
        <v>9</v>
      </c>
      <c r="AY62" s="3">
        <v>3</v>
      </c>
      <c r="AZ62" s="1">
        <v>5</v>
      </c>
      <c r="BA62" s="1">
        <v>1</v>
      </c>
      <c r="BB62" s="1">
        <v>1</v>
      </c>
      <c r="BC62" s="1">
        <v>3</v>
      </c>
      <c r="BD62" s="1">
        <v>3</v>
      </c>
      <c r="BE62" s="1">
        <v>3</v>
      </c>
      <c r="BF62" s="1">
        <v>4</v>
      </c>
      <c r="BG62" s="1">
        <v>3</v>
      </c>
    </row>
    <row r="63" spans="1:59">
      <c r="A63" s="49" t="s">
        <v>73</v>
      </c>
      <c r="B63" s="59">
        <v>67</v>
      </c>
      <c r="C63" s="50"/>
      <c r="D63" s="50"/>
      <c r="E63" s="50">
        <v>86</v>
      </c>
      <c r="F63" s="50">
        <v>94</v>
      </c>
      <c r="G63" s="50">
        <v>92</v>
      </c>
      <c r="H63" s="50">
        <v>126</v>
      </c>
      <c r="I63" s="50">
        <v>132</v>
      </c>
      <c r="J63" s="50">
        <v>135</v>
      </c>
      <c r="K63" s="50">
        <v>132</v>
      </c>
      <c r="L63" s="50">
        <v>135</v>
      </c>
      <c r="M63" s="50">
        <v>144</v>
      </c>
      <c r="N63" s="50">
        <v>139</v>
      </c>
      <c r="O63" s="50">
        <v>157</v>
      </c>
      <c r="P63" s="50">
        <v>138</v>
      </c>
      <c r="Q63" s="50">
        <v>155</v>
      </c>
      <c r="R63" s="50">
        <v>168</v>
      </c>
      <c r="S63" s="50">
        <v>163</v>
      </c>
      <c r="T63" s="50">
        <v>175</v>
      </c>
      <c r="U63" s="50">
        <v>163</v>
      </c>
      <c r="V63" s="50">
        <v>187</v>
      </c>
      <c r="W63" s="50">
        <v>201</v>
      </c>
      <c r="X63" s="50">
        <v>194</v>
      </c>
      <c r="Y63" s="50">
        <v>174</v>
      </c>
      <c r="Z63" s="95">
        <v>161</v>
      </c>
      <c r="AA63" s="95">
        <v>167</v>
      </c>
      <c r="AB63" s="95">
        <v>184</v>
      </c>
      <c r="AC63" s="95">
        <v>191</v>
      </c>
      <c r="AD63" s="95">
        <v>204</v>
      </c>
      <c r="AE63" s="59">
        <v>67</v>
      </c>
      <c r="AF63" s="50"/>
      <c r="AG63" s="50"/>
      <c r="AH63" s="50">
        <v>59</v>
      </c>
      <c r="AI63" s="50">
        <v>81</v>
      </c>
      <c r="AJ63" s="50">
        <v>68</v>
      </c>
      <c r="AK63" s="50">
        <v>74</v>
      </c>
      <c r="AL63" s="50">
        <v>65</v>
      </c>
      <c r="AM63" s="50">
        <v>69</v>
      </c>
      <c r="AN63" s="50">
        <v>78</v>
      </c>
      <c r="AO63" s="50">
        <v>97</v>
      </c>
      <c r="AP63" s="50">
        <v>73</v>
      </c>
      <c r="AQ63" s="50">
        <v>86</v>
      </c>
      <c r="AR63" s="50">
        <v>87</v>
      </c>
      <c r="AS63" s="50">
        <v>89</v>
      </c>
      <c r="AT63" s="50">
        <v>87</v>
      </c>
      <c r="AU63" s="50">
        <v>94</v>
      </c>
      <c r="AV63" s="50">
        <v>79</v>
      </c>
      <c r="AW63" s="50">
        <v>75</v>
      </c>
      <c r="AX63" s="50">
        <v>121</v>
      </c>
      <c r="AY63" s="95">
        <v>122</v>
      </c>
      <c r="AZ63" s="95">
        <v>108</v>
      </c>
      <c r="BA63" s="95">
        <v>96</v>
      </c>
      <c r="BB63" s="95">
        <v>104</v>
      </c>
      <c r="BC63" s="95">
        <v>115</v>
      </c>
      <c r="BD63" s="95">
        <v>135</v>
      </c>
      <c r="BE63" s="95">
        <v>100</v>
      </c>
      <c r="BF63" s="95">
        <v>133</v>
      </c>
      <c r="BG63" s="116">
        <v>132</v>
      </c>
    </row>
    <row r="64" spans="1:59">
      <c r="G64" s="8"/>
      <c r="H64" s="8"/>
      <c r="I64" s="8"/>
      <c r="J64" s="8"/>
      <c r="K64" s="8"/>
      <c r="AJ64" s="8"/>
      <c r="AK64" s="8"/>
      <c r="AL64" s="8"/>
    </row>
    <row r="65" spans="2:58">
      <c r="B65" s="1" t="s">
        <v>209</v>
      </c>
      <c r="C65" s="1" t="s">
        <v>210</v>
      </c>
      <c r="D65" s="1" t="s">
        <v>210</v>
      </c>
      <c r="E65" s="1" t="s">
        <v>209</v>
      </c>
      <c r="F65" s="1" t="s">
        <v>209</v>
      </c>
      <c r="G65" s="1" t="s">
        <v>209</v>
      </c>
      <c r="H65" s="1" t="s">
        <v>209</v>
      </c>
      <c r="I65" s="1" t="s">
        <v>209</v>
      </c>
      <c r="J65" s="1" t="s">
        <v>209</v>
      </c>
      <c r="K65" s="1" t="s">
        <v>209</v>
      </c>
      <c r="L65" s="1" t="s">
        <v>209</v>
      </c>
      <c r="R65" s="5" t="s">
        <v>134</v>
      </c>
      <c r="S65" s="5" t="s">
        <v>134</v>
      </c>
      <c r="T65" s="5"/>
      <c r="U65" s="5"/>
      <c r="V65" s="5" t="s">
        <v>134</v>
      </c>
      <c r="W65" s="5"/>
      <c r="X65" s="5"/>
      <c r="Y65" s="5"/>
      <c r="AE65" s="1" t="s">
        <v>209</v>
      </c>
      <c r="AF65" s="1" t="s">
        <v>210</v>
      </c>
      <c r="AG65" s="1" t="s">
        <v>210</v>
      </c>
      <c r="AH65" s="1" t="s">
        <v>209</v>
      </c>
      <c r="AI65" s="1" t="s">
        <v>209</v>
      </c>
      <c r="AJ65" s="1" t="s">
        <v>209</v>
      </c>
      <c r="AK65" s="1" t="s">
        <v>209</v>
      </c>
      <c r="AL65" s="1" t="s">
        <v>209</v>
      </c>
      <c r="AM65" s="1" t="s">
        <v>209</v>
      </c>
      <c r="AN65" s="1" t="s">
        <v>209</v>
      </c>
      <c r="AO65" s="1" t="s">
        <v>209</v>
      </c>
      <c r="AU65" s="5" t="s">
        <v>134</v>
      </c>
      <c r="AV65" s="5" t="s">
        <v>134</v>
      </c>
      <c r="AW65" s="5"/>
      <c r="AY65" s="5" t="s">
        <v>134</v>
      </c>
      <c r="AZ65" s="5"/>
      <c r="BA65" s="5"/>
      <c r="BB65" s="5"/>
    </row>
    <row r="66" spans="2:58">
      <c r="B66" s="1" t="s">
        <v>210</v>
      </c>
      <c r="C66" s="1" t="s">
        <v>243</v>
      </c>
      <c r="D66" s="1" t="s">
        <v>243</v>
      </c>
      <c r="E66" s="1" t="s">
        <v>210</v>
      </c>
      <c r="F66" s="1" t="s">
        <v>210</v>
      </c>
      <c r="G66" s="1" t="s">
        <v>210</v>
      </c>
      <c r="H66" s="1" t="s">
        <v>210</v>
      </c>
      <c r="I66" s="1" t="s">
        <v>210</v>
      </c>
      <c r="J66" s="1" t="s">
        <v>210</v>
      </c>
      <c r="K66" s="1" t="s">
        <v>210</v>
      </c>
      <c r="L66" s="1" t="s">
        <v>210</v>
      </c>
      <c r="R66" s="1" t="s">
        <v>141</v>
      </c>
      <c r="S66" s="1" t="s">
        <v>141</v>
      </c>
      <c r="V66" s="1" t="s">
        <v>141</v>
      </c>
      <c r="AC66" s="5" t="s">
        <v>134</v>
      </c>
      <c r="AD66" s="5"/>
      <c r="AE66" s="1" t="s">
        <v>210</v>
      </c>
      <c r="AF66" s="1" t="s">
        <v>243</v>
      </c>
      <c r="AG66" s="1" t="s">
        <v>243</v>
      </c>
      <c r="AH66" s="1" t="s">
        <v>210</v>
      </c>
      <c r="AI66" s="1" t="s">
        <v>210</v>
      </c>
      <c r="AJ66" s="1" t="s">
        <v>210</v>
      </c>
      <c r="AK66" s="1" t="s">
        <v>210</v>
      </c>
      <c r="AL66" s="1" t="s">
        <v>210</v>
      </c>
      <c r="AM66" s="1" t="s">
        <v>210</v>
      </c>
      <c r="AN66" s="1" t="s">
        <v>210</v>
      </c>
      <c r="AO66" s="1" t="s">
        <v>210</v>
      </c>
      <c r="AU66" s="5" t="s">
        <v>141</v>
      </c>
      <c r="AV66" s="1" t="s">
        <v>141</v>
      </c>
      <c r="AY66" s="1" t="s">
        <v>141</v>
      </c>
      <c r="BF66" s="5" t="s">
        <v>134</v>
      </c>
    </row>
    <row r="67" spans="2:58">
      <c r="B67" s="1" t="s">
        <v>211</v>
      </c>
      <c r="C67" s="1" t="s">
        <v>244</v>
      </c>
      <c r="D67" s="1" t="s">
        <v>244</v>
      </c>
      <c r="E67" s="1" t="s">
        <v>211</v>
      </c>
      <c r="F67" s="1" t="s">
        <v>211</v>
      </c>
      <c r="G67" s="1" t="s">
        <v>211</v>
      </c>
      <c r="H67" s="1" t="s">
        <v>211</v>
      </c>
      <c r="I67" s="1" t="s">
        <v>211</v>
      </c>
      <c r="J67" s="1" t="s">
        <v>211</v>
      </c>
      <c r="K67" s="1" t="s">
        <v>211</v>
      </c>
      <c r="L67" s="1" t="s">
        <v>211</v>
      </c>
      <c r="R67" s="1" t="s">
        <v>147</v>
      </c>
      <c r="S67" s="1" t="s">
        <v>147</v>
      </c>
      <c r="V67" s="1" t="s">
        <v>147</v>
      </c>
      <c r="AC67" s="1" t="s">
        <v>141</v>
      </c>
      <c r="AE67" s="1" t="s">
        <v>211</v>
      </c>
      <c r="AF67" s="1" t="s">
        <v>244</v>
      </c>
      <c r="AG67" s="1" t="s">
        <v>244</v>
      </c>
      <c r="AH67" s="1" t="s">
        <v>211</v>
      </c>
      <c r="AI67" s="1" t="s">
        <v>211</v>
      </c>
      <c r="AJ67" s="1" t="s">
        <v>211</v>
      </c>
      <c r="AK67" s="1" t="s">
        <v>211</v>
      </c>
      <c r="AL67" s="1" t="s">
        <v>211</v>
      </c>
      <c r="AM67" s="1" t="s">
        <v>211</v>
      </c>
      <c r="AN67" s="1" t="s">
        <v>211</v>
      </c>
      <c r="AO67" s="1" t="s">
        <v>211</v>
      </c>
      <c r="AU67" s="5" t="s">
        <v>147</v>
      </c>
      <c r="AV67" s="1" t="s">
        <v>147</v>
      </c>
      <c r="AY67" s="1" t="s">
        <v>147</v>
      </c>
      <c r="BF67" s="1" t="s">
        <v>141</v>
      </c>
    </row>
    <row r="68" spans="2:58">
      <c r="B68" s="1" t="s">
        <v>212</v>
      </c>
      <c r="C68" s="1" t="s">
        <v>245</v>
      </c>
      <c r="D68" s="1" t="s">
        <v>245</v>
      </c>
      <c r="E68" s="1" t="s">
        <v>212</v>
      </c>
      <c r="F68" s="1" t="s">
        <v>212</v>
      </c>
      <c r="G68" s="1" t="s">
        <v>212</v>
      </c>
      <c r="H68" s="1" t="s">
        <v>212</v>
      </c>
      <c r="I68" s="1" t="s">
        <v>212</v>
      </c>
      <c r="J68" s="1" t="s">
        <v>212</v>
      </c>
      <c r="K68" s="1" t="s">
        <v>212</v>
      </c>
      <c r="L68" s="1" t="s">
        <v>212</v>
      </c>
      <c r="R68" s="1" t="s">
        <v>152</v>
      </c>
      <c r="S68" s="1" t="s">
        <v>152</v>
      </c>
      <c r="V68" s="1" t="s">
        <v>152</v>
      </c>
      <c r="AC68" s="1" t="s">
        <v>147</v>
      </c>
      <c r="AE68" s="1" t="s">
        <v>212</v>
      </c>
      <c r="AF68" s="1" t="s">
        <v>245</v>
      </c>
      <c r="AG68" s="1" t="s">
        <v>245</v>
      </c>
      <c r="AH68" s="1" t="s">
        <v>212</v>
      </c>
      <c r="AI68" s="1" t="s">
        <v>212</v>
      </c>
      <c r="AJ68" s="1" t="s">
        <v>212</v>
      </c>
      <c r="AK68" s="1" t="s">
        <v>212</v>
      </c>
      <c r="AL68" s="1" t="s">
        <v>212</v>
      </c>
      <c r="AM68" s="1" t="s">
        <v>212</v>
      </c>
      <c r="AN68" s="1" t="s">
        <v>212</v>
      </c>
      <c r="AO68" s="1" t="s">
        <v>212</v>
      </c>
      <c r="AU68" s="5" t="s">
        <v>153</v>
      </c>
      <c r="AV68" s="1" t="s">
        <v>152</v>
      </c>
      <c r="AY68" s="1" t="s">
        <v>152</v>
      </c>
      <c r="BF68" s="1" t="s">
        <v>147</v>
      </c>
    </row>
    <row r="69" spans="2:58">
      <c r="B69" s="1" t="s">
        <v>213</v>
      </c>
      <c r="C69" s="1" t="s">
        <v>246</v>
      </c>
      <c r="D69" s="1" t="s">
        <v>246</v>
      </c>
      <c r="E69" s="1" t="s">
        <v>213</v>
      </c>
      <c r="F69" s="1" t="s">
        <v>213</v>
      </c>
      <c r="G69" s="1" t="s">
        <v>213</v>
      </c>
      <c r="H69" s="1" t="s">
        <v>213</v>
      </c>
      <c r="I69" s="1" t="s">
        <v>213</v>
      </c>
      <c r="J69" s="1" t="s">
        <v>213</v>
      </c>
      <c r="K69" s="1" t="s">
        <v>213</v>
      </c>
      <c r="L69" s="1" t="s">
        <v>213</v>
      </c>
      <c r="R69" s="1" t="s">
        <v>156</v>
      </c>
      <c r="S69" s="1" t="s">
        <v>156</v>
      </c>
      <c r="V69" s="1" t="s">
        <v>156</v>
      </c>
      <c r="AC69" s="1" t="s">
        <v>152</v>
      </c>
      <c r="AE69" s="1" t="s">
        <v>213</v>
      </c>
      <c r="AF69" s="1" t="s">
        <v>246</v>
      </c>
      <c r="AG69" s="1" t="s">
        <v>246</v>
      </c>
      <c r="AH69" s="1" t="s">
        <v>213</v>
      </c>
      <c r="AI69" s="1" t="s">
        <v>213</v>
      </c>
      <c r="AJ69" s="1" t="s">
        <v>213</v>
      </c>
      <c r="AK69" s="1" t="s">
        <v>213</v>
      </c>
      <c r="AL69" s="1" t="s">
        <v>213</v>
      </c>
      <c r="AM69" s="1" t="s">
        <v>213</v>
      </c>
      <c r="AN69" s="1" t="s">
        <v>213</v>
      </c>
      <c r="AO69" s="1" t="s">
        <v>213</v>
      </c>
      <c r="AU69" s="5" t="s">
        <v>156</v>
      </c>
      <c r="AV69" s="1" t="s">
        <v>156</v>
      </c>
      <c r="AY69" s="1" t="s">
        <v>156</v>
      </c>
      <c r="BF69" s="1" t="s">
        <v>152</v>
      </c>
    </row>
    <row r="70" spans="2:58">
      <c r="B70" s="1" t="s">
        <v>214</v>
      </c>
      <c r="C70" s="1" t="s">
        <v>252</v>
      </c>
      <c r="D70" s="1" t="s">
        <v>253</v>
      </c>
      <c r="E70" s="1" t="s">
        <v>214</v>
      </c>
      <c r="F70" s="1" t="s">
        <v>214</v>
      </c>
      <c r="G70" s="1" t="s">
        <v>214</v>
      </c>
      <c r="H70" s="1" t="s">
        <v>214</v>
      </c>
      <c r="I70" s="1" t="s">
        <v>214</v>
      </c>
      <c r="J70" s="1" t="s">
        <v>214</v>
      </c>
      <c r="K70" s="1" t="s">
        <v>214</v>
      </c>
      <c r="L70" s="1" t="s">
        <v>214</v>
      </c>
      <c r="R70" s="1" t="s">
        <v>159</v>
      </c>
      <c r="S70" s="1" t="s">
        <v>159</v>
      </c>
      <c r="V70" s="1" t="s">
        <v>159</v>
      </c>
      <c r="AC70" s="1" t="s">
        <v>156</v>
      </c>
      <c r="AE70" s="1" t="s">
        <v>214</v>
      </c>
      <c r="AF70" s="1" t="s">
        <v>252</v>
      </c>
      <c r="AG70" s="1" t="s">
        <v>253</v>
      </c>
      <c r="AH70" s="1" t="s">
        <v>214</v>
      </c>
      <c r="AI70" s="1" t="s">
        <v>214</v>
      </c>
      <c r="AJ70" s="1" t="s">
        <v>214</v>
      </c>
      <c r="AK70" s="1" t="s">
        <v>214</v>
      </c>
      <c r="AL70" s="1" t="s">
        <v>214</v>
      </c>
      <c r="AM70" s="1" t="s">
        <v>214</v>
      </c>
      <c r="AN70" s="1" t="s">
        <v>214</v>
      </c>
      <c r="AO70" s="1" t="s">
        <v>214</v>
      </c>
      <c r="AU70" s="5" t="s">
        <v>159</v>
      </c>
      <c r="AV70" s="1" t="s">
        <v>159</v>
      </c>
      <c r="AY70" s="1" t="s">
        <v>159</v>
      </c>
      <c r="BF70" s="1" t="s">
        <v>156</v>
      </c>
    </row>
    <row r="71" spans="2:58">
      <c r="B71" s="1" t="s">
        <v>215</v>
      </c>
      <c r="E71" s="1" t="s">
        <v>215</v>
      </c>
      <c r="F71" s="1" t="s">
        <v>215</v>
      </c>
      <c r="G71" s="1" t="s">
        <v>215</v>
      </c>
      <c r="H71" s="1" t="s">
        <v>215</v>
      </c>
      <c r="I71" s="1" t="s">
        <v>215</v>
      </c>
      <c r="J71" s="1" t="s">
        <v>215</v>
      </c>
      <c r="K71" s="1" t="s">
        <v>215</v>
      </c>
      <c r="L71" s="1" t="s">
        <v>215</v>
      </c>
      <c r="R71" s="1" t="s">
        <v>164</v>
      </c>
      <c r="S71" s="1" t="s">
        <v>164</v>
      </c>
      <c r="V71" s="1" t="s">
        <v>164</v>
      </c>
      <c r="AC71" s="1" t="s">
        <v>159</v>
      </c>
      <c r="AE71" s="1" t="s">
        <v>215</v>
      </c>
      <c r="AH71" s="1" t="s">
        <v>215</v>
      </c>
      <c r="AI71" s="1" t="s">
        <v>215</v>
      </c>
      <c r="AJ71" s="1" t="s">
        <v>215</v>
      </c>
      <c r="AK71" s="1" t="s">
        <v>215</v>
      </c>
      <c r="AL71" s="1" t="s">
        <v>215</v>
      </c>
      <c r="AM71" s="1" t="s">
        <v>215</v>
      </c>
      <c r="AN71" s="1" t="s">
        <v>215</v>
      </c>
      <c r="AO71" s="1" t="s">
        <v>215</v>
      </c>
      <c r="AU71" s="5" t="s">
        <v>163</v>
      </c>
      <c r="AV71" s="1" t="s">
        <v>164</v>
      </c>
      <c r="AY71" s="1" t="s">
        <v>164</v>
      </c>
      <c r="BF71" s="1" t="s">
        <v>159</v>
      </c>
    </row>
    <row r="72" spans="2:58" ht="12.95">
      <c r="B72" s="1" t="s">
        <v>99</v>
      </c>
      <c r="E72" s="1" t="s">
        <v>104</v>
      </c>
      <c r="F72" s="1" t="s">
        <v>105</v>
      </c>
      <c r="G72" s="1" t="s">
        <v>106</v>
      </c>
      <c r="H72" s="1" t="s">
        <v>107</v>
      </c>
      <c r="I72" s="1" t="s">
        <v>108</v>
      </c>
      <c r="J72" s="1" t="s">
        <v>109</v>
      </c>
      <c r="K72" s="1" t="s">
        <v>110</v>
      </c>
      <c r="L72" s="1" t="s">
        <v>112</v>
      </c>
      <c r="R72" s="1" t="s">
        <v>169</v>
      </c>
      <c r="S72" s="1" t="s">
        <v>169</v>
      </c>
      <c r="V72" s="1" t="s">
        <v>169</v>
      </c>
      <c r="AC72" s="1" t="s">
        <v>164</v>
      </c>
      <c r="AE72" s="1" t="s">
        <v>99</v>
      </c>
      <c r="AH72" s="1" t="s">
        <v>104</v>
      </c>
      <c r="AI72" s="1" t="s">
        <v>105</v>
      </c>
      <c r="AJ72" s="1" t="s">
        <v>106</v>
      </c>
      <c r="AK72" s="1" t="s">
        <v>107</v>
      </c>
      <c r="AL72" s="1" t="s">
        <v>108</v>
      </c>
      <c r="AM72" s="1" t="s">
        <v>109</v>
      </c>
      <c r="AN72" s="1" t="s">
        <v>110</v>
      </c>
      <c r="AO72" s="1" t="s">
        <v>112</v>
      </c>
      <c r="AU72" s="7" t="s">
        <v>168</v>
      </c>
      <c r="AV72" s="1" t="s">
        <v>169</v>
      </c>
      <c r="AY72" s="1" t="s">
        <v>169</v>
      </c>
      <c r="BF72" s="1" t="s">
        <v>164</v>
      </c>
    </row>
    <row r="73" spans="2:58" ht="12.95">
      <c r="R73" s="1" t="s">
        <v>172</v>
      </c>
      <c r="S73" s="1" t="s">
        <v>172</v>
      </c>
      <c r="V73" s="1" t="s">
        <v>172</v>
      </c>
      <c r="AC73" s="1" t="s">
        <v>169</v>
      </c>
      <c r="AU73" s="7" t="s">
        <v>171</v>
      </c>
      <c r="AV73" s="1" t="s">
        <v>172</v>
      </c>
      <c r="AY73" s="1" t="s">
        <v>172</v>
      </c>
      <c r="BF73" s="1" t="s">
        <v>169</v>
      </c>
    </row>
    <row r="74" spans="2:58" ht="12.95">
      <c r="R74" s="1" t="s">
        <v>175</v>
      </c>
      <c r="S74" s="1" t="s">
        <v>175</v>
      </c>
      <c r="V74" s="1" t="s">
        <v>234</v>
      </c>
      <c r="AC74" s="1" t="s">
        <v>172</v>
      </c>
      <c r="AU74" s="7" t="s">
        <v>174</v>
      </c>
      <c r="AV74" s="1" t="s">
        <v>175</v>
      </c>
      <c r="AY74" s="1" t="s">
        <v>234</v>
      </c>
      <c r="BF74" s="1" t="s">
        <v>172</v>
      </c>
    </row>
    <row r="75" spans="2:58" ht="12.95">
      <c r="R75" s="1" t="s">
        <v>180</v>
      </c>
      <c r="S75" s="1" t="s">
        <v>180</v>
      </c>
      <c r="V75" s="1" t="s">
        <v>180</v>
      </c>
      <c r="AC75" s="1" t="s">
        <v>176</v>
      </c>
      <c r="AU75" s="7" t="s">
        <v>180</v>
      </c>
      <c r="AV75" s="1" t="s">
        <v>180</v>
      </c>
      <c r="AY75" s="1" t="s">
        <v>180</v>
      </c>
      <c r="BF75" s="1" t="s">
        <v>176</v>
      </c>
    </row>
    <row r="76" spans="2:58">
      <c r="AC76" s="1" t="s">
        <v>180</v>
      </c>
      <c r="BF76" s="1" t="s">
        <v>180</v>
      </c>
    </row>
    <row r="77" spans="2:58">
      <c r="R77" s="1" t="s">
        <v>185</v>
      </c>
      <c r="S77" s="1" t="s">
        <v>185</v>
      </c>
      <c r="AU77" s="1" t="s">
        <v>185</v>
      </c>
      <c r="AV77" s="1" t="s">
        <v>185</v>
      </c>
    </row>
    <row r="78" spans="2:58">
      <c r="R78" s="1" t="s">
        <v>187</v>
      </c>
      <c r="S78" s="1" t="s">
        <v>187</v>
      </c>
      <c r="AU78" s="1" t="s">
        <v>187</v>
      </c>
      <c r="AV78" s="1" t="s">
        <v>187</v>
      </c>
    </row>
    <row r="79" spans="2:58">
      <c r="R79" s="1" t="s">
        <v>188</v>
      </c>
      <c r="S79" s="1" t="s">
        <v>188</v>
      </c>
      <c r="AU79" s="1" t="s">
        <v>188</v>
      </c>
      <c r="AV79" s="1" t="s">
        <v>188</v>
      </c>
    </row>
    <row r="80" spans="2:58">
      <c r="R80" s="1" t="s">
        <v>275</v>
      </c>
      <c r="S80" s="1" t="s">
        <v>275</v>
      </c>
      <c r="AU80" s="1" t="s">
        <v>189</v>
      </c>
      <c r="AV80" s="1" t="s">
        <v>189</v>
      </c>
    </row>
    <row r="81" spans="18:49">
      <c r="R81" s="1" t="s">
        <v>190</v>
      </c>
      <c r="S81" s="1" t="s">
        <v>190</v>
      </c>
      <c r="AU81" s="1" t="s">
        <v>190</v>
      </c>
      <c r="AV81" s="1" t="s">
        <v>190</v>
      </c>
    </row>
    <row r="82" spans="18:49">
      <c r="R82" s="1" t="s">
        <v>191</v>
      </c>
      <c r="S82" s="1" t="s">
        <v>191</v>
      </c>
      <c r="AU82" s="1" t="s">
        <v>191</v>
      </c>
      <c r="AV82" s="1" t="s">
        <v>191</v>
      </c>
    </row>
    <row r="83" spans="18:49">
      <c r="R83" s="1" t="s">
        <v>192</v>
      </c>
      <c r="S83" s="1" t="s">
        <v>192</v>
      </c>
      <c r="AU83" s="1" t="s">
        <v>192</v>
      </c>
      <c r="AV83" s="1" t="s">
        <v>192</v>
      </c>
    </row>
    <row r="84" spans="18:49">
      <c r="R84" s="1" t="s">
        <v>193</v>
      </c>
      <c r="S84" s="1" t="s">
        <v>193</v>
      </c>
      <c r="AU84" s="1" t="s">
        <v>193</v>
      </c>
      <c r="AV84" s="1" t="s">
        <v>193</v>
      </c>
    </row>
    <row r="85" spans="18:49">
      <c r="R85" s="1" t="s">
        <v>194</v>
      </c>
      <c r="S85" s="1" t="s">
        <v>194</v>
      </c>
      <c r="AU85" s="1" t="s">
        <v>194</v>
      </c>
      <c r="AV85" s="1" t="s">
        <v>194</v>
      </c>
    </row>
    <row r="86" spans="18:49">
      <c r="R86" s="1" t="s">
        <v>195</v>
      </c>
      <c r="S86" s="1" t="s">
        <v>195</v>
      </c>
      <c r="AU86" s="1" t="s">
        <v>195</v>
      </c>
      <c r="AV86" s="1" t="s">
        <v>195</v>
      </c>
    </row>
    <row r="87" spans="18:49">
      <c r="R87" s="1" t="s">
        <v>196</v>
      </c>
      <c r="S87" s="1" t="s">
        <v>196</v>
      </c>
      <c r="AU87" s="1" t="s">
        <v>196</v>
      </c>
      <c r="AV87" s="1" t="s">
        <v>196</v>
      </c>
    </row>
    <row r="88" spans="18:49">
      <c r="R88" s="1" t="s">
        <v>197</v>
      </c>
      <c r="S88" s="1" t="s">
        <v>197</v>
      </c>
      <c r="AU88" s="1" t="s">
        <v>197</v>
      </c>
      <c r="AV88" s="1" t="s">
        <v>197</v>
      </c>
    </row>
    <row r="89" spans="18:49">
      <c r="R89" s="1" t="s">
        <v>198</v>
      </c>
      <c r="S89" s="1" t="s">
        <v>198</v>
      </c>
      <c r="AU89" s="1" t="s">
        <v>198</v>
      </c>
      <c r="AV89" s="1" t="s">
        <v>198</v>
      </c>
    </row>
    <row r="90" spans="18:49">
      <c r="R90" s="1" t="s">
        <v>276</v>
      </c>
      <c r="S90" s="1" t="s">
        <v>276</v>
      </c>
      <c r="AU90" s="1" t="s">
        <v>276</v>
      </c>
      <c r="AV90" s="1" t="s">
        <v>276</v>
      </c>
    </row>
    <row r="91" spans="18:49">
      <c r="R91" s="1" t="s">
        <v>277</v>
      </c>
      <c r="S91" s="1" t="s">
        <v>277</v>
      </c>
      <c r="AU91" s="1" t="s">
        <v>277</v>
      </c>
      <c r="AV91" s="1" t="s">
        <v>277</v>
      </c>
    </row>
    <row r="92" spans="18:49">
      <c r="R92" s="1" t="s">
        <v>278</v>
      </c>
      <c r="S92" s="1" t="s">
        <v>278</v>
      </c>
      <c r="AU92" s="1" t="s">
        <v>278</v>
      </c>
      <c r="AV92" s="1" t="s">
        <v>278</v>
      </c>
    </row>
    <row r="93" spans="18:49">
      <c r="R93" s="1" t="s">
        <v>279</v>
      </c>
      <c r="S93" s="1" t="s">
        <v>279</v>
      </c>
      <c r="AU93" s="1" t="s">
        <v>279</v>
      </c>
      <c r="AV93" s="1" t="s">
        <v>279</v>
      </c>
    </row>
    <row r="94" spans="18:49" ht="12.95">
      <c r="R94" s="52" t="s">
        <v>200</v>
      </c>
      <c r="S94" s="52" t="s">
        <v>200</v>
      </c>
      <c r="T94" s="52"/>
      <c r="U94" s="52"/>
      <c r="V94" s="52"/>
      <c r="W94" s="52"/>
      <c r="X94" s="52"/>
      <c r="Y94" s="52"/>
      <c r="AU94" s="52" t="s">
        <v>200</v>
      </c>
      <c r="AV94" s="52" t="s">
        <v>200</v>
      </c>
      <c r="AW94" s="52"/>
    </row>
    <row r="96" spans="18:49">
      <c r="R96" s="1" t="s">
        <v>201</v>
      </c>
      <c r="AU96" s="1" t="s">
        <v>201</v>
      </c>
    </row>
    <row r="97" spans="18:47">
      <c r="R97" s="1" t="s">
        <v>202</v>
      </c>
      <c r="AU97" s="1" t="s">
        <v>202</v>
      </c>
    </row>
    <row r="98" spans="18:47">
      <c r="R98" s="1" t="s">
        <v>203</v>
      </c>
      <c r="AU98" s="1" t="s">
        <v>203</v>
      </c>
    </row>
    <row r="99" spans="18:47">
      <c r="R99" s="1" t="s">
        <v>204</v>
      </c>
      <c r="AU99" s="1" t="s">
        <v>204</v>
      </c>
    </row>
    <row r="100" spans="18:47">
      <c r="R100" s="1" t="s">
        <v>205</v>
      </c>
      <c r="AU100" s="1" t="s">
        <v>205</v>
      </c>
    </row>
    <row r="101" spans="18:47">
      <c r="R101" s="1" t="s">
        <v>206</v>
      </c>
      <c r="AU101" s="1" t="s">
        <v>206</v>
      </c>
    </row>
  </sheetData>
  <phoneticPr fontId="0" type="noConversion"/>
  <hyperlinks>
    <hyperlink ref="AV75" r:id="rId1" display="www.nces.ed.gov" xr:uid="{00000000-0004-0000-0600-000000000000}"/>
    <hyperlink ref="S75" r:id="rId2" display="www.nces.ed.gov" xr:uid="{00000000-0004-0000-0600-000001000000}"/>
    <hyperlink ref="R75" r:id="rId3" display="www.nces.ed.gov" xr:uid="{00000000-0004-0000-0600-000002000000}"/>
    <hyperlink ref="V75" r:id="rId4" display="www.nces.ed.gov" xr:uid="{00000000-0004-0000-0600-000003000000}"/>
    <hyperlink ref="AY75" r:id="rId5" display="www.nces.ed.gov" xr:uid="{00000000-0004-0000-0600-000004000000}"/>
    <hyperlink ref="AC76" r:id="rId6" display="www.nces.ed.gov" xr:uid="{E2026492-016C-469F-886A-3E9500A69C8F}"/>
    <hyperlink ref="BF76" r:id="rId7" display="www.nces.ed.gov" xr:uid="{BB1392F6-A992-4213-BA9C-90AB07580BC9}"/>
  </hyperlinks>
  <pageMargins left="0.75" right="0.75" top="1" bottom="1" header="0.5" footer="0.5"/>
  <pageSetup orientation="portrait" r:id="rId8"/>
  <headerFooter alignWithMargins="0"/>
  <legacy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7"/>
  </sheetPr>
  <dimension ref="A1:AZ62"/>
  <sheetViews>
    <sheetView zoomScale="80" zoomScaleNormal="80" workbookViewId="0">
      <pane xSplit="1" ySplit="2" topLeftCell="AF3" activePane="bottomRight" state="frozen"/>
      <selection pane="bottomRight" activeCell="AZ62" sqref="AZ62"/>
      <selection pane="bottomLeft" activeCell="A2" sqref="A2"/>
      <selection pane="topRight" activeCell="B1" sqref="B1"/>
    </sheetView>
  </sheetViews>
  <sheetFormatPr defaultColWidth="9.140625" defaultRowHeight="12.6"/>
  <cols>
    <col min="1" max="1" width="18" style="1" customWidth="1"/>
    <col min="2" max="16384" width="9.140625" style="1"/>
  </cols>
  <sheetData>
    <row r="1" spans="1:52" ht="12.75">
      <c r="A1" s="11" t="s">
        <v>280</v>
      </c>
    </row>
    <row r="2" spans="1:52" ht="12.75">
      <c r="A2" s="88"/>
      <c r="B2" s="87" t="s">
        <v>82</v>
      </c>
      <c r="C2" s="87" t="s">
        <v>83</v>
      </c>
      <c r="D2" s="87" t="s">
        <v>84</v>
      </c>
      <c r="E2" s="87" t="s">
        <v>85</v>
      </c>
      <c r="F2" s="87" t="s">
        <v>86</v>
      </c>
      <c r="G2" s="87" t="s">
        <v>87</v>
      </c>
      <c r="H2" s="87" t="s">
        <v>88</v>
      </c>
      <c r="I2" s="87" t="s">
        <v>89</v>
      </c>
      <c r="J2" s="87" t="s">
        <v>90</v>
      </c>
      <c r="K2" s="87" t="s">
        <v>91</v>
      </c>
      <c r="L2" s="87" t="s">
        <v>92</v>
      </c>
      <c r="M2" s="87" t="s">
        <v>93</v>
      </c>
      <c r="N2" s="87" t="s">
        <v>94</v>
      </c>
      <c r="O2" s="87" t="s">
        <v>95</v>
      </c>
      <c r="P2" s="87" t="s">
        <v>96</v>
      </c>
      <c r="Q2" s="87" t="s">
        <v>97</v>
      </c>
      <c r="R2" s="87" t="s">
        <v>98</v>
      </c>
      <c r="S2" s="87" t="s">
        <v>99</v>
      </c>
      <c r="T2" s="87" t="s">
        <v>100</v>
      </c>
      <c r="U2" s="87" t="s">
        <v>101</v>
      </c>
      <c r="V2" s="87" t="s">
        <v>102</v>
      </c>
      <c r="W2" s="87" t="s">
        <v>103</v>
      </c>
      <c r="X2" s="87" t="s">
        <v>104</v>
      </c>
      <c r="Y2" s="87" t="s">
        <v>105</v>
      </c>
      <c r="Z2" s="87" t="s">
        <v>106</v>
      </c>
      <c r="AA2" s="87" t="s">
        <v>107</v>
      </c>
      <c r="AB2" s="87" t="s">
        <v>108</v>
      </c>
      <c r="AC2" s="87" t="s">
        <v>109</v>
      </c>
      <c r="AD2" s="87" t="s">
        <v>110</v>
      </c>
      <c r="AE2" s="87" t="s">
        <v>111</v>
      </c>
      <c r="AF2" s="87" t="s">
        <v>112</v>
      </c>
      <c r="AG2" s="87" t="s">
        <v>113</v>
      </c>
      <c r="AH2" s="87" t="s">
        <v>114</v>
      </c>
      <c r="AI2" s="87" t="s">
        <v>115</v>
      </c>
      <c r="AJ2" s="87" t="s">
        <v>116</v>
      </c>
      <c r="AK2" s="87" t="s">
        <v>117</v>
      </c>
      <c r="AL2" s="87" t="s">
        <v>118</v>
      </c>
      <c r="AM2" s="87" t="s">
        <v>119</v>
      </c>
      <c r="AN2" s="87" t="s">
        <v>120</v>
      </c>
      <c r="AO2" s="87" t="s">
        <v>121</v>
      </c>
      <c r="AP2" s="87" t="s">
        <v>122</v>
      </c>
      <c r="AQ2" s="87" t="s">
        <v>123</v>
      </c>
      <c r="AR2" s="87" t="s">
        <v>124</v>
      </c>
      <c r="AS2" s="87" t="s">
        <v>125</v>
      </c>
      <c r="AT2" s="87" t="s">
        <v>126</v>
      </c>
      <c r="AU2" s="87" t="s">
        <v>14</v>
      </c>
      <c r="AV2" s="87" t="s">
        <v>127</v>
      </c>
      <c r="AW2" s="87" t="s">
        <v>128</v>
      </c>
      <c r="AX2" s="87" t="s">
        <v>129</v>
      </c>
      <c r="AY2" s="87" t="s">
        <v>130</v>
      </c>
      <c r="AZ2" s="143" t="s">
        <v>13</v>
      </c>
    </row>
    <row r="3" spans="1:52" ht="12.75">
      <c r="A3" s="76" t="s">
        <v>16</v>
      </c>
      <c r="B3" s="81">
        <f>(Gender!BA4/'Total 1st Prof'!C4)*100</f>
        <v>5.2723523684059792</v>
      </c>
      <c r="C3" s="82">
        <f>(Gender!BB4/'Total 1st Prof'!D4)*100</f>
        <v>6.33004796289464</v>
      </c>
      <c r="D3" s="82">
        <f>(Gender!BC4/'Total 1st Prof'!E4)*100</f>
        <v>6.19197899149985</v>
      </c>
      <c r="E3" s="82">
        <f>(Gender!BD4/'Total 1st Prof'!F4)*100</f>
        <v>7.0554600343876199</v>
      </c>
      <c r="F3" s="82">
        <f>(Gender!BE4/'Total 1st Prof'!G4)*100</f>
        <v>9.822357663148507</v>
      </c>
      <c r="G3" s="82">
        <f>(Gender!BF4/'Total 1st Prof'!H4)*100</f>
        <v>12.447242292009443</v>
      </c>
      <c r="H3" s="82">
        <f>(Gender!BG4/'Total 1st Prof'!I4)*100</f>
        <v>15.574071413749621</v>
      </c>
      <c r="I3" s="82">
        <f>(Gender!BH4/'Total 1st Prof'!J4)*100</f>
        <v>18.622104134619867</v>
      </c>
      <c r="J3" s="82">
        <f>(Gender!BI4/'Total 1st Prof'!K4)*100</f>
        <v>21.494119944128204</v>
      </c>
      <c r="K3" s="82">
        <f>(Gender!BJ4/'Total 1st Prof'!L4)*100</f>
        <v>23.524285382291424</v>
      </c>
      <c r="L3" s="82">
        <f>(Gender!BK4/'Total 1st Prof'!M4)*100</f>
        <v>24.836312283354491</v>
      </c>
      <c r="M3" s="82">
        <f>(Gender!BL4/'Total 1st Prof'!N4)*100</f>
        <v>26.638289585332942</v>
      </c>
      <c r="N3" s="82">
        <f>(Gender!BM4/'Total 1st Prof'!O4)*100</f>
        <v>27.513242224971847</v>
      </c>
      <c r="O3" s="82">
        <f>(Gender!BN4/'Total 1st Prof'!P4)*100</f>
        <v>29.857540482360523</v>
      </c>
      <c r="P3" s="82">
        <f>(Gender!BO4/'Total 1st Prof'!Q4)*100</f>
        <v>31.019408987585241</v>
      </c>
      <c r="Q3" s="82">
        <f>(Gender!BP4/'Total 1st Prof'!R4)*100</f>
        <v>32.802926139018304</v>
      </c>
      <c r="R3" s="82">
        <f>(Gender!BQ4/'Total 1st Prof'!S4)*100</f>
        <v>33.373103569830661</v>
      </c>
      <c r="S3" s="82">
        <f>(Gender!BR4/'Total 1st Prof'!T4)*100</f>
        <v>35.083889565229562</v>
      </c>
      <c r="T3" s="81">
        <f>(Gender!BS4/'Total 1st Prof'!U4)*100</f>
        <v>35.724247858139066</v>
      </c>
      <c r="U3" s="82">
        <f>(Gender!BT4/'Total 1st Prof'!V4)*100</f>
        <v>36.339173169799025</v>
      </c>
      <c r="V3" s="82">
        <f>(Gender!BU4/'Total 1st Prof'!W4)*100</f>
        <v>38.107203862388303</v>
      </c>
      <c r="W3" s="82">
        <f>(Gender!BV4/'Total 1st Prof'!X4)*100</f>
        <v>39.109179793590435</v>
      </c>
      <c r="X3" s="82">
        <f>(Gender!BW4/'Total 1st Prof'!Y4)*100</f>
        <v>39.253991644922735</v>
      </c>
      <c r="Y3" s="82">
        <f>(Gender!BX4/'Total 1st Prof'!Z4)*100</f>
        <v>40.130529561888558</v>
      </c>
      <c r="Z3" s="82">
        <f>(Gender!BY4/'Total 1st Prof'!AA4)*100</f>
        <v>40.759735859585724</v>
      </c>
      <c r="AA3" s="82">
        <f>(Gender!BZ4/'Total 1st Prof'!AB4)*100</f>
        <v>40.865645201803211</v>
      </c>
      <c r="AB3" s="82">
        <f>(Gender!CA4/'Total 1st Prof'!AC4)*100</f>
        <v>41.724777351197474</v>
      </c>
      <c r="AC3" s="82">
        <f>(Gender!CB4/'Total 1st Prof'!AD4)*100</f>
        <v>42.158185474632795</v>
      </c>
      <c r="AD3" s="82">
        <f>(Gender!CC4/'Total 1st Prof'!AE4)*100</f>
        <v>42.859869207867888</v>
      </c>
      <c r="AE3" s="82">
        <f>(Gender!CD4/'Total 1st Prof'!AF4)*100</f>
        <v>43.473272224276187</v>
      </c>
      <c r="AF3" s="82">
        <f>(Gender!CE4/'Total 1st Prof'!AG4)*100</f>
        <v>44.740622306606539</v>
      </c>
      <c r="AG3" s="82">
        <f>(Gender!CF4/'Total 1st Prof'!AH4)*100</f>
        <v>46.225551080833554</v>
      </c>
      <c r="AH3" s="82">
        <f>(Gender!CG4/'Total 1st Prof'!AI4)*100</f>
        <v>47.325832114798381</v>
      </c>
      <c r="AI3" s="82">
        <f>(Gender!CH4/'Total 1st Prof'!AJ4)*100</f>
        <v>48.221812922605288</v>
      </c>
      <c r="AJ3" s="82">
        <f>(Gender!CI4/'Total 1st Prof'!AK4)*100</f>
        <v>49.21906046410809</v>
      </c>
      <c r="AK3" s="82">
        <f>(Gender!CJ4/'Total 1st Prof'!AL4)*100</f>
        <v>49.76572076664872</v>
      </c>
      <c r="AL3" s="82">
        <f>(Gender!CK4/'Total 1st Prof'!AM4)*100</f>
        <v>49.759853972962183</v>
      </c>
      <c r="AM3" s="82">
        <f>(Gender!CL4/'Total 1st Prof'!AN4)*100</f>
        <v>49.972241961271983</v>
      </c>
      <c r="AN3" s="82">
        <f>(Gender!CM4/'Total 1st Prof'!AO4)*100</f>
        <v>50.551121246674271</v>
      </c>
      <c r="AO3" s="82">
        <f>(Gender!CN4/'Total 1st Prof'!AP4)*100</f>
        <v>50.724210215840984</v>
      </c>
      <c r="AP3" s="82">
        <f>(Gender!CO4/'Total 1st Prof'!AQ4)*100</f>
        <v>52.903660634349002</v>
      </c>
      <c r="AQ3" s="82">
        <f>(Gender!CP4/'Total 1st Prof'!AR4)*100</f>
        <v>52.557555951095679</v>
      </c>
      <c r="AR3" s="82">
        <f>(Gender!CQ4/'Total 1st Prof'!AS4)*100</f>
        <v>52.393043869347679</v>
      </c>
      <c r="AS3" s="82">
        <f>(Gender!CR4/'Total 1st Prof'!AT4)*100</f>
        <v>52.443346677929995</v>
      </c>
      <c r="AT3" s="82">
        <f>(Gender!CS4/'Total 1st Prof'!AU4)*100</f>
        <v>52.873319635502568</v>
      </c>
      <c r="AU3" s="82">
        <f>(Gender!CT4/'Total 1st Prof'!AV4)*100</f>
        <v>53.874022460249805</v>
      </c>
      <c r="AV3" s="82">
        <f>(Gender!CU4/'Total 1st Prof'!AW4)*100</f>
        <v>54.327555739369103</v>
      </c>
      <c r="AW3" s="82">
        <f>(Gender!CV4/'Total 1st Prof'!AX4)*100</f>
        <v>55.147140272495662</v>
      </c>
      <c r="AX3" s="82">
        <f>(Gender!CW4/'Total 1st Prof'!AY4)*100</f>
        <v>55.417028472190488</v>
      </c>
      <c r="AY3" s="82">
        <f>(Gender!CX4/'Total 1st Prof'!AZ4)*100</f>
        <v>56.401666144130424</v>
      </c>
      <c r="AZ3" s="82">
        <f>(Gender!CY4/'Total 1st Prof'!BA4)*100</f>
        <v>57.550337041225099</v>
      </c>
    </row>
    <row r="4" spans="1:52" ht="12.75">
      <c r="A4" s="77" t="s">
        <v>17</v>
      </c>
      <c r="B4" s="83">
        <f>(Gender!BA5/'Total 1st Prof'!C5)*100</f>
        <v>4.3125263601855757</v>
      </c>
      <c r="C4" s="84">
        <f>(Gender!BB5/'Total 1st Prof'!D5)*100</f>
        <v>4.7841070342590708</v>
      </c>
      <c r="D4" s="84">
        <f>(Gender!BC5/'Total 1st Prof'!E5)*100</f>
        <v>4.7662032857916596</v>
      </c>
      <c r="E4" s="84">
        <f>(Gender!BD5/'Total 1st Prof'!F5)*100</f>
        <v>4.9950806024369934</v>
      </c>
      <c r="F4" s="84">
        <f>(Gender!BE5/'Total 1st Prof'!G5)*100</f>
        <v>6.9269949066213918</v>
      </c>
      <c r="G4" s="84">
        <f>(Gender!BF5/'Total 1st Prof'!H5)*100</f>
        <v>9.8074488640149244</v>
      </c>
      <c r="H4" s="84">
        <f>(Gender!BG5/'Total 1st Prof'!I5)*100</f>
        <v>12.435555003416361</v>
      </c>
      <c r="I4" s="84">
        <f>(Gender!BH5/'Total 1st Prof'!J5)*100</f>
        <v>15.467540202501489</v>
      </c>
      <c r="J4" s="84">
        <f>(Gender!BI5/'Total 1st Prof'!K5)*100</f>
        <v>18.662195756489563</v>
      </c>
      <c r="K4" s="84">
        <f>(Gender!BJ5/'Total 1st Prof'!L5)*100</f>
        <v>20.407252440725244</v>
      </c>
      <c r="L4" s="84">
        <f>(Gender!BK5/'Total 1st Prof'!M5)*100</f>
        <v>21.203718806067524</v>
      </c>
      <c r="M4" s="84">
        <f>(Gender!BL5/'Total 1st Prof'!N5)*100</f>
        <v>23.647040955804183</v>
      </c>
      <c r="N4" s="84">
        <f>(Gender!BM5/'Total 1st Prof'!O5)*100</f>
        <v>24.431335299705044</v>
      </c>
      <c r="O4" s="84">
        <f>(Gender!BN5/'Total 1st Prof'!P5)*100</f>
        <v>26.649206898255674</v>
      </c>
      <c r="P4" s="84">
        <f>(Gender!BO5/'Total 1st Prof'!Q5)*100</f>
        <v>28.2413097989085</v>
      </c>
      <c r="Q4" s="84">
        <f>(Gender!BP5/'Total 1st Prof'!R5)*100</f>
        <v>30.836561917061271</v>
      </c>
      <c r="R4" s="84">
        <f>(Gender!BQ5/'Total 1st Prof'!S5)*100</f>
        <v>31.09901651866705</v>
      </c>
      <c r="S4" s="84">
        <f>(Gender!BR5/'Total 1st Prof'!T5)*100</f>
        <v>33.145056483055086</v>
      </c>
      <c r="T4" s="83">
        <f>(Gender!BS5/'Total 1st Prof'!U5)*100</f>
        <v>34.025727013364033</v>
      </c>
      <c r="U4" s="84">
        <f>(Gender!BT5/'Total 1st Prof'!V5)*100</f>
        <v>34.432795964790827</v>
      </c>
      <c r="V4" s="84">
        <f>(Gender!BU5/'Total 1st Prof'!W5)*100</f>
        <v>36.653187559283111</v>
      </c>
      <c r="W4" s="84">
        <f>(Gender!BV5/'Total 1st Prof'!X5)*100</f>
        <v>37.332243013131944</v>
      </c>
      <c r="X4" s="84">
        <f>(Gender!BW5/'Total 1st Prof'!Y5)*100</f>
        <v>37.046153846153842</v>
      </c>
      <c r="Y4" s="84">
        <f>(Gender!BX5/'Total 1st Prof'!Z5)*100</f>
        <v>38.409864728075824</v>
      </c>
      <c r="Z4" s="84">
        <f>(Gender!BY5/'Total 1st Prof'!AA5)*100</f>
        <v>38.80494190051899</v>
      </c>
      <c r="AA4" s="84">
        <f>(Gender!BZ5/'Total 1st Prof'!AB5)*100</f>
        <v>39.018284232643389</v>
      </c>
      <c r="AB4" s="84">
        <f>(Gender!CA5/'Total 1st Prof'!AC5)*100</f>
        <v>40.003536224196608</v>
      </c>
      <c r="AC4" s="84">
        <f>(Gender!CB5/'Total 1st Prof'!AD5)*100</f>
        <v>39.913287426676867</v>
      </c>
      <c r="AD4" s="84">
        <f>(Gender!CC5/'Total 1st Prof'!AE5)*100</f>
        <v>41.552473262032088</v>
      </c>
      <c r="AE4" s="84">
        <f>(Gender!CD5/'Total 1st Prof'!AF5)*100</f>
        <v>42.131366174877058</v>
      </c>
      <c r="AF4" s="84">
        <f>(Gender!CE5/'Total 1st Prof'!AG5)*100</f>
        <v>43.091231178033659</v>
      </c>
      <c r="AG4" s="84">
        <f>(Gender!CF5/'Total 1st Prof'!AH5)*100</f>
        <v>45.289448530939616</v>
      </c>
      <c r="AH4" s="84">
        <f>(Gender!CG5/'Total 1st Prof'!AI5)*100</f>
        <v>46.381093057607089</v>
      </c>
      <c r="AI4" s="84">
        <f>(Gender!CH5/'Total 1st Prof'!AJ5)*100</f>
        <v>47.905214059636847</v>
      </c>
      <c r="AJ4" s="84">
        <f>(Gender!CI5/'Total 1st Prof'!AK5)*100</f>
        <v>48.265617472298054</v>
      </c>
      <c r="AK4" s="84">
        <f>(Gender!CJ5/'Total 1st Prof'!AL5)*100</f>
        <v>49.753445932828576</v>
      </c>
      <c r="AL4" s="84">
        <f>(Gender!CK5/'Total 1st Prof'!AM5)*100</f>
        <v>49.311462902918173</v>
      </c>
      <c r="AM4" s="84">
        <f>(Gender!CL5/'Total 1st Prof'!AN5)*100</f>
        <v>50.226928895612708</v>
      </c>
      <c r="AN4" s="84">
        <f>(Gender!CM5/'Total 1st Prof'!AO5)*100</f>
        <v>49.514875944291283</v>
      </c>
      <c r="AO4" s="84">
        <f>(Gender!CN5/'Total 1st Prof'!AP5)*100</f>
        <v>49.439021848622737</v>
      </c>
      <c r="AP4" s="84">
        <f>(Gender!CO5/'Total 1st Prof'!AQ5)*100</f>
        <v>52.658583613843589</v>
      </c>
      <c r="AQ4" s="84">
        <f>(Gender!CP5/'Total 1st Prof'!AR5)*100</f>
        <v>52.297245843381134</v>
      </c>
      <c r="AR4" s="84">
        <f>(Gender!CQ5/'Total 1st Prof'!AS5)*100</f>
        <v>51.932461156183571</v>
      </c>
      <c r="AS4" s="84">
        <f>(Gender!CR5/'Total 1st Prof'!AT5)*100</f>
        <v>52.094967896072866</v>
      </c>
      <c r="AT4" s="84">
        <f>(Gender!CS5/'Total 1st Prof'!AU5)*100</f>
        <v>52.499108522524665</v>
      </c>
      <c r="AU4" s="84">
        <f>(Gender!CT5/'Total 1st Prof'!AV5)*100</f>
        <v>54.004419493549925</v>
      </c>
      <c r="AV4" s="84">
        <f>(Gender!CU5/'Total 1st Prof'!AW5)*100</f>
        <v>54.119748153529478</v>
      </c>
      <c r="AW4" s="84">
        <f>(Gender!CV5/'Total 1st Prof'!AX5)*100</f>
        <v>54.828502343353534</v>
      </c>
      <c r="AX4" s="84">
        <f>(Gender!CW5/'Total 1st Prof'!AY5)*100</f>
        <v>55.180680102992099</v>
      </c>
      <c r="AY4" s="84">
        <f>(Gender!CX5/'Total 1st Prof'!AZ5)*100</f>
        <v>56.140049280843506</v>
      </c>
      <c r="AZ4" s="84">
        <f>(Gender!CY5/'Total 1st Prof'!BA5)*100</f>
        <v>57.710651828298886</v>
      </c>
    </row>
    <row r="5" spans="1:52" ht="12.75">
      <c r="A5" s="78"/>
      <c r="B5" s="85"/>
      <c r="C5" s="86"/>
      <c r="D5" s="86"/>
      <c r="E5" s="86"/>
      <c r="F5" s="86"/>
      <c r="G5" s="86"/>
      <c r="H5" s="86"/>
      <c r="I5" s="86"/>
      <c r="J5" s="86"/>
      <c r="K5" s="86"/>
      <c r="L5" s="86"/>
      <c r="M5" s="86"/>
      <c r="N5" s="86"/>
      <c r="O5" s="86"/>
      <c r="P5" s="86"/>
      <c r="Q5" s="86"/>
      <c r="R5" s="86"/>
      <c r="S5" s="86"/>
      <c r="T5" s="85"/>
      <c r="U5" s="86"/>
      <c r="V5" s="86"/>
      <c r="W5" s="86"/>
      <c r="X5" s="86"/>
      <c r="Y5" s="86"/>
      <c r="Z5" s="86"/>
      <c r="AA5" s="86"/>
      <c r="AB5" s="86"/>
      <c r="AC5" s="86"/>
      <c r="AD5" s="86"/>
      <c r="AE5" s="86"/>
      <c r="AF5" s="86"/>
      <c r="AG5" s="86"/>
      <c r="AH5" s="86"/>
      <c r="AI5" s="86"/>
      <c r="AJ5" s="86"/>
      <c r="AK5" s="86"/>
      <c r="AL5" s="86"/>
      <c r="AM5" s="86"/>
      <c r="AN5" s="86"/>
      <c r="AO5" s="86"/>
      <c r="AP5" s="86"/>
      <c r="AQ5" s="86"/>
      <c r="AR5" s="101"/>
      <c r="AS5" s="101"/>
      <c r="AT5" s="101"/>
      <c r="AU5" s="101"/>
      <c r="AV5" s="101"/>
      <c r="AW5" s="101"/>
      <c r="AX5" s="101"/>
      <c r="AY5" s="101"/>
      <c r="AZ5" s="101"/>
    </row>
    <row r="6" spans="1:52" ht="12.75">
      <c r="A6" s="77" t="s">
        <v>19</v>
      </c>
      <c r="B6" s="102">
        <f>(Gender!BA7/'Total 1st Prof'!C7)*100</f>
        <v>3.3898305084745761</v>
      </c>
      <c r="C6" s="103">
        <f>(Gender!BB7/'Total 1st Prof'!D7)*100</f>
        <v>5.4117647058823524</v>
      </c>
      <c r="D6" s="103">
        <f>(Gender!BC7/'Total 1st Prof'!E7)*100</f>
        <v>3.7037037037037033</v>
      </c>
      <c r="E6" s="103">
        <f>(Gender!BD7/'Total 1st Prof'!F7)*100</f>
        <v>2.7450980392156863</v>
      </c>
      <c r="F6" s="103">
        <f>(Gender!BE7/'Total 1st Prof'!G7)*100</f>
        <v>5.2777777777777777</v>
      </c>
      <c r="G6" s="103">
        <f>(Gender!BF7/'Total 1st Prof'!H7)*100</f>
        <v>8.1145584725536999</v>
      </c>
      <c r="H6" s="103">
        <f>(Gender!BG7/'Total 1st Prof'!I7)*100</f>
        <v>8.9408528198074286</v>
      </c>
      <c r="I6" s="103">
        <f>(Gender!BH7/'Total 1st Prof'!J7)*100</f>
        <v>12.851405622489958</v>
      </c>
      <c r="J6" s="103">
        <f>(Gender!BI7/'Total 1st Prof'!K7)*100</f>
        <v>17.676143386897404</v>
      </c>
      <c r="K6" s="103">
        <f>(Gender!BJ7/'Total 1st Prof'!L7)*100</f>
        <v>18.045977011494251</v>
      </c>
      <c r="L6" s="103">
        <f>(Gender!BK7/'Total 1st Prof'!M7)*100</f>
        <v>18.812989921612541</v>
      </c>
      <c r="M6" s="103">
        <f>(Gender!BL7/'Total 1st Prof'!N7)*100</f>
        <v>23.723404255319149</v>
      </c>
      <c r="N6" s="103">
        <f>(Gender!BM7/'Total 1st Prof'!O7)*100</f>
        <v>22.323462414578586</v>
      </c>
      <c r="O6" s="103">
        <f>(Gender!BN7/'Total 1st Prof'!P7)*100</f>
        <v>26.607538802660752</v>
      </c>
      <c r="P6" s="103">
        <f>(Gender!BO7/'Total 1st Prof'!Q7)*100</f>
        <v>28.773072747014115</v>
      </c>
      <c r="Q6" s="103">
        <f>(Gender!BP7/'Total 1st Prof'!R7)*100</f>
        <v>29.941520467836259</v>
      </c>
      <c r="R6" s="103">
        <f>(Gender!BQ7/'Total 1st Prof'!S7)*100</f>
        <v>31.828978622327792</v>
      </c>
      <c r="S6" s="103">
        <f>(Gender!BR7/'Total 1st Prof'!T7)*100</f>
        <v>26.474278544542035</v>
      </c>
      <c r="T6" s="102">
        <f>(Gender!BS7/'Total 1st Prof'!U7)*100</f>
        <v>31.089351285189721</v>
      </c>
      <c r="U6" s="103">
        <f>(Gender!BT7/'Total 1st Prof'!V7)*100</f>
        <v>33.672172808132146</v>
      </c>
      <c r="V6" s="103">
        <f>(Gender!BU7/'Total 1st Prof'!W7)*100</f>
        <v>34.615384615384613</v>
      </c>
      <c r="W6" s="103">
        <f>(Gender!BV7/'Total 1st Prof'!X7)*100</f>
        <v>32.470588235294116</v>
      </c>
      <c r="X6" s="103">
        <f>(Gender!BW7/'Total 1st Prof'!Y7)*100</f>
        <v>35.529411764705884</v>
      </c>
      <c r="Y6" s="103">
        <f>(Gender!BX7/'Total 1st Prof'!Z7)*100</f>
        <v>39.491916859122398</v>
      </c>
      <c r="Z6" s="103">
        <f>(Gender!BY7/'Total 1st Prof'!AA7)*100</f>
        <v>39.317180616740089</v>
      </c>
      <c r="AA6" s="103">
        <f>(Gender!BZ7/'Total 1st Prof'!AB7)*100</f>
        <v>38.629283489096572</v>
      </c>
      <c r="AB6" s="103">
        <f>(Gender!CA7/'Total 1st Prof'!AC7)*100</f>
        <v>42.028985507246375</v>
      </c>
      <c r="AC6" s="103">
        <f>(Gender!CB7/'Total 1st Prof'!AD7)*100</f>
        <v>39.626001780943895</v>
      </c>
      <c r="AD6" s="103">
        <f>(Gender!CC7/'Total 1st Prof'!AE7)*100</f>
        <v>41.826484018264843</v>
      </c>
      <c r="AE6" s="103">
        <f>(Gender!CD7/'Total 1st Prof'!AF7)*100</f>
        <v>44.605621033544878</v>
      </c>
      <c r="AF6" s="103">
        <f>(Gender!CE7/'Total 1st Prof'!AG7)*100</f>
        <v>40</v>
      </c>
      <c r="AG6" s="103">
        <f>(Gender!CF7/'Total 1st Prof'!AH7)*100</f>
        <v>47.864768683274022</v>
      </c>
      <c r="AH6" s="103">
        <f>(Gender!CG7/'Total 1st Prof'!AI7)*100</f>
        <v>48.217636022514071</v>
      </c>
      <c r="AI6" s="103">
        <f>(Gender!CH7/'Total 1st Prof'!AJ7)*100</f>
        <v>48.282630029440625</v>
      </c>
      <c r="AJ6" s="103">
        <f>(Gender!CI7/'Total 1st Prof'!AK7)*100</f>
        <v>49.114173228346459</v>
      </c>
      <c r="AK6" s="103">
        <f>(Gender!CJ7/'Total 1st Prof'!AL7)*100</f>
        <v>49.636363636363633</v>
      </c>
      <c r="AL6" s="103">
        <f>(Gender!CK7/'Total 1st Prof'!AM7)*100</f>
        <v>46.071428571428569</v>
      </c>
      <c r="AM6" s="103">
        <f>(Gender!CL7/'Total 1st Prof'!AN7)*100</f>
        <v>49.822380106571934</v>
      </c>
      <c r="AN6" s="103">
        <f>(Gender!CM7/'Total 1st Prof'!AO7)*100</f>
        <v>49.469964664310957</v>
      </c>
      <c r="AO6" s="103">
        <f>(Gender!CN7/'Total 1st Prof'!AP7)*100</f>
        <v>52.460383653044204</v>
      </c>
      <c r="AP6" s="103">
        <f>(Gender!CO7/'Total 1st Prof'!AQ7)*100</f>
        <v>58.681022880215338</v>
      </c>
      <c r="AQ6" s="103">
        <f>(Gender!CP7/'Total 1st Prof'!AR7)*100</f>
        <v>59.354413702239796</v>
      </c>
      <c r="AR6" s="103">
        <f>(Gender!CQ7/'Total 1st Prof'!AS7)*100</f>
        <v>58.172458172458178</v>
      </c>
      <c r="AS6" s="103">
        <f>(Gender!CR7/'Total 1st Prof'!AT7)*100</f>
        <v>60.532994923857864</v>
      </c>
      <c r="AT6" s="103">
        <f>(Gender!CS7/'Total 1st Prof'!AU7)*100</f>
        <v>60.5009633911368</v>
      </c>
      <c r="AU6" s="103">
        <f>(Gender!CT7/'Total 1st Prof'!AV7)*100</f>
        <v>63.749224084419623</v>
      </c>
      <c r="AV6" s="103">
        <f>(Gender!CU7/'Total 1st Prof'!AW7)*100</f>
        <v>61.630094043887155</v>
      </c>
      <c r="AW6" s="103">
        <f>(Gender!CV7/'Total 1st Prof'!AX7)*100</f>
        <v>60.824143934997096</v>
      </c>
      <c r="AX6" s="103">
        <f>(Gender!CW7/'Total 1st Prof'!AY7)*100</f>
        <v>63.528138528138534</v>
      </c>
      <c r="AY6" s="103">
        <f>(Gender!CX7/'Total 1st Prof'!AZ7)*100</f>
        <v>63.022508038585215</v>
      </c>
      <c r="AZ6" s="103">
        <f>(Gender!CY7/'Total 1st Prof'!BA7)*100</f>
        <v>64.945226917057909</v>
      </c>
    </row>
    <row r="7" spans="1:52" ht="12.75">
      <c r="A7" s="77" t="s">
        <v>20</v>
      </c>
      <c r="B7" s="102">
        <f>(Gender!BA8/'Total 1st Prof'!C8)*100</f>
        <v>2.6178010471204187</v>
      </c>
      <c r="C7" s="103">
        <f>(Gender!BB8/'Total 1st Prof'!D8)*100</f>
        <v>5.3398058252427179</v>
      </c>
      <c r="D7" s="103">
        <f>(Gender!BC8/'Total 1st Prof'!E8)*100</f>
        <v>5.2884615384615383</v>
      </c>
      <c r="E7" s="103">
        <f>(Gender!BD8/'Total 1st Prof'!F8)*100</f>
        <v>3.4351145038167941</v>
      </c>
      <c r="F7" s="103">
        <f>(Gender!BE8/'Total 1st Prof'!G8)*100</f>
        <v>7.661290322580645</v>
      </c>
      <c r="G7" s="103">
        <f>(Gender!BF8/'Total 1st Prof'!H8)*100</f>
        <v>8.7155963302752291</v>
      </c>
      <c r="H7" s="103">
        <f>(Gender!BG8/'Total 1st Prof'!I8)*100</f>
        <v>8.695652173913043</v>
      </c>
      <c r="I7" s="103">
        <f>(Gender!BH8/'Total 1st Prof'!J8)*100</f>
        <v>16.819571865443425</v>
      </c>
      <c r="J7" s="103">
        <f>(Gender!BI8/'Total 1st Prof'!K8)*100</f>
        <v>17.142857142857142</v>
      </c>
      <c r="K7" s="103">
        <f>(Gender!BJ8/'Total 1st Prof'!L8)*100</f>
        <v>24.274406332453825</v>
      </c>
      <c r="L7" s="103">
        <f>(Gender!BK8/'Total 1st Prof'!M8)*100</f>
        <v>22.028985507246375</v>
      </c>
      <c r="M7" s="103">
        <f>(Gender!BL8/'Total 1st Prof'!N8)*100</f>
        <v>21.483375959079286</v>
      </c>
      <c r="N7" s="103">
        <f>(Gender!BM8/'Total 1st Prof'!O8)*100</f>
        <v>23.036649214659686</v>
      </c>
      <c r="O7" s="103">
        <f>(Gender!BN8/'Total 1st Prof'!P8)*100</f>
        <v>23.691460055096421</v>
      </c>
      <c r="P7" s="103">
        <f>(Gender!BO8/'Total 1st Prof'!Q8)*100</f>
        <v>26.608187134502927</v>
      </c>
      <c r="Q7" s="103">
        <f>(Gender!BP8/'Total 1st Prof'!R8)*100</f>
        <v>24.576271186440678</v>
      </c>
      <c r="R7" s="103">
        <f>(Gender!BQ8/'Total 1st Prof'!S8)*100</f>
        <v>30.704225352112672</v>
      </c>
      <c r="S7" s="103">
        <f>(Gender!BR8/'Total 1st Prof'!T8)*100</f>
        <v>29.153605015673982</v>
      </c>
      <c r="T7" s="102">
        <f>(Gender!BS8/'Total 1st Prof'!U8)*100</f>
        <v>29.268292682926827</v>
      </c>
      <c r="U7" s="103">
        <f>(Gender!BT8/'Total 1st Prof'!V8)*100</f>
        <v>33.236151603498541</v>
      </c>
      <c r="V7" s="103">
        <f>(Gender!BU8/'Total 1st Prof'!W8)*100</f>
        <v>32.098765432098766</v>
      </c>
      <c r="W7" s="103">
        <f>(Gender!BV8/'Total 1st Prof'!X8)*100</f>
        <v>32.7683615819209</v>
      </c>
      <c r="X7" s="103">
        <f>(Gender!BW8/'Total 1st Prof'!Y8)*100</f>
        <v>26.170798898071624</v>
      </c>
      <c r="Y7" s="103">
        <f>(Gender!BX8/'Total 1st Prof'!Z8)*100</f>
        <v>41.202672605790646</v>
      </c>
      <c r="Z7" s="103">
        <f>(Gender!BY8/'Total 1st Prof'!AA8)*100</f>
        <v>45.57823129251701</v>
      </c>
      <c r="AA7" s="103">
        <f>(Gender!BZ8/'Total 1st Prof'!AB8)*100</f>
        <v>43.15352697095436</v>
      </c>
      <c r="AB7" s="103">
        <f>(Gender!CA8/'Total 1st Prof'!AC8)*100</f>
        <v>44.889779559118239</v>
      </c>
      <c r="AC7" s="103">
        <f>(Gender!CB8/'Total 1st Prof'!AD8)*100</f>
        <v>42.217484008528785</v>
      </c>
      <c r="AD7" s="103">
        <f>(Gender!CC8/'Total 1st Prof'!AE8)*100</f>
        <v>46.739130434782609</v>
      </c>
      <c r="AE7" s="103">
        <f>(Gender!CD8/'Total 1st Prof'!AF8)*100</f>
        <v>46.07218683651805</v>
      </c>
      <c r="AF7" s="103">
        <f>(Gender!CE8/'Total 1st Prof'!AG8)*100</f>
        <v>43.927125506072869</v>
      </c>
      <c r="AG7" s="103">
        <f>(Gender!CF8/'Total 1st Prof'!AH8)*100</f>
        <v>42.7734375</v>
      </c>
      <c r="AH7" s="103">
        <f>(Gender!CG8/'Total 1st Prof'!AI8)*100</f>
        <v>40.204081632653057</v>
      </c>
      <c r="AI7" s="103">
        <f>(Gender!CH8/'Total 1st Prof'!AJ8)*100</f>
        <v>47.589098532494759</v>
      </c>
      <c r="AJ7" s="103">
        <f>(Gender!CI8/'Total 1st Prof'!AK8)*100</f>
        <v>52.903225806451616</v>
      </c>
      <c r="AK7" s="103">
        <f>(Gender!CJ8/'Total 1st Prof'!AL8)*100</f>
        <v>48.118811881188115</v>
      </c>
      <c r="AL7" s="103">
        <f>(Gender!CK8/'Total 1st Prof'!AM8)*100</f>
        <v>45.627376425855516</v>
      </c>
      <c r="AM7" s="103">
        <f>(Gender!CL8/'Total 1st Prof'!AN8)*100</f>
        <v>51.171875</v>
      </c>
      <c r="AN7" s="103">
        <f>(Gender!CM8/'Total 1st Prof'!AO8)*100</f>
        <v>45.261121856866538</v>
      </c>
      <c r="AO7" s="103">
        <f>(Gender!CN8/'Total 1st Prof'!AP8)*100</f>
        <v>49.115913555992144</v>
      </c>
      <c r="AP7" s="103">
        <f>(Gender!CO8/'Total 1st Prof'!AQ8)*100</f>
        <v>46.374045801526719</v>
      </c>
      <c r="AQ7" s="103">
        <f>(Gender!CP8/'Total 1st Prof'!AR8)*100</f>
        <v>45.681381957773517</v>
      </c>
      <c r="AR7" s="103">
        <f>(Gender!CQ8/'Total 1st Prof'!AS8)*100</f>
        <v>48.549618320610691</v>
      </c>
      <c r="AS7" s="103">
        <f>(Gender!CR8/'Total 1st Prof'!AT8)*100</f>
        <v>49.927431059506532</v>
      </c>
      <c r="AT7" s="103">
        <f>(Gender!CS8/'Total 1st Prof'!AU8)*100</f>
        <v>49.859550561797754</v>
      </c>
      <c r="AU7" s="103">
        <f>(Gender!CT8/'Total 1st Prof'!AV8)*100</f>
        <v>47.858197932053173</v>
      </c>
      <c r="AV7" s="103">
        <f>(Gender!CU8/'Total 1st Prof'!AW8)*100</f>
        <v>50.341064120054568</v>
      </c>
      <c r="AW7" s="103">
        <f>(Gender!CV8/'Total 1st Prof'!AX8)*100</f>
        <v>49.384404924760602</v>
      </c>
      <c r="AX7" s="103">
        <f>(Gender!CW8/'Total 1st Prof'!AY8)*100</f>
        <v>50.355618776671406</v>
      </c>
      <c r="AY7" s="103">
        <f>(Gender!CX8/'Total 1st Prof'!AZ8)*100</f>
        <v>53.044654939106906</v>
      </c>
      <c r="AZ7" s="103">
        <f>(Gender!CY8/'Total 1st Prof'!BA8)*100</f>
        <v>55.859375</v>
      </c>
    </row>
    <row r="8" spans="1:52" ht="12.75">
      <c r="A8" s="77" t="s">
        <v>21</v>
      </c>
      <c r="B8" s="102" t="e">
        <f>(Gender!BA9/'Total 1st Prof'!C9)*100</f>
        <v>#DIV/0!</v>
      </c>
      <c r="C8" s="103" t="e">
        <f>(Gender!BB9/'Total 1st Prof'!D9)*100</f>
        <v>#DIV/0!</v>
      </c>
      <c r="D8" s="103" t="e">
        <f>(Gender!BC9/'Total 1st Prof'!E9)*100</f>
        <v>#DIV/0!</v>
      </c>
      <c r="E8" s="103" t="e">
        <f>(Gender!BD9/'Total 1st Prof'!F9)*100</f>
        <v>#DIV/0!</v>
      </c>
      <c r="F8" s="103" t="e">
        <f>(Gender!BE9/'Total 1st Prof'!G9)*100</f>
        <v>#DIV/0!</v>
      </c>
      <c r="G8" s="103" t="e">
        <f>(Gender!BF9/'Total 1st Prof'!H9)*100</f>
        <v>#DIV/0!</v>
      </c>
      <c r="H8" s="103" t="e">
        <f>(Gender!BG9/'Total 1st Prof'!I9)*100</f>
        <v>#DIV/0!</v>
      </c>
      <c r="I8" s="103" t="e">
        <f>(Gender!BH9/'Total 1st Prof'!J9)*100</f>
        <v>#DIV/0!</v>
      </c>
      <c r="J8" s="103" t="e">
        <f>(Gender!BI9/'Total 1st Prof'!K9)*100</f>
        <v>#DIV/0!</v>
      </c>
      <c r="K8" s="103" t="e">
        <f>(Gender!BJ9/'Total 1st Prof'!L9)*100</f>
        <v>#DIV/0!</v>
      </c>
      <c r="L8" s="103" t="e">
        <f>(Gender!BK9/'Total 1st Prof'!M9)*100</f>
        <v>#DIV/0!</v>
      </c>
      <c r="M8" s="103" t="e">
        <f>(Gender!BL9/'Total 1st Prof'!N9)*100</f>
        <v>#DIV/0!</v>
      </c>
      <c r="N8" s="103">
        <f>(Gender!BM9/'Total 1st Prof'!O9)*100</f>
        <v>30.76923076923077</v>
      </c>
      <c r="O8" s="103">
        <f>(Gender!BN9/'Total 1st Prof'!P9)*100</f>
        <v>18.918918918918919</v>
      </c>
      <c r="P8" s="103">
        <f>(Gender!BO9/'Total 1st Prof'!Q9)*100</f>
        <v>31.092436974789916</v>
      </c>
      <c r="Q8" s="103">
        <f>(Gender!BP9/'Total 1st Prof'!R9)*100</f>
        <v>29.433962264150942</v>
      </c>
      <c r="R8" s="103">
        <f>(Gender!BQ9/'Total 1st Prof'!S9)*100</f>
        <v>29.433962264150942</v>
      </c>
      <c r="S8" s="103">
        <f>(Gender!BR9/'Total 1st Prof'!T9)*100</f>
        <v>35.510204081632651</v>
      </c>
      <c r="T8" s="102">
        <f>(Gender!BS9/'Total 1st Prof'!U9)*100</f>
        <v>36.971830985915496</v>
      </c>
      <c r="U8" s="103">
        <f>(Gender!BT9/'Total 1st Prof'!V9)*100</f>
        <v>34.700315457413247</v>
      </c>
      <c r="V8" s="103">
        <f>(Gender!BU9/'Total 1st Prof'!W9)*100</f>
        <v>38.297872340425535</v>
      </c>
      <c r="W8" s="103">
        <f>(Gender!BV9/'Total 1st Prof'!X9)*100</f>
        <v>37.320574162679428</v>
      </c>
      <c r="X8" s="103">
        <f>(Gender!BW9/'Total 1st Prof'!Y9)*100</f>
        <v>39.100346020761243</v>
      </c>
      <c r="Y8" s="103">
        <f>(Gender!BX9/'Total 1st Prof'!Z9)*100</f>
        <v>40.18181818181818</v>
      </c>
      <c r="Z8" s="103">
        <f>(Gender!BY9/'Total 1st Prof'!AA9)*100</f>
        <v>42.516268980477221</v>
      </c>
      <c r="AA8" s="103">
        <f>(Gender!BZ9/'Total 1st Prof'!AB9)*100</f>
        <v>43.062200956937801</v>
      </c>
      <c r="AB8" s="103">
        <f>(Gender!CA9/'Total 1st Prof'!AC9)*100</f>
        <v>40.92071611253197</v>
      </c>
      <c r="AC8" s="103">
        <f>(Gender!CB9/'Total 1st Prof'!AD9)*100</f>
        <v>41.032608695652172</v>
      </c>
      <c r="AD8" s="103">
        <f>(Gender!CC9/'Total 1st Prof'!AE9)*100</f>
        <v>45.639534883720927</v>
      </c>
      <c r="AE8" s="103">
        <f>(Gender!CD9/'Total 1st Prof'!AF9)*100</f>
        <v>43.167701863354033</v>
      </c>
      <c r="AF8" s="103">
        <f>(Gender!CE9/'Total 1st Prof'!AG9)*100</f>
        <v>51.111111111111107</v>
      </c>
      <c r="AG8" s="103">
        <f>(Gender!CF9/'Total 1st Prof'!AH9)*100</f>
        <v>48.68913857677903</v>
      </c>
      <c r="AH8" s="103">
        <f>(Gender!CG9/'Total 1st Prof'!AI9)*100</f>
        <v>43.298969072164951</v>
      </c>
      <c r="AI8" s="103">
        <f>(Gender!CH9/'Total 1st Prof'!AJ9)*100</f>
        <v>52.884615384615387</v>
      </c>
      <c r="AJ8" s="103">
        <f>(Gender!CI9/'Total 1st Prof'!AK9)*100</f>
        <v>50.205761316872433</v>
      </c>
      <c r="AK8" s="103">
        <f>(Gender!CJ9/'Total 1st Prof'!AL9)*100</f>
        <v>48.059701492537314</v>
      </c>
      <c r="AL8" s="103">
        <f>(Gender!CK9/'Total 1st Prof'!AM9)*100</f>
        <v>45.3125</v>
      </c>
      <c r="AM8" s="103">
        <f>(Gender!CL9/'Total 1st Prof'!AN9)*100</f>
        <v>50.515463917525771</v>
      </c>
      <c r="AN8" s="103">
        <f>(Gender!CM9/'Total 1st Prof'!AO9)*100</f>
        <v>46.815286624203821</v>
      </c>
      <c r="AO8" s="103">
        <f>(Gender!CN9/'Total 1st Prof'!AP9)*100</f>
        <v>43.727598566308245</v>
      </c>
      <c r="AP8" s="103">
        <f>(Gender!CO9/'Total 1st Prof'!AQ9)*100</f>
        <v>46.254071661237781</v>
      </c>
      <c r="AQ8" s="103">
        <f>(Gender!CP9/'Total 1st Prof'!AR9)*100</f>
        <v>46.875</v>
      </c>
      <c r="AR8" s="103">
        <f>(Gender!CQ9/'Total 1st Prof'!AS9)*100</f>
        <v>43.606557377049185</v>
      </c>
      <c r="AS8" s="103">
        <f>(Gender!CR9/'Total 1st Prof'!AT9)*100</f>
        <v>49.006622516556291</v>
      </c>
      <c r="AT8" s="103">
        <f>(Gender!CS9/'Total 1st Prof'!AU9)*100</f>
        <v>44.89051094890511</v>
      </c>
      <c r="AU8" s="103">
        <f>(Gender!CT9/'Total 1st Prof'!AV9)*100</f>
        <v>52.657004830917877</v>
      </c>
      <c r="AV8" s="103">
        <f>(Gender!CU9/'Total 1st Prof'!AW9)*100</f>
        <v>65.625</v>
      </c>
      <c r="AW8" s="103">
        <f>(Gender!CV9/'Total 1st Prof'!AX9)*100</f>
        <v>64.285714285714292</v>
      </c>
      <c r="AX8" s="103">
        <f>(Gender!CW9/'Total 1st Prof'!AY9)*100</f>
        <v>60</v>
      </c>
      <c r="AY8" s="103">
        <f>(Gender!CX9/'Total 1st Prof'!AZ9)*100</f>
        <v>61.111111111111114</v>
      </c>
      <c r="AZ8" s="103">
        <f>(Gender!CY9/'Total 1st Prof'!BA9)*100</f>
        <v>66.153846153846146</v>
      </c>
    </row>
    <row r="9" spans="1:52" ht="12.75">
      <c r="A9" s="77" t="s">
        <v>22</v>
      </c>
      <c r="B9" s="102">
        <f>(Gender!BA10/'Total 1st Prof'!C10)*100</f>
        <v>5.0632911392405067</v>
      </c>
      <c r="C9" s="103">
        <f>(Gender!BB10/'Total 1st Prof'!D10)*100</f>
        <v>4.2042042042042045</v>
      </c>
      <c r="D9" s="103">
        <f>(Gender!BC10/'Total 1st Prof'!E10)*100</f>
        <v>5.5676855895196509</v>
      </c>
      <c r="E9" s="103">
        <f>(Gender!BD10/'Total 1st Prof'!F10)*100</f>
        <v>5.9135039717563984</v>
      </c>
      <c r="F9" s="103">
        <f>(Gender!BE10/'Total 1st Prof'!G10)*100</f>
        <v>8.4983498349834985</v>
      </c>
      <c r="G9" s="103">
        <f>(Gender!BF10/'Total 1st Prof'!H10)*100</f>
        <v>11.204717775905644</v>
      </c>
      <c r="H9" s="103">
        <f>(Gender!BG10/'Total 1st Prof'!I10)*100</f>
        <v>14.927536231884059</v>
      </c>
      <c r="I9" s="103">
        <f>(Gender!BH10/'Total 1st Prof'!J10)*100</f>
        <v>16.539140670982931</v>
      </c>
      <c r="J9" s="103">
        <f>(Gender!BI10/'Total 1st Prof'!K10)*100</f>
        <v>21.47024504084014</v>
      </c>
      <c r="K9" s="103">
        <f>(Gender!BJ10/'Total 1st Prof'!L10)*100</f>
        <v>21.856639247943598</v>
      </c>
      <c r="L9" s="103">
        <f>(Gender!BK10/'Total 1st Prof'!M10)*100</f>
        <v>24.458032240133406</v>
      </c>
      <c r="M9" s="103">
        <f>(Gender!BL10/'Total 1st Prof'!N10)*100</f>
        <v>27.106430155210642</v>
      </c>
      <c r="N9" s="103">
        <f>(Gender!BM10/'Total 1st Prof'!O10)*100</f>
        <v>30.987514188422249</v>
      </c>
      <c r="O9" s="103">
        <f>(Gender!BN10/'Total 1st Prof'!P10)*100</f>
        <v>32.065834279228149</v>
      </c>
      <c r="P9" s="103">
        <f>(Gender!BO10/'Total 1st Prof'!Q10)*100</f>
        <v>32.293471981513576</v>
      </c>
      <c r="Q9" s="103">
        <f>(Gender!BP10/'Total 1st Prof'!R10)*100</f>
        <v>37.301151947339548</v>
      </c>
      <c r="R9" s="103">
        <f>(Gender!BQ10/'Total 1st Prof'!S10)*100</f>
        <v>35.250266240681576</v>
      </c>
      <c r="S9" s="103">
        <f>(Gender!BR10/'Total 1st Prof'!T10)*100</f>
        <v>37.767220902612827</v>
      </c>
      <c r="T9" s="102">
        <f>(Gender!BS10/'Total 1st Prof'!U10)*100</f>
        <v>37.438905180840663</v>
      </c>
      <c r="U9" s="103">
        <f>(Gender!BT10/'Total 1st Prof'!V10)*100</f>
        <v>40.565577766942958</v>
      </c>
      <c r="V9" s="103">
        <f>(Gender!BU10/'Total 1st Prof'!W10)*100</f>
        <v>42.469597754911135</v>
      </c>
      <c r="W9" s="103">
        <f>(Gender!BV10/'Total 1st Prof'!X10)*100</f>
        <v>41.51107251411203</v>
      </c>
      <c r="X9" s="103">
        <f>(Gender!BW10/'Total 1st Prof'!Y10)*100</f>
        <v>43.20934256055363</v>
      </c>
      <c r="Y9" s="103">
        <f>(Gender!BX10/'Total 1st Prof'!Z10)*100</f>
        <v>42.334194659776053</v>
      </c>
      <c r="Z9" s="103">
        <f>(Gender!BY10/'Total 1st Prof'!AA10)*100</f>
        <v>42.149454240134347</v>
      </c>
      <c r="AA9" s="103">
        <f>(Gender!BZ10/'Total 1st Prof'!AB10)*100</f>
        <v>42.060946271050518</v>
      </c>
      <c r="AB9" s="103">
        <f>(Gender!CA10/'Total 1st Prof'!AC10)*100</f>
        <v>44.529364440868868</v>
      </c>
      <c r="AC9" s="103">
        <f>(Gender!CB10/'Total 1st Prof'!AD10)*100</f>
        <v>45.863515059092641</v>
      </c>
      <c r="AD9" s="103">
        <f>(Gender!CC10/'Total 1st Prof'!AE10)*100</f>
        <v>44.026068066618393</v>
      </c>
      <c r="AE9" s="103">
        <f>(Gender!CD10/'Total 1st Prof'!AF10)*100</f>
        <v>44.226731980405873</v>
      </c>
      <c r="AF9" s="103">
        <f>(Gender!CE10/'Total 1st Prof'!AG10)*100</f>
        <v>47.550890585241731</v>
      </c>
      <c r="AG9" s="103">
        <f>(Gender!CF10/'Total 1st Prof'!AH10)*100</f>
        <v>48.728113643871815</v>
      </c>
      <c r="AH9" s="103">
        <f>(Gender!CG10/'Total 1st Prof'!AI10)*100</f>
        <v>49.145166304009948</v>
      </c>
      <c r="AI9" s="103">
        <f>(Gender!CH10/'Total 1st Prof'!AJ10)*100</f>
        <v>50.935990338164252</v>
      </c>
      <c r="AJ9" s="103">
        <f>(Gender!CI10/'Total 1st Prof'!AK10)*100</f>
        <v>50.994522917267226</v>
      </c>
      <c r="AK9" s="103">
        <f>(Gender!CJ10/'Total 1st Prof'!AL10)*100</f>
        <v>52.072120559741656</v>
      </c>
      <c r="AL9" s="103">
        <f>(Gender!CK10/'Total 1st Prof'!AM10)*100</f>
        <v>52.555110220440881</v>
      </c>
      <c r="AM9" s="103">
        <f>(Gender!CL10/'Total 1st Prof'!AN10)*100</f>
        <v>53.365702935334355</v>
      </c>
      <c r="AN9" s="103">
        <f>(Gender!CM10/'Total 1st Prof'!AO10)*100</f>
        <v>52.179201297384957</v>
      </c>
      <c r="AO9" s="103">
        <f>(Gender!CN10/'Total 1st Prof'!AP10)*100</f>
        <v>51.616202945990175</v>
      </c>
      <c r="AP9" s="103">
        <f>(Gender!CO10/'Total 1st Prof'!AQ10)*100</f>
        <v>56.452928699624735</v>
      </c>
      <c r="AQ9" s="103">
        <f>(Gender!CP10/'Total 1st Prof'!AR10)*100</f>
        <v>55.216769890424011</v>
      </c>
      <c r="AR9" s="103">
        <f>(Gender!CQ10/'Total 1st Prof'!AS10)*100</f>
        <v>55.421308645849678</v>
      </c>
      <c r="AS9" s="103">
        <f>(Gender!CR10/'Total 1st Prof'!AT10)*100</f>
        <v>53.527735880677049</v>
      </c>
      <c r="AT9" s="103">
        <f>(Gender!CS10/'Total 1st Prof'!AU10)*100</f>
        <v>54.470989761092149</v>
      </c>
      <c r="AU9" s="103">
        <f>(Gender!CT10/'Total 1st Prof'!AV10)*100</f>
        <v>55.490063994610985</v>
      </c>
      <c r="AV9" s="103">
        <f>(Gender!CU10/'Total 1st Prof'!AW10)*100</f>
        <v>57.314148681055158</v>
      </c>
      <c r="AW9" s="103">
        <f>(Gender!CV10/'Total 1st Prof'!AX10)*100</f>
        <v>57.725395732966277</v>
      </c>
      <c r="AX9" s="103">
        <f>(Gender!CW10/'Total 1st Prof'!AY10)*100</f>
        <v>57.650130548302869</v>
      </c>
      <c r="AY9" s="103">
        <f>(Gender!CX10/'Total 1st Prof'!AZ10)*100</f>
        <v>59.510061242344705</v>
      </c>
      <c r="AZ9" s="103">
        <f>(Gender!CY10/'Total 1st Prof'!BA10)*100</f>
        <v>59.516298633017875</v>
      </c>
    </row>
    <row r="10" spans="1:52" ht="12.75">
      <c r="A10" s="77" t="s">
        <v>23</v>
      </c>
      <c r="B10" s="102">
        <f>(Gender!BA11/'Total 1st Prof'!C11)*100</f>
        <v>5.0065876152832676</v>
      </c>
      <c r="C10" s="103">
        <f>(Gender!BB11/'Total 1st Prof'!D11)*100</f>
        <v>3.2509752925877766</v>
      </c>
      <c r="D10" s="103">
        <f>(Gender!BC11/'Total 1st Prof'!E11)*100</f>
        <v>4.0557667934093784</v>
      </c>
      <c r="E10" s="103">
        <f>(Gender!BD11/'Total 1st Prof'!F11)*100</f>
        <v>4.112337011033099</v>
      </c>
      <c r="F10" s="103">
        <f>(Gender!BE11/'Total 1st Prof'!G11)*100</f>
        <v>6.1955469506292351</v>
      </c>
      <c r="G10" s="103">
        <f>(Gender!BF11/'Total 1st Prof'!H11)*100</f>
        <v>10</v>
      </c>
      <c r="H10" s="103">
        <f>(Gender!BG11/'Total 1st Prof'!I11)*100</f>
        <v>14.908802537668517</v>
      </c>
      <c r="I10" s="103">
        <f>(Gender!BH11/'Total 1st Prof'!J11)*100</f>
        <v>17.854149203688181</v>
      </c>
      <c r="J10" s="103">
        <f>(Gender!BI11/'Total 1st Prof'!K11)*100</f>
        <v>17.973079968329376</v>
      </c>
      <c r="K10" s="103">
        <f>(Gender!BJ11/'Total 1st Prof'!L11)*100</f>
        <v>20.44280442804428</v>
      </c>
      <c r="L10" s="103">
        <f>(Gender!BK11/'Total 1st Prof'!M11)*100</f>
        <v>22.769806612601371</v>
      </c>
      <c r="M10" s="103">
        <f>(Gender!BL11/'Total 1st Prof'!N11)*100</f>
        <v>23.7012987012987</v>
      </c>
      <c r="N10" s="103">
        <f>(Gender!BM11/'Total 1st Prof'!O11)*100</f>
        <v>22.704225352112676</v>
      </c>
      <c r="O10" s="103">
        <f>(Gender!BN11/'Total 1st Prof'!P11)*100</f>
        <v>23.730684326710815</v>
      </c>
      <c r="P10" s="103">
        <f>(Gender!BO11/'Total 1st Prof'!Q11)*100</f>
        <v>26.379027853631897</v>
      </c>
      <c r="Q10" s="103">
        <f>(Gender!BP11/'Total 1st Prof'!R11)*100</f>
        <v>30.62692702980473</v>
      </c>
      <c r="R10" s="103">
        <f>(Gender!BQ11/'Total 1st Prof'!S11)*100</f>
        <v>29.140662506000957</v>
      </c>
      <c r="S10" s="103">
        <f>(Gender!BR11/'Total 1st Prof'!T11)*100</f>
        <v>32.311557788944725</v>
      </c>
      <c r="T10" s="102">
        <f>(Gender!BS11/'Total 1st Prof'!U11)*100</f>
        <v>33.973333333333336</v>
      </c>
      <c r="U10" s="103">
        <f>(Gender!BT11/'Total 1st Prof'!V11)*100</f>
        <v>34.615384615384613</v>
      </c>
      <c r="V10" s="103">
        <f>(Gender!BU11/'Total 1st Prof'!W11)*100</f>
        <v>38.365122615803813</v>
      </c>
      <c r="W10" s="103">
        <f>(Gender!BV11/'Total 1st Prof'!X11)*100</f>
        <v>37.295081967213115</v>
      </c>
      <c r="X10" s="103">
        <f>(Gender!BW11/'Total 1st Prof'!Y11)*100</f>
        <v>38.188761593016913</v>
      </c>
      <c r="Y10" s="103">
        <f>(Gender!BX11/'Total 1st Prof'!Z11)*100</f>
        <v>38.019497178040019</v>
      </c>
      <c r="Z10" s="103">
        <f>(Gender!BY11/'Total 1st Prof'!AA11)*100</f>
        <v>38.411910669975185</v>
      </c>
      <c r="AA10" s="103">
        <f>(Gender!BZ11/'Total 1st Prof'!AB11)*100</f>
        <v>40.320232896652108</v>
      </c>
      <c r="AB10" s="103">
        <f>(Gender!CA11/'Total 1st Prof'!AC11)*100</f>
        <v>39.512400168137873</v>
      </c>
      <c r="AC10" s="103">
        <f>(Gender!CB11/'Total 1st Prof'!AD11)*100</f>
        <v>36.873508353221958</v>
      </c>
      <c r="AD10" s="103">
        <f>(Gender!CC11/'Total 1st Prof'!AE11)*100</f>
        <v>39.17235837685817</v>
      </c>
      <c r="AE10" s="103">
        <f>(Gender!CD11/'Total 1st Prof'!AF11)*100</f>
        <v>40.435139573070607</v>
      </c>
      <c r="AF10" s="103">
        <f>(Gender!CE11/'Total 1st Prof'!AG11)*100</f>
        <v>41.116126384899466</v>
      </c>
      <c r="AG10" s="103">
        <f>(Gender!CF11/'Total 1st Prof'!AH11)*100</f>
        <v>42.380136986301373</v>
      </c>
      <c r="AH10" s="103">
        <f>(Gender!CG11/'Total 1st Prof'!AI11)*100</f>
        <v>46.001719690455715</v>
      </c>
      <c r="AI10" s="103">
        <f>(Gender!CH11/'Total 1st Prof'!AJ11)*100</f>
        <v>47.91271347248577</v>
      </c>
      <c r="AJ10" s="103">
        <f>(Gender!CI11/'Total 1st Prof'!AK11)*100</f>
        <v>47.450424929178467</v>
      </c>
      <c r="AK10" s="103">
        <f>(Gender!CJ11/'Total 1st Prof'!AL11)*100</f>
        <v>50.763923114834896</v>
      </c>
      <c r="AL10" s="103">
        <f>(Gender!CK11/'Total 1st Prof'!AM11)*100</f>
        <v>52.301054650047938</v>
      </c>
      <c r="AM10" s="103">
        <f>(Gender!CL11/'Total 1st Prof'!AN11)*100</f>
        <v>51.974288337924705</v>
      </c>
      <c r="AN10" s="103">
        <f>(Gender!CM11/'Total 1st Prof'!AO11)*100</f>
        <v>50.280636108512631</v>
      </c>
      <c r="AO10" s="103">
        <f>(Gender!CN11/'Total 1st Prof'!AP11)*100</f>
        <v>49.372022520571676</v>
      </c>
      <c r="AP10" s="103">
        <f>(Gender!CO11/'Total 1st Prof'!AQ11)*100</f>
        <v>51.332459589340317</v>
      </c>
      <c r="AQ10" s="103">
        <f>(Gender!CP11/'Total 1st Prof'!AR11)*100</f>
        <v>50.478260869565219</v>
      </c>
      <c r="AR10" s="103">
        <f>(Gender!CQ11/'Total 1st Prof'!AS11)*100</f>
        <v>51.376868607395757</v>
      </c>
      <c r="AS10" s="103">
        <f>(Gender!CR11/'Total 1st Prof'!AT11)*100</f>
        <v>51.596139569413509</v>
      </c>
      <c r="AT10" s="103">
        <f>(Gender!CS11/'Total 1st Prof'!AU11)*100</f>
        <v>51.424397370343314</v>
      </c>
      <c r="AU10" s="103">
        <f>(Gender!CT11/'Total 1st Prof'!AV11)*100</f>
        <v>54.531835205992508</v>
      </c>
      <c r="AV10" s="103">
        <f>(Gender!CU11/'Total 1st Prof'!AW11)*100</f>
        <v>52.450284090909093</v>
      </c>
      <c r="AW10" s="103">
        <f>(Gender!CV11/'Total 1st Prof'!AX11)*100</f>
        <v>55.138199858256556</v>
      </c>
      <c r="AX10" s="103">
        <f>(Gender!CW11/'Total 1st Prof'!AY11)*100</f>
        <v>55.67662565905097</v>
      </c>
      <c r="AY10" s="103">
        <f>(Gender!CX11/'Total 1st Prof'!AZ11)*100</f>
        <v>56.916724019270468</v>
      </c>
      <c r="AZ10" s="103">
        <f>(Gender!CY11/'Total 1st Prof'!BA11)*100</f>
        <v>56.869688385269122</v>
      </c>
    </row>
    <row r="11" spans="1:52" ht="12.75">
      <c r="A11" s="77" t="s">
        <v>24</v>
      </c>
      <c r="B11" s="102">
        <f>(Gender!BA12/'Total 1st Prof'!C12)*100</f>
        <v>3.6935704514363885</v>
      </c>
      <c r="C11" s="103">
        <f>(Gender!BB12/'Total 1st Prof'!D12)*100</f>
        <v>4.3838862559241711</v>
      </c>
      <c r="D11" s="103">
        <f>(Gender!BC12/'Total 1st Prof'!E12)*100</f>
        <v>4.086021505376344</v>
      </c>
      <c r="E11" s="103">
        <f>(Gender!BD12/'Total 1st Prof'!F12)*100</f>
        <v>3.9047619047619047</v>
      </c>
      <c r="F11" s="103">
        <f>(Gender!BE12/'Total 1st Prof'!G12)*100</f>
        <v>5.0600343053173242</v>
      </c>
      <c r="G11" s="103">
        <f>(Gender!BF12/'Total 1st Prof'!H12)*100</f>
        <v>7.5770925110132152</v>
      </c>
      <c r="H11" s="103">
        <f>(Gender!BG12/'Total 1st Prof'!I12)*100</f>
        <v>11.101622544833475</v>
      </c>
      <c r="I11" s="103">
        <f>(Gender!BH12/'Total 1st Prof'!J12)*100</f>
        <v>14.88294314381271</v>
      </c>
      <c r="J11" s="103">
        <f>(Gender!BI12/'Total 1st Prof'!K12)*100</f>
        <v>15.349194167306216</v>
      </c>
      <c r="K11" s="103">
        <f>(Gender!BJ12/'Total 1st Prof'!L12)*100</f>
        <v>16.568047337278109</v>
      </c>
      <c r="L11" s="103">
        <f>(Gender!BK12/'Total 1st Prof'!M12)*100</f>
        <v>16.541353383458645</v>
      </c>
      <c r="M11" s="103">
        <f>(Gender!BL12/'Total 1st Prof'!N12)*100</f>
        <v>20.090978013646701</v>
      </c>
      <c r="N11" s="103">
        <f>(Gender!BM12/'Total 1st Prof'!O12)*100</f>
        <v>20</v>
      </c>
      <c r="O11" s="103">
        <f>(Gender!BN12/'Total 1st Prof'!P12)*100</f>
        <v>22.681215900233827</v>
      </c>
      <c r="P11" s="103">
        <f>(Gender!BO12/'Total 1st Prof'!Q12)*100</f>
        <v>26.086956521739129</v>
      </c>
      <c r="Q11" s="103">
        <f>(Gender!BP12/'Total 1st Prof'!R12)*100</f>
        <v>27.634660421545664</v>
      </c>
      <c r="R11" s="103">
        <f>(Gender!BQ12/'Total 1st Prof'!S12)*100</f>
        <v>27.654109589041099</v>
      </c>
      <c r="S11" s="103">
        <f>(Gender!BR12/'Total 1st Prof'!T12)*100</f>
        <v>28.661275831087153</v>
      </c>
      <c r="T11" s="102">
        <f>(Gender!BS12/'Total 1st Prof'!U12)*100</f>
        <v>27.993109388458226</v>
      </c>
      <c r="U11" s="103">
        <f>(Gender!BT12/'Total 1st Prof'!V12)*100</f>
        <v>29.305912596401029</v>
      </c>
      <c r="V11" s="103">
        <f>(Gender!BU12/'Total 1st Prof'!W12)*100</f>
        <v>32.386867790594501</v>
      </c>
      <c r="W11" s="103">
        <f>(Gender!BV12/'Total 1st Prof'!X12)*100</f>
        <v>32.035398230088497</v>
      </c>
      <c r="X11" s="103">
        <f>(Gender!BW12/'Total 1st Prof'!Y12)*100</f>
        <v>35.491071428571431</v>
      </c>
      <c r="Y11" s="103">
        <f>(Gender!BX12/'Total 1st Prof'!Z12)*100</f>
        <v>36.243654822335024</v>
      </c>
      <c r="Z11" s="103">
        <f>(Gender!BY12/'Total 1st Prof'!AA12)*100</f>
        <v>38.193202146690517</v>
      </c>
      <c r="AA11" s="103">
        <f>(Gender!BZ12/'Total 1st Prof'!AB12)*100</f>
        <v>34.693877551020407</v>
      </c>
      <c r="AB11" s="103">
        <f>(Gender!CA12/'Total 1st Prof'!AC12)*100</f>
        <v>35.495179666958812</v>
      </c>
      <c r="AC11" s="103">
        <f>(Gender!CB12/'Total 1st Prof'!AD12)*100</f>
        <v>33.747927031509121</v>
      </c>
      <c r="AD11" s="103">
        <f>(Gender!CC12/'Total 1st Prof'!AE12)*100</f>
        <v>36.440677966101696</v>
      </c>
      <c r="AE11" s="103">
        <f>(Gender!CD12/'Total 1st Prof'!AF12)*100</f>
        <v>36.746987951807228</v>
      </c>
      <c r="AF11" s="103">
        <f>(Gender!CE12/'Total 1st Prof'!AG12)*100</f>
        <v>36.870503597122301</v>
      </c>
      <c r="AG11" s="103">
        <f>(Gender!CF12/'Total 1st Prof'!AH12)*100</f>
        <v>41.159135559921417</v>
      </c>
      <c r="AH11" s="103">
        <f>(Gender!CG12/'Total 1st Prof'!AI12)*100</f>
        <v>41.633466135458171</v>
      </c>
      <c r="AI11" s="103">
        <f>(Gender!CH12/'Total 1st Prof'!AJ12)*100</f>
        <v>44.422890397672163</v>
      </c>
      <c r="AJ11" s="103">
        <f>(Gender!CI12/'Total 1st Prof'!AK12)*100</f>
        <v>43.942307692307693</v>
      </c>
      <c r="AK11" s="103">
        <f>(Gender!CJ12/'Total 1st Prof'!AL12)*100</f>
        <v>46.98469846984699</v>
      </c>
      <c r="AL11" s="103">
        <f>(Gender!CK12/'Total 1st Prof'!AM12)*100</f>
        <v>46.556473829201103</v>
      </c>
      <c r="AM11" s="103">
        <f>(Gender!CL12/'Total 1st Prof'!AN12)*100</f>
        <v>45.837145471180243</v>
      </c>
      <c r="AN11" s="103">
        <f>(Gender!CM12/'Total 1st Prof'!AO12)*100</f>
        <v>42.63636363636364</v>
      </c>
      <c r="AO11" s="103">
        <f>(Gender!CN12/'Total 1st Prof'!AP12)*100</f>
        <v>42.171945701357465</v>
      </c>
      <c r="AP11" s="103">
        <f>(Gender!CO12/'Total 1st Prof'!AQ12)*100</f>
        <v>50.273722627737229</v>
      </c>
      <c r="AQ11" s="103">
        <f>(Gender!CP12/'Total 1st Prof'!AR12)*100</f>
        <v>50.078740157480318</v>
      </c>
      <c r="AR11" s="103">
        <f>(Gender!CQ12/'Total 1st Prof'!AS12)*100</f>
        <v>49.80784012298232</v>
      </c>
      <c r="AS11" s="103">
        <f>(Gender!CR12/'Total 1st Prof'!AT12)*100</f>
        <v>51.815431164901661</v>
      </c>
      <c r="AT11" s="103">
        <f>(Gender!CS12/'Total 1st Prof'!AU12)*100</f>
        <v>50.703182827535151</v>
      </c>
      <c r="AU11" s="103">
        <f>(Gender!CT12/'Total 1st Prof'!AV12)*100</f>
        <v>51.456310679611647</v>
      </c>
      <c r="AV11" s="103">
        <f>(Gender!CU12/'Total 1st Prof'!AW12)*100</f>
        <v>50.970873786407765</v>
      </c>
      <c r="AW11" s="103">
        <f>(Gender!CV12/'Total 1st Prof'!AX12)*100</f>
        <v>54.838709677419352</v>
      </c>
      <c r="AX11" s="103">
        <f>(Gender!CW12/'Total 1st Prof'!AY12)*100</f>
        <v>51.446280991735534</v>
      </c>
      <c r="AY11" s="103">
        <f>(Gender!CX12/'Total 1st Prof'!AZ12)*100</f>
        <v>54.651162790697668</v>
      </c>
      <c r="AZ11" s="103">
        <f>(Gender!CY12/'Total 1st Prof'!BA12)*100</f>
        <v>57.653365098272779</v>
      </c>
    </row>
    <row r="12" spans="1:52" ht="12.75">
      <c r="A12" s="77" t="s">
        <v>25</v>
      </c>
      <c r="B12" s="102">
        <f>(Gender!BA13/'Total 1st Prof'!C13)*100</f>
        <v>3.9540816326530615</v>
      </c>
      <c r="C12" s="103">
        <f>(Gender!BB13/'Total 1st Prof'!D13)*100</f>
        <v>3.5365853658536581</v>
      </c>
      <c r="D12" s="103">
        <f>(Gender!BC13/'Total 1st Prof'!E13)*100</f>
        <v>4.8578199052132707</v>
      </c>
      <c r="E12" s="103">
        <f>(Gender!BD13/'Total 1st Prof'!F13)*100</f>
        <v>5.1470588235294112</v>
      </c>
      <c r="F12" s="103">
        <f>(Gender!BE13/'Total 1st Prof'!G13)*100</f>
        <v>7.0075757575757569</v>
      </c>
      <c r="G12" s="103">
        <f>(Gender!BF13/'Total 1st Prof'!H13)*100</f>
        <v>8.3774250440917104</v>
      </c>
      <c r="H12" s="103">
        <f>(Gender!BG13/'Total 1st Prof'!I13)*100</f>
        <v>12.448474855729597</v>
      </c>
      <c r="I12" s="103">
        <f>(Gender!BH13/'Total 1st Prof'!J13)*100</f>
        <v>14.095536413469068</v>
      </c>
      <c r="J12" s="103">
        <f>(Gender!BI13/'Total 1st Prof'!K13)*100</f>
        <v>17.048929663608561</v>
      </c>
      <c r="K12" s="103">
        <f>(Gender!BJ13/'Total 1st Prof'!L13)*100</f>
        <v>21.060275962236748</v>
      </c>
      <c r="L12" s="103">
        <f>(Gender!BK13/'Total 1st Prof'!M13)*100</f>
        <v>19.412607449856733</v>
      </c>
      <c r="M12" s="103">
        <f>(Gender!BL13/'Total 1st Prof'!N13)*100</f>
        <v>22.284512964260685</v>
      </c>
      <c r="N12" s="103">
        <f>(Gender!BM13/'Total 1st Prof'!O13)*100</f>
        <v>23.673997412677878</v>
      </c>
      <c r="O12" s="103">
        <f>(Gender!BN13/'Total 1st Prof'!P13)*100</f>
        <v>26.68377164849262</v>
      </c>
      <c r="P12" s="103">
        <f>(Gender!BO13/'Total 1st Prof'!Q13)*100</f>
        <v>25.879917184265011</v>
      </c>
      <c r="Q12" s="103">
        <f>(Gender!BP13/'Total 1st Prof'!R13)*100</f>
        <v>30.880420499342971</v>
      </c>
      <c r="R12" s="103">
        <f>(Gender!BQ13/'Total 1st Prof'!S13)*100</f>
        <v>30.96646942800789</v>
      </c>
      <c r="S12" s="103">
        <f>(Gender!BR13/'Total 1st Prof'!T13)*100</f>
        <v>32.327586206896555</v>
      </c>
      <c r="T12" s="102">
        <f>(Gender!BS13/'Total 1st Prof'!U13)*100</f>
        <v>31.214285714285715</v>
      </c>
      <c r="U12" s="103">
        <f>(Gender!BT13/'Total 1st Prof'!V13)*100</f>
        <v>31.362126245847179</v>
      </c>
      <c r="V12" s="103">
        <f>(Gender!BU13/'Total 1st Prof'!W13)*100</f>
        <v>31.802604523646334</v>
      </c>
      <c r="W12" s="103">
        <f>(Gender!BV13/'Total 1st Prof'!X13)*100</f>
        <v>34.329268292682933</v>
      </c>
      <c r="X12" s="103">
        <f>(Gender!BW13/'Total 1st Prof'!Y13)*100</f>
        <v>32.650448143405889</v>
      </c>
      <c r="Y12" s="103">
        <f>(Gender!BX13/'Total 1st Prof'!Z13)*100</f>
        <v>35.019973368841548</v>
      </c>
      <c r="Z12" s="103">
        <f>(Gender!BY13/'Total 1st Prof'!AA13)*100</f>
        <v>36.030341340075857</v>
      </c>
      <c r="AA12" s="103">
        <f>(Gender!BZ13/'Total 1st Prof'!AB13)*100</f>
        <v>37.976190476190474</v>
      </c>
      <c r="AB12" s="103">
        <f>(Gender!CA13/'Total 1st Prof'!AC13)*100</f>
        <v>39.201570680628272</v>
      </c>
      <c r="AC12" s="103">
        <f>(Gender!CB13/'Total 1st Prof'!AD13)*100</f>
        <v>42.665036674816626</v>
      </c>
      <c r="AD12" s="103">
        <f>(Gender!CC13/'Total 1st Prof'!AE13)*100</f>
        <v>43.934997098084736</v>
      </c>
      <c r="AE12" s="103">
        <f>(Gender!CD13/'Total 1st Prof'!AF13)*100</f>
        <v>43.734015345268539</v>
      </c>
      <c r="AF12" s="103">
        <f>(Gender!CE13/'Total 1st Prof'!AG13)*100</f>
        <v>45.94240837696335</v>
      </c>
      <c r="AG12" s="103">
        <f>(Gender!CF13/'Total 1st Prof'!AH13)*100</f>
        <v>45.495207667731627</v>
      </c>
      <c r="AH12" s="103">
        <f>(Gender!CG13/'Total 1st Prof'!AI13)*100</f>
        <v>49.933774834437081</v>
      </c>
      <c r="AI12" s="103">
        <f>(Gender!CH13/'Total 1st Prof'!AJ13)*100</f>
        <v>50.062814070351756</v>
      </c>
      <c r="AJ12" s="103">
        <f>(Gender!CI13/'Total 1st Prof'!AK13)*100</f>
        <v>50.116959064327482</v>
      </c>
      <c r="AK12" s="103">
        <f>(Gender!CJ13/'Total 1st Prof'!AL13)*100</f>
        <v>52.998182919442762</v>
      </c>
      <c r="AL12" s="103">
        <f>(Gender!CK13/'Total 1st Prof'!AM13)*100</f>
        <v>51.579586877278253</v>
      </c>
      <c r="AM12" s="103">
        <f>(Gender!CL13/'Total 1st Prof'!AN13)*100</f>
        <v>54.747225647348955</v>
      </c>
      <c r="AN12" s="103">
        <f>(Gender!CM13/'Total 1st Prof'!AO13)*100</f>
        <v>53.067484662576689</v>
      </c>
      <c r="AO12" s="103">
        <f>(Gender!CN13/'Total 1st Prof'!AP13)*100</f>
        <v>49.412492269635131</v>
      </c>
      <c r="AP12" s="103">
        <f>(Gender!CO13/'Total 1st Prof'!AQ13)*100</f>
        <v>49.717514124293785</v>
      </c>
      <c r="AQ12" s="103">
        <f>(Gender!CP13/'Total 1st Prof'!AR13)*100</f>
        <v>51.893491124260358</v>
      </c>
      <c r="AR12" s="103">
        <f>(Gender!CQ13/'Total 1st Prof'!AS13)*100</f>
        <v>51.381509032943676</v>
      </c>
      <c r="AS12" s="103">
        <f>(Gender!CR13/'Total 1st Prof'!AT13)*100</f>
        <v>52.088985349972873</v>
      </c>
      <c r="AT12" s="103">
        <f>(Gender!CS13/'Total 1st Prof'!AU13)*100</f>
        <v>53.13876651982379</v>
      </c>
      <c r="AU12" s="103">
        <f>(Gender!CT13/'Total 1st Prof'!AV13)*100</f>
        <v>52.467105263157897</v>
      </c>
      <c r="AV12" s="103">
        <f>(Gender!CU13/'Total 1st Prof'!AW13)*100</f>
        <v>55.005440696409138</v>
      </c>
      <c r="AW12" s="103">
        <f>(Gender!CV13/'Total 1st Prof'!AX13)*100</f>
        <v>53.082191780821915</v>
      </c>
      <c r="AX12" s="103">
        <f>(Gender!CW13/'Total 1st Prof'!AY13)*100</f>
        <v>55.196304849884527</v>
      </c>
      <c r="AY12" s="103">
        <f>(Gender!CX13/'Total 1st Prof'!AZ13)*100</f>
        <v>56.643356643356647</v>
      </c>
      <c r="AZ12" s="103">
        <f>(Gender!CY13/'Total 1st Prof'!BA13)*100</f>
        <v>58.208955223880601</v>
      </c>
    </row>
    <row r="13" spans="1:52" ht="12.75">
      <c r="A13" s="77" t="s">
        <v>26</v>
      </c>
      <c r="B13" s="102">
        <f>(Gender!BA14/'Total 1st Prof'!C14)*100</f>
        <v>4.4757033248081841</v>
      </c>
      <c r="C13" s="103">
        <f>(Gender!BB14/'Total 1st Prof'!D14)*100</f>
        <v>7.9734219269102988</v>
      </c>
      <c r="D13" s="103">
        <f>(Gender!BC14/'Total 1st Prof'!E14)*100</f>
        <v>8.3981337480559866</v>
      </c>
      <c r="E13" s="103">
        <f>(Gender!BD14/'Total 1st Prof'!F14)*100</f>
        <v>8.8331515812431842</v>
      </c>
      <c r="F13" s="103">
        <f>(Gender!BE14/'Total 1st Prof'!G14)*100</f>
        <v>9.0628218331616885</v>
      </c>
      <c r="G13" s="103">
        <f>(Gender!BF14/'Total 1st Prof'!H14)*100</f>
        <v>11.370262390670554</v>
      </c>
      <c r="H13" s="103">
        <f>(Gender!BG14/'Total 1st Prof'!I14)*100</f>
        <v>15.436241610738255</v>
      </c>
      <c r="I13" s="103">
        <f>(Gender!BH14/'Total 1st Prof'!J14)*100</f>
        <v>18.627450980392158</v>
      </c>
      <c r="J13" s="103">
        <f>(Gender!BI14/'Total 1st Prof'!K14)*100</f>
        <v>23.804226918798665</v>
      </c>
      <c r="K13" s="103">
        <f>(Gender!BJ14/'Total 1st Prof'!L14)*100</f>
        <v>23.995656894679694</v>
      </c>
      <c r="L13" s="103">
        <f>(Gender!BK14/'Total 1st Prof'!M14)*100</f>
        <v>24.366041896361633</v>
      </c>
      <c r="M13" s="103">
        <f>(Gender!BL14/'Total 1st Prof'!N14)*100</f>
        <v>28.970917225950782</v>
      </c>
      <c r="N13" s="103">
        <f>(Gender!BM14/'Total 1st Prof'!O14)*100</f>
        <v>28.213507625272332</v>
      </c>
      <c r="O13" s="103">
        <f>(Gender!BN14/'Total 1st Prof'!P14)*100</f>
        <v>32.707182320441994</v>
      </c>
      <c r="P13" s="103">
        <f>(Gender!BO14/'Total 1st Prof'!Q14)*100</f>
        <v>34.904601571268238</v>
      </c>
      <c r="Q13" s="103">
        <f>(Gender!BP14/'Total 1st Prof'!R14)*100</f>
        <v>35.483870967741936</v>
      </c>
      <c r="R13" s="103">
        <f>(Gender!BQ14/'Total 1st Prof'!S14)*100</f>
        <v>32.295373665480426</v>
      </c>
      <c r="S13" s="103">
        <f>(Gender!BR14/'Total 1st Prof'!T14)*100</f>
        <v>36.776859504132233</v>
      </c>
      <c r="T13" s="102">
        <f>(Gender!BS14/'Total 1st Prof'!U14)*100</f>
        <v>37.660944206008587</v>
      </c>
      <c r="U13" s="103">
        <f>(Gender!BT14/'Total 1st Prof'!V14)*100</f>
        <v>35.662898252826309</v>
      </c>
      <c r="V13" s="103">
        <f>(Gender!BU14/'Total 1st Prof'!W14)*100</f>
        <v>38.414006179196704</v>
      </c>
      <c r="W13" s="103">
        <f>(Gender!BV14/'Total 1st Prof'!X14)*100</f>
        <v>39.017051153460379</v>
      </c>
      <c r="X13" s="103">
        <f>(Gender!BW14/'Total 1st Prof'!Y14)*100</f>
        <v>43.97463002114165</v>
      </c>
      <c r="Y13" s="103">
        <f>(Gender!BX14/'Total 1st Prof'!Z14)*100</f>
        <v>44.38095238095238</v>
      </c>
      <c r="Z13" s="103">
        <f>(Gender!BY14/'Total 1st Prof'!AA14)*100</f>
        <v>40.843621399176953</v>
      </c>
      <c r="AA13" s="103">
        <f>(Gender!BZ14/'Total 1st Prof'!AB14)*100</f>
        <v>42.957042957042958</v>
      </c>
      <c r="AB13" s="103">
        <f>(Gender!CA14/'Total 1st Prof'!AC14)*100</f>
        <v>44.468784227820372</v>
      </c>
      <c r="AC13" s="103">
        <f>(Gender!CB14/'Total 1st Prof'!AD14)*100</f>
        <v>46.826126954921804</v>
      </c>
      <c r="AD13" s="103">
        <f>(Gender!CC14/'Total 1st Prof'!AE14)*100</f>
        <v>47.623318385650229</v>
      </c>
      <c r="AE13" s="103">
        <f>(Gender!CD14/'Total 1st Prof'!AF14)*100</f>
        <v>45.71678321678322</v>
      </c>
      <c r="AF13" s="103">
        <f>(Gender!CE14/'Total 1st Prof'!AG14)*100</f>
        <v>49.857006673021928</v>
      </c>
      <c r="AG13" s="103">
        <f>(Gender!CF14/'Total 1st Prof'!AH14)*100</f>
        <v>48.443579766536963</v>
      </c>
      <c r="AH13" s="103">
        <f>(Gender!CG14/'Total 1st Prof'!AI14)*100</f>
        <v>47.298494242692648</v>
      </c>
      <c r="AI13" s="103">
        <f>(Gender!CH14/'Total 1st Prof'!AJ14)*100</f>
        <v>48.852772466539193</v>
      </c>
      <c r="AJ13" s="103">
        <f>(Gender!CI14/'Total 1st Prof'!AK14)*100</f>
        <v>54.122807017543863</v>
      </c>
      <c r="AK13" s="103">
        <f>(Gender!CJ14/'Total 1st Prof'!AL14)*100</f>
        <v>53.148148148148145</v>
      </c>
      <c r="AL13" s="103">
        <f>(Gender!CK14/'Total 1st Prof'!AM14)*100</f>
        <v>50.534759358288774</v>
      </c>
      <c r="AM13" s="103">
        <f>(Gender!CL14/'Total 1st Prof'!AN14)*100</f>
        <v>56.228070175438596</v>
      </c>
      <c r="AN13" s="103">
        <f>(Gender!CM14/'Total 1st Prof'!AO14)*100</f>
        <v>54.66908431550317</v>
      </c>
      <c r="AO13" s="103">
        <f>(Gender!CN14/'Total 1st Prof'!AP14)*100</f>
        <v>56.572379367720472</v>
      </c>
      <c r="AP13" s="103">
        <f>(Gender!CO14/'Total 1st Prof'!AQ14)*100</f>
        <v>56.550218340611359</v>
      </c>
      <c r="AQ13" s="103">
        <f>(Gender!CP14/'Total 1st Prof'!AR14)*100</f>
        <v>57.52017608217168</v>
      </c>
      <c r="AR13" s="103">
        <f>(Gender!CQ14/'Total 1st Prof'!AS14)*100</f>
        <v>55.010366275051837</v>
      </c>
      <c r="AS13" s="103">
        <f>(Gender!CR14/'Total 1st Prof'!AT14)*100</f>
        <v>53.741054001301237</v>
      </c>
      <c r="AT13" s="103">
        <f>(Gender!CS14/'Total 1st Prof'!AU14)*100</f>
        <v>56.422018348623851</v>
      </c>
      <c r="AU13" s="103">
        <f>(Gender!CT14/'Total 1st Prof'!AV14)*100</f>
        <v>57.588075880758808</v>
      </c>
      <c r="AV13" s="103">
        <f>(Gender!CU14/'Total 1st Prof'!AW14)*100</f>
        <v>58.463726884779518</v>
      </c>
      <c r="AW13" s="103">
        <f>(Gender!CV14/'Total 1st Prof'!AX14)*100</f>
        <v>57.296908698777862</v>
      </c>
      <c r="AX13" s="103">
        <f>(Gender!CW14/'Total 1st Prof'!AY14)*100</f>
        <v>61.242403781228901</v>
      </c>
      <c r="AY13" s="103">
        <f>(Gender!CX14/'Total 1st Prof'!AZ14)*100</f>
        <v>62.431693989071036</v>
      </c>
      <c r="AZ13" s="103">
        <f>(Gender!CY14/'Total 1st Prof'!BA14)*100</f>
        <v>62.088297126839521</v>
      </c>
    </row>
    <row r="14" spans="1:52" ht="12.75">
      <c r="A14" s="77" t="s">
        <v>27</v>
      </c>
      <c r="B14" s="102">
        <f>(Gender!BA15/'Total 1st Prof'!C15)*100</f>
        <v>8.5106382978723403</v>
      </c>
      <c r="C14" s="103">
        <f>(Gender!BB15/'Total 1st Prof'!D15)*100</f>
        <v>5.1282051282051277</v>
      </c>
      <c r="D14" s="103">
        <f>(Gender!BC15/'Total 1st Prof'!E15)*100</f>
        <v>5.9633027522935782</v>
      </c>
      <c r="E14" s="103">
        <f>(Gender!BD15/'Total 1st Prof'!F15)*100</f>
        <v>4.5112781954887211</v>
      </c>
      <c r="F14" s="103">
        <f>(Gender!BE15/'Total 1st Prof'!G15)*100</f>
        <v>4.0920716112531972</v>
      </c>
      <c r="G14" s="103">
        <f>(Gender!BF15/'Total 1st Prof'!H15)*100</f>
        <v>6.462585034013606</v>
      </c>
      <c r="H14" s="103">
        <f>(Gender!BG15/'Total 1st Prof'!I15)*100</f>
        <v>5.3708439897698215</v>
      </c>
      <c r="I14" s="103">
        <f>(Gender!BH15/'Total 1st Prof'!J15)*100</f>
        <v>12.114014251781473</v>
      </c>
      <c r="J14" s="103">
        <f>(Gender!BI15/'Total 1st Prof'!K15)*100</f>
        <v>11.739130434782609</v>
      </c>
      <c r="K14" s="103">
        <f>(Gender!BJ15/'Total 1st Prof'!L15)*100</f>
        <v>12.79826464208243</v>
      </c>
      <c r="L14" s="103">
        <f>(Gender!BK15/'Total 1st Prof'!M15)*100</f>
        <v>18.666666666666668</v>
      </c>
      <c r="M14" s="103">
        <f>(Gender!BL15/'Total 1st Prof'!N15)*100</f>
        <v>19.298245614035086</v>
      </c>
      <c r="N14" s="103">
        <f>(Gender!BM15/'Total 1st Prof'!O15)*100</f>
        <v>21.321961620469082</v>
      </c>
      <c r="O14" s="103">
        <f>(Gender!BN15/'Total 1st Prof'!P15)*100</f>
        <v>18.087855297157624</v>
      </c>
      <c r="P14" s="103">
        <f>(Gender!BO15/'Total 1st Prof'!Q15)*100</f>
        <v>20.048899755501225</v>
      </c>
      <c r="Q14" s="103">
        <f>(Gender!BP15/'Total 1st Prof'!R15)*100</f>
        <v>22.6</v>
      </c>
      <c r="R14" s="103">
        <f>(Gender!BQ15/'Total 1st Prof'!S15)*100</f>
        <v>25.254582484725052</v>
      </c>
      <c r="S14" s="103">
        <f>(Gender!BR15/'Total 1st Prof'!T15)*100</f>
        <v>26.681127982646419</v>
      </c>
      <c r="T14" s="102">
        <f>(Gender!BS15/'Total 1st Prof'!U15)*100</f>
        <v>29.175475687103592</v>
      </c>
      <c r="U14" s="103">
        <f>(Gender!BT15/'Total 1st Prof'!V15)*100</f>
        <v>23.188405797101449</v>
      </c>
      <c r="V14" s="103">
        <f>(Gender!BU15/'Total 1st Prof'!W15)*100</f>
        <v>27.882599580712785</v>
      </c>
      <c r="W14" s="103">
        <f>(Gender!BV15/'Total 1st Prof'!X15)*100</f>
        <v>33.185840707964601</v>
      </c>
      <c r="X14" s="103">
        <f>(Gender!BW15/'Total 1st Prof'!Y15)*100</f>
        <v>29.434697855750485</v>
      </c>
      <c r="Y14" s="103">
        <f>(Gender!BX15/'Total 1st Prof'!Z15)*100</f>
        <v>31.759656652360512</v>
      </c>
      <c r="Z14" s="103">
        <f>(Gender!BY15/'Total 1st Prof'!AA15)*100</f>
        <v>30.753138075313807</v>
      </c>
      <c r="AA14" s="103">
        <f>(Gender!BZ15/'Total 1st Prof'!AB15)*100</f>
        <v>31.300813008130078</v>
      </c>
      <c r="AB14" s="103">
        <f>(Gender!CA15/'Total 1st Prof'!AC15)*100</f>
        <v>40.224719101123597</v>
      </c>
      <c r="AC14" s="103">
        <f>(Gender!CB15/'Total 1st Prof'!AD15)*100</f>
        <v>35.344827586206897</v>
      </c>
      <c r="AD14" s="103">
        <f>(Gender!CC15/'Total 1st Prof'!AE15)*100</f>
        <v>40.48582995951417</v>
      </c>
      <c r="AE14" s="103">
        <f>(Gender!CD15/'Total 1st Prof'!AF15)*100</f>
        <v>40.480274442538594</v>
      </c>
      <c r="AF14" s="103">
        <f>(Gender!CE15/'Total 1st Prof'!AG15)*100</f>
        <v>41.304347826086953</v>
      </c>
      <c r="AG14" s="103">
        <f>(Gender!CF15/'Total 1st Prof'!AH15)*100</f>
        <v>46.777546777546782</v>
      </c>
      <c r="AH14" s="103">
        <f>(Gender!CG15/'Total 1st Prof'!AI15)*100</f>
        <v>43.622920517560075</v>
      </c>
      <c r="AI14" s="103">
        <f>(Gender!CH15/'Total 1st Prof'!AJ15)*100</f>
        <v>41.923076923076927</v>
      </c>
      <c r="AJ14" s="103">
        <f>(Gender!CI15/'Total 1st Prof'!AK15)*100</f>
        <v>46.401515151515149</v>
      </c>
      <c r="AK14" s="103">
        <f>(Gender!CJ15/'Total 1st Prof'!AL15)*100</f>
        <v>43.163097199341024</v>
      </c>
      <c r="AL14" s="103">
        <f>(Gender!CK15/'Total 1st Prof'!AM15)*100</f>
        <v>44.556113902847571</v>
      </c>
      <c r="AM14" s="103">
        <f>(Gender!CL15/'Total 1st Prof'!AN15)*100</f>
        <v>47.288135593220339</v>
      </c>
      <c r="AN14" s="103">
        <f>(Gender!CM15/'Total 1st Prof'!AO15)*100</f>
        <v>49.755301794453501</v>
      </c>
      <c r="AO14" s="103">
        <f>(Gender!CN15/'Total 1st Prof'!AP15)*100</f>
        <v>49.028400597907321</v>
      </c>
      <c r="AP14" s="103">
        <f>(Gender!CO15/'Total 1st Prof'!AQ15)*100</f>
        <v>51.029411764705877</v>
      </c>
      <c r="AQ14" s="103">
        <f>(Gender!CP15/'Total 1st Prof'!AR15)*100</f>
        <v>48.87323943661972</v>
      </c>
      <c r="AR14" s="103">
        <f>(Gender!CQ15/'Total 1st Prof'!AS15)*100</f>
        <v>54.34173669467787</v>
      </c>
      <c r="AS14" s="103">
        <f>(Gender!CR15/'Total 1st Prof'!AT15)*100</f>
        <v>52.275682704811445</v>
      </c>
      <c r="AT14" s="103">
        <f>(Gender!CS15/'Total 1st Prof'!AU15)*100</f>
        <v>45.363408521303256</v>
      </c>
      <c r="AU14" s="103">
        <f>(Gender!CT15/'Total 1st Prof'!AV15)*100</f>
        <v>51.94444444444445</v>
      </c>
      <c r="AV14" s="103">
        <f>(Gender!CU15/'Total 1st Prof'!AW15)*100</f>
        <v>50.928381962864719</v>
      </c>
      <c r="AW14" s="103">
        <f>(Gender!CV15/'Total 1st Prof'!AX15)*100</f>
        <v>51.327433628318587</v>
      </c>
      <c r="AX14" s="103">
        <f>(Gender!CW15/'Total 1st Prof'!AY15)*100</f>
        <v>50.259740259740262</v>
      </c>
      <c r="AY14" s="103">
        <f>(Gender!CX15/'Total 1st Prof'!AZ15)*100</f>
        <v>55.798969072164951</v>
      </c>
      <c r="AZ14" s="103">
        <f>(Gender!CY15/'Total 1st Prof'!BA15)*100</f>
        <v>55.541401273885349</v>
      </c>
    </row>
    <row r="15" spans="1:52" ht="12.75">
      <c r="A15" s="77" t="s">
        <v>28</v>
      </c>
      <c r="B15" s="102">
        <f>(Gender!BA16/'Total 1st Prof'!C16)*100</f>
        <v>3.7593984962406015</v>
      </c>
      <c r="C15" s="103">
        <f>(Gender!BB16/'Total 1st Prof'!D16)*100</f>
        <v>5.6987788331071911</v>
      </c>
      <c r="D15" s="103">
        <f>(Gender!BC16/'Total 1st Prof'!E16)*100</f>
        <v>5.2873563218390807</v>
      </c>
      <c r="E15" s="103">
        <f>(Gender!BD16/'Total 1st Prof'!F16)*100</f>
        <v>5.8415841584158423</v>
      </c>
      <c r="F15" s="103">
        <f>(Gender!BE16/'Total 1st Prof'!G16)*100</f>
        <v>10.535714285714286</v>
      </c>
      <c r="G15" s="103">
        <f>(Gender!BF16/'Total 1st Prof'!H16)*100</f>
        <v>12.477064220183486</v>
      </c>
      <c r="H15" s="103">
        <f>(Gender!BG16/'Total 1st Prof'!I16)*100</f>
        <v>13.787638668779714</v>
      </c>
      <c r="I15" s="103">
        <f>(Gender!BH16/'Total 1st Prof'!J16)*100</f>
        <v>16.666666666666664</v>
      </c>
      <c r="J15" s="103">
        <f>(Gender!BI16/'Total 1st Prof'!K16)*100</f>
        <v>20.327102803738317</v>
      </c>
      <c r="K15" s="103">
        <f>(Gender!BJ16/'Total 1st Prof'!L16)*100</f>
        <v>21.604046242774565</v>
      </c>
      <c r="L15" s="103">
        <f>(Gender!BK16/'Total 1st Prof'!M16)*100</f>
        <v>22.479564032697546</v>
      </c>
      <c r="M15" s="103">
        <f>(Gender!BL16/'Total 1st Prof'!N16)*100</f>
        <v>25.72944297082228</v>
      </c>
      <c r="N15" s="103">
        <f>(Gender!BM16/'Total 1st Prof'!O16)*100</f>
        <v>25.608953258722845</v>
      </c>
      <c r="O15" s="103">
        <f>(Gender!BN16/'Total 1st Prof'!P16)*100</f>
        <v>26.738305941845763</v>
      </c>
      <c r="P15" s="103">
        <f>(Gender!BO16/'Total 1st Prof'!Q16)*100</f>
        <v>28.343558282208587</v>
      </c>
      <c r="Q15" s="103">
        <f>(Gender!BP16/'Total 1st Prof'!R16)*100</f>
        <v>31.227436823104693</v>
      </c>
      <c r="R15" s="103">
        <f>(Gender!BQ16/'Total 1st Prof'!S16)*100</f>
        <v>33.248569612205976</v>
      </c>
      <c r="S15" s="103">
        <f>(Gender!BR16/'Total 1st Prof'!T16)*100</f>
        <v>35.679012345679013</v>
      </c>
      <c r="T15" s="102">
        <f>(Gender!BS16/'Total 1st Prof'!U16)*100</f>
        <v>34.567126725219573</v>
      </c>
      <c r="U15" s="103">
        <f>(Gender!BT16/'Total 1st Prof'!V16)*100</f>
        <v>36.029411764705884</v>
      </c>
      <c r="V15" s="103">
        <f>(Gender!BU16/'Total 1st Prof'!W16)*100</f>
        <v>39.07326236693801</v>
      </c>
      <c r="W15" s="103">
        <f>(Gender!BV16/'Total 1st Prof'!X16)*100</f>
        <v>39.815384615384616</v>
      </c>
      <c r="X15" s="103">
        <f>(Gender!BW16/'Total 1st Prof'!Y16)*100</f>
        <v>38.386467143786597</v>
      </c>
      <c r="Y15" s="103">
        <f>(Gender!BX16/'Total 1st Prof'!Z16)*100</f>
        <v>41.252194265652435</v>
      </c>
      <c r="Z15" s="103">
        <f>(Gender!BY16/'Total 1st Prof'!AA16)*100</f>
        <v>39.748953974895393</v>
      </c>
      <c r="AA15" s="103">
        <f>(Gender!BZ16/'Total 1st Prof'!AB16)*100</f>
        <v>39.976415094339622</v>
      </c>
      <c r="AB15" s="103">
        <f>(Gender!CA16/'Total 1st Prof'!AC16)*100</f>
        <v>40.608845491097071</v>
      </c>
      <c r="AC15" s="103">
        <f>(Gender!CB16/'Total 1st Prof'!AD16)*100</f>
        <v>39.682539682539684</v>
      </c>
      <c r="AD15" s="103">
        <f>(Gender!CC16/'Total 1st Prof'!AE16)*100</f>
        <v>44.111461619348056</v>
      </c>
      <c r="AE15" s="103">
        <f>(Gender!CD16/'Total 1st Prof'!AF16)*100</f>
        <v>43.96685655100984</v>
      </c>
      <c r="AF15" s="103">
        <f>(Gender!CE16/'Total 1st Prof'!AG16)*100</f>
        <v>44.541260891850328</v>
      </c>
      <c r="AG15" s="103">
        <f>(Gender!CF16/'Total 1st Prof'!AH16)*100</f>
        <v>50.157894736842103</v>
      </c>
      <c r="AH15" s="103">
        <f>(Gender!CG16/'Total 1st Prof'!AI16)*100</f>
        <v>50.901146914254504</v>
      </c>
      <c r="AI15" s="103">
        <f>(Gender!CH16/'Total 1st Prof'!AJ16)*100</f>
        <v>50.832885545405695</v>
      </c>
      <c r="AJ15" s="103">
        <f>(Gender!CI16/'Total 1st Prof'!AK16)*100</f>
        <v>49.629237288135592</v>
      </c>
      <c r="AK15" s="103">
        <f>(Gender!CJ16/'Total 1st Prof'!AL16)*100</f>
        <v>51.84415584415585</v>
      </c>
      <c r="AL15" s="103">
        <f>(Gender!CK16/'Total 1st Prof'!AM16)*100</f>
        <v>51.680672268907571</v>
      </c>
      <c r="AM15" s="103">
        <f>(Gender!CL16/'Total 1st Prof'!AN16)*100</f>
        <v>50.840134421507443</v>
      </c>
      <c r="AN15" s="103">
        <f>(Gender!CM16/'Total 1st Prof'!AO16)*100</f>
        <v>52.496364517692683</v>
      </c>
      <c r="AO15" s="103">
        <f>(Gender!CN16/'Total 1st Prof'!AP16)*100</f>
        <v>51.743929359823404</v>
      </c>
      <c r="AP15" s="103">
        <f>(Gender!CO16/'Total 1st Prof'!AQ16)*100</f>
        <v>52.311015118790493</v>
      </c>
      <c r="AQ15" s="103">
        <f>(Gender!CP16/'Total 1st Prof'!AR16)*100</f>
        <v>52.25672877846791</v>
      </c>
      <c r="AR15" s="103">
        <f>(Gender!CQ16/'Total 1st Prof'!AS16)*100</f>
        <v>52.544378698224847</v>
      </c>
      <c r="AS15" s="103">
        <f>(Gender!CR16/'Total 1st Prof'!AT16)*100</f>
        <v>51.814588573481856</v>
      </c>
      <c r="AT15" s="103">
        <f>(Gender!CS16/'Total 1st Prof'!AU16)*100</f>
        <v>52.854122621564478</v>
      </c>
      <c r="AU15" s="103">
        <f>(Gender!CT16/'Total 1st Prof'!AV16)*100</f>
        <v>54.443614637789395</v>
      </c>
      <c r="AV15" s="103">
        <f>(Gender!CU16/'Total 1st Prof'!AW16)*100</f>
        <v>54.858387799564269</v>
      </c>
      <c r="AW15" s="103">
        <f>(Gender!CV16/'Total 1st Prof'!AX16)*100</f>
        <v>56.168703192747337</v>
      </c>
      <c r="AX15" s="103">
        <f>(Gender!CW16/'Total 1st Prof'!AY16)*100</f>
        <v>55.849203264671587</v>
      </c>
      <c r="AY15" s="103">
        <f>(Gender!CX16/'Total 1st Prof'!AZ16)*100</f>
        <v>58.29222011385199</v>
      </c>
      <c r="AZ15" s="103">
        <f>(Gender!CY16/'Total 1st Prof'!BA16)*100</f>
        <v>58.943533697632056</v>
      </c>
    </row>
    <row r="16" spans="1:52" ht="12.75">
      <c r="A16" s="77" t="s">
        <v>29</v>
      </c>
      <c r="B16" s="102">
        <f>(Gender!BA17/'Total 1st Prof'!C17)*100</f>
        <v>3.7128712871287126</v>
      </c>
      <c r="C16" s="103">
        <f>(Gender!BB17/'Total 1st Prof'!D17)*100</f>
        <v>5.6818181818181817</v>
      </c>
      <c r="D16" s="103">
        <f>(Gender!BC17/'Total 1st Prof'!E17)*100</f>
        <v>4.7619047619047619</v>
      </c>
      <c r="E16" s="103">
        <f>(Gender!BD17/'Total 1st Prof'!F17)*100</f>
        <v>4.2424242424242431</v>
      </c>
      <c r="F16" s="103">
        <f>(Gender!BE17/'Total 1st Prof'!G17)*100</f>
        <v>7.530647985989491</v>
      </c>
      <c r="G16" s="103">
        <f>(Gender!BF17/'Total 1st Prof'!H17)*100</f>
        <v>10.054347826086957</v>
      </c>
      <c r="H16" s="103">
        <f>(Gender!BG17/'Total 1st Prof'!I17)*100</f>
        <v>14.042553191489363</v>
      </c>
      <c r="I16" s="103">
        <f>(Gender!BH17/'Total 1st Prof'!J17)*100</f>
        <v>15.589353612167301</v>
      </c>
      <c r="J16" s="103">
        <f>(Gender!BI17/'Total 1st Prof'!K17)*100</f>
        <v>18.742724097788127</v>
      </c>
      <c r="K16" s="103">
        <f>(Gender!BJ17/'Total 1st Prof'!L17)*100</f>
        <v>19.486581096849477</v>
      </c>
      <c r="L16" s="103">
        <f>(Gender!BK17/'Total 1st Prof'!M17)*100</f>
        <v>21.354166666666664</v>
      </c>
      <c r="M16" s="103">
        <f>(Gender!BL17/'Total 1st Prof'!N17)*100</f>
        <v>21.512385919165581</v>
      </c>
      <c r="N16" s="103">
        <f>(Gender!BM17/'Total 1st Prof'!O17)*100</f>
        <v>22.80334728033473</v>
      </c>
      <c r="O16" s="103">
        <f>(Gender!BN17/'Total 1st Prof'!P17)*100</f>
        <v>27.318548387096776</v>
      </c>
      <c r="P16" s="103">
        <f>(Gender!BO17/'Total 1st Prof'!Q17)*100</f>
        <v>27.750247770069375</v>
      </c>
      <c r="Q16" s="103">
        <f>(Gender!BP17/'Total 1st Prof'!R17)*100</f>
        <v>30.294117647058822</v>
      </c>
      <c r="R16" s="103">
        <f>(Gender!BQ17/'Total 1st Prof'!S17)*100</f>
        <v>30.039138943248535</v>
      </c>
      <c r="S16" s="103">
        <f>(Gender!BR17/'Total 1st Prof'!T17)*100</f>
        <v>30.830830830830831</v>
      </c>
      <c r="T16" s="102">
        <f>(Gender!BS17/'Total 1st Prof'!U17)*100</f>
        <v>34.044616876818623</v>
      </c>
      <c r="U16" s="103">
        <f>(Gender!BT17/'Total 1st Prof'!V17)*100</f>
        <v>33.368421052631582</v>
      </c>
      <c r="V16" s="103">
        <f>(Gender!BU17/'Total 1st Prof'!W17)*100</f>
        <v>34.777898158179852</v>
      </c>
      <c r="W16" s="103">
        <f>(Gender!BV17/'Total 1st Prof'!X17)*100</f>
        <v>34.323432343234323</v>
      </c>
      <c r="X16" s="103">
        <f>(Gender!BW17/'Total 1st Prof'!Y17)*100</f>
        <v>35.692618806875629</v>
      </c>
      <c r="Y16" s="103">
        <f>(Gender!BX17/'Total 1st Prof'!Z17)*100</f>
        <v>38.362068965517246</v>
      </c>
      <c r="Z16" s="103">
        <f>(Gender!BY17/'Total 1st Prof'!AA17)*100</f>
        <v>38.534278959810877</v>
      </c>
      <c r="AA16" s="103">
        <f>(Gender!BZ17/'Total 1st Prof'!AB17)*100</f>
        <v>37.696335078534034</v>
      </c>
      <c r="AB16" s="103">
        <f>(Gender!CA17/'Total 1st Prof'!AC17)*100</f>
        <v>37.768240343347642</v>
      </c>
      <c r="AC16" s="103">
        <f>(Gender!CB17/'Total 1st Prof'!AD17)*100</f>
        <v>37.54646840148699</v>
      </c>
      <c r="AD16" s="103">
        <f>(Gender!CC17/'Total 1st Prof'!AE17)*100</f>
        <v>39.76608187134503</v>
      </c>
      <c r="AE16" s="103">
        <f>(Gender!CD17/'Total 1st Prof'!AF17)*100</f>
        <v>42.700329308452254</v>
      </c>
      <c r="AF16" s="103">
        <f>(Gender!CE17/'Total 1st Prof'!AG17)*100</f>
        <v>43.456543456543457</v>
      </c>
      <c r="AG16" s="103">
        <f>(Gender!CF17/'Total 1st Prof'!AH17)*100</f>
        <v>42.568250758341755</v>
      </c>
      <c r="AH16" s="103">
        <f>(Gender!CG17/'Total 1st Prof'!AI17)*100</f>
        <v>43.804878048780488</v>
      </c>
      <c r="AI16" s="103">
        <f>(Gender!CH17/'Total 1st Prof'!AJ17)*100</f>
        <v>44.731977818853977</v>
      </c>
      <c r="AJ16" s="103">
        <f>(Gender!CI17/'Total 1st Prof'!AK17)*100</f>
        <v>45.992714025500909</v>
      </c>
      <c r="AK16" s="103">
        <f>(Gender!CJ17/'Total 1st Prof'!AL17)*100</f>
        <v>49.36014625228519</v>
      </c>
      <c r="AL16" s="103">
        <f>(Gender!CK17/'Total 1st Prof'!AM17)*100</f>
        <v>46.333333333333329</v>
      </c>
      <c r="AM16" s="103">
        <f>(Gender!CL17/'Total 1st Prof'!AN17)*100</f>
        <v>47.345517841601392</v>
      </c>
      <c r="AN16" s="103">
        <f>(Gender!CM17/'Total 1st Prof'!AO17)*100</f>
        <v>46.099290780141843</v>
      </c>
      <c r="AO16" s="103">
        <f>(Gender!CN17/'Total 1st Prof'!AP17)*100</f>
        <v>46.795434591747146</v>
      </c>
      <c r="AP16" s="103">
        <f>(Gender!CO17/'Total 1st Prof'!AQ17)*100</f>
        <v>47.192028985507243</v>
      </c>
      <c r="AQ16" s="103">
        <f>(Gender!CP17/'Total 1st Prof'!AR17)*100</f>
        <v>48.51569126378287</v>
      </c>
      <c r="AR16" s="103">
        <f>(Gender!CQ17/'Total 1st Prof'!AS17)*100</f>
        <v>46.327683615819211</v>
      </c>
      <c r="AS16" s="103">
        <f>(Gender!CR17/'Total 1st Prof'!AT17)*100</f>
        <v>51.185250219490783</v>
      </c>
      <c r="AT16" s="103">
        <f>(Gender!CS17/'Total 1st Prof'!AU17)*100</f>
        <v>49.909420289855071</v>
      </c>
      <c r="AU16" s="103">
        <f>(Gender!CT17/'Total 1st Prof'!AV17)*100</f>
        <v>50.507848568790394</v>
      </c>
      <c r="AV16" s="103">
        <f>(Gender!CU17/'Total 1st Prof'!AW17)*100</f>
        <v>53.093259464450604</v>
      </c>
      <c r="AW16" s="103">
        <f>(Gender!CV17/'Total 1st Prof'!AX17)*100</f>
        <v>52.719298245614034</v>
      </c>
      <c r="AX16" s="103">
        <f>(Gender!CW17/'Total 1st Prof'!AY17)*100</f>
        <v>49.8</v>
      </c>
      <c r="AY16" s="103">
        <f>(Gender!CX17/'Total 1st Prof'!AZ17)*100</f>
        <v>49.953746530989825</v>
      </c>
      <c r="AZ16" s="103">
        <f>(Gender!CY17/'Total 1st Prof'!BA17)*100</f>
        <v>56.564748201438853</v>
      </c>
    </row>
    <row r="17" spans="1:52" ht="12.75">
      <c r="A17" s="77" t="s">
        <v>30</v>
      </c>
      <c r="B17" s="102">
        <f>(Gender!BA18/'Total 1st Prof'!C18)*100</f>
        <v>1.7167381974248928</v>
      </c>
      <c r="C17" s="103">
        <f>(Gender!BB18/'Total 1st Prof'!D18)*100</f>
        <v>1.4388489208633095</v>
      </c>
      <c r="D17" s="103">
        <f>(Gender!BC18/'Total 1st Prof'!E18)*100</f>
        <v>1.0830324909747291</v>
      </c>
      <c r="E17" s="103">
        <f>(Gender!BD18/'Total 1st Prof'!F18)*100</f>
        <v>3.225806451612903</v>
      </c>
      <c r="F17" s="103">
        <f>(Gender!BE18/'Total 1st Prof'!G18)*100</f>
        <v>4.0339702760084926</v>
      </c>
      <c r="G17" s="103">
        <f>(Gender!BF18/'Total 1st Prof'!H18)*100</f>
        <v>8.317929759704251</v>
      </c>
      <c r="H17" s="103">
        <f>(Gender!BG18/'Total 1st Prof'!I18)*100</f>
        <v>10.486891385767791</v>
      </c>
      <c r="I17" s="103">
        <f>(Gender!BH18/'Total 1st Prof'!J18)*100</f>
        <v>11.449016100178891</v>
      </c>
      <c r="J17" s="103">
        <f>(Gender!BI18/'Total 1st Prof'!K18)*100</f>
        <v>16.051364365971107</v>
      </c>
      <c r="K17" s="103">
        <f>(Gender!BJ18/'Total 1st Prof'!L18)*100</f>
        <v>15.834767641996558</v>
      </c>
      <c r="L17" s="103">
        <f>(Gender!BK18/'Total 1st Prof'!M18)*100</f>
        <v>21.481481481481481</v>
      </c>
      <c r="M17" s="103">
        <f>(Gender!BL18/'Total 1st Prof'!N18)*100</f>
        <v>20.833333333333336</v>
      </c>
      <c r="N17" s="103">
        <f>(Gender!BM18/'Total 1st Prof'!O18)*100</f>
        <v>23.188405797101449</v>
      </c>
      <c r="O17" s="103">
        <f>(Gender!BN18/'Total 1st Prof'!P18)*100</f>
        <v>22.492401215805472</v>
      </c>
      <c r="P17" s="103">
        <f>(Gender!BO18/'Total 1st Prof'!Q18)*100</f>
        <v>24.265842349304481</v>
      </c>
      <c r="Q17" s="103">
        <f>(Gender!BP18/'Total 1st Prof'!R18)*100</f>
        <v>22.087745839636913</v>
      </c>
      <c r="R17" s="103">
        <f>(Gender!BQ18/'Total 1st Prof'!S18)*100</f>
        <v>32.173913043478258</v>
      </c>
      <c r="S17" s="103">
        <f>(Gender!BR18/'Total 1st Prof'!T18)*100</f>
        <v>25.067750677506773</v>
      </c>
      <c r="T17" s="102">
        <f>(Gender!BS18/'Total 1st Prof'!U18)*100</f>
        <v>30.161054172767205</v>
      </c>
      <c r="U17" s="103">
        <f>(Gender!BT18/'Total 1st Prof'!V18)*100</f>
        <v>25.067750677506773</v>
      </c>
      <c r="V17" s="103">
        <f>(Gender!BU18/'Total 1st Prof'!W18)*100</f>
        <v>34.923339011925044</v>
      </c>
      <c r="W17" s="103">
        <f>(Gender!BV18/'Total 1st Prof'!X18)*100</f>
        <v>35.194585448392559</v>
      </c>
      <c r="X17" s="103">
        <f>(Gender!BW18/'Total 1st Prof'!Y18)*100</f>
        <v>33.494363929146537</v>
      </c>
      <c r="Y17" s="103">
        <f>(Gender!BX18/'Total 1st Prof'!Z18)*100</f>
        <v>33.940397350993379</v>
      </c>
      <c r="Z17" s="103">
        <f>(Gender!BY18/'Total 1st Prof'!AA18)*100</f>
        <v>37.001594896331738</v>
      </c>
      <c r="AA17" s="103">
        <f>(Gender!BZ18/'Total 1st Prof'!AB18)*100</f>
        <v>35.504885993485338</v>
      </c>
      <c r="AB17" s="103">
        <f>(Gender!CA18/'Total 1st Prof'!AC18)*100</f>
        <v>35.035460992907801</v>
      </c>
      <c r="AC17" s="103">
        <f>(Gender!CB18/'Total 1st Prof'!AD18)*100</f>
        <v>35.22099447513812</v>
      </c>
      <c r="AD17" s="103">
        <f>(Gender!CC18/'Total 1st Prof'!AE18)*100</f>
        <v>41.519674355495248</v>
      </c>
      <c r="AE17" s="103">
        <f>(Gender!CD18/'Total 1st Prof'!AF18)*100</f>
        <v>40.176322418136017</v>
      </c>
      <c r="AF17" s="103">
        <f>(Gender!CE18/'Total 1st Prof'!AG18)*100</f>
        <v>40.91441969519343</v>
      </c>
      <c r="AG17" s="103">
        <f>(Gender!CF18/'Total 1st Prof'!AH18)*100</f>
        <v>42.913907284768207</v>
      </c>
      <c r="AH17" s="103">
        <f>(Gender!CG18/'Total 1st Prof'!AI18)*100</f>
        <v>44.272844272844274</v>
      </c>
      <c r="AI17" s="103">
        <f>(Gender!CH18/'Total 1st Prof'!AJ18)*100</f>
        <v>42.818428184281842</v>
      </c>
      <c r="AJ17" s="103">
        <f>(Gender!CI18/'Total 1st Prof'!AK18)*100</f>
        <v>43.414634146341463</v>
      </c>
      <c r="AK17" s="103">
        <f>(Gender!CJ18/'Total 1st Prof'!AL18)*100</f>
        <v>47.491248541423573</v>
      </c>
      <c r="AL17" s="103">
        <f>(Gender!CK18/'Total 1st Prof'!AM18)*100</f>
        <v>49.294117647058819</v>
      </c>
      <c r="AM17" s="103">
        <f>(Gender!CL18/'Total 1st Prof'!AN18)*100</f>
        <v>49.822064056939503</v>
      </c>
      <c r="AN17" s="103">
        <f>(Gender!CM18/'Total 1st Prof'!AO18)*100</f>
        <v>49.1</v>
      </c>
      <c r="AO17" s="103">
        <f>(Gender!CN18/'Total 1st Prof'!AP18)*100</f>
        <v>49.65986394557823</v>
      </c>
      <c r="AP17" s="103">
        <f>(Gender!CO18/'Total 1st Prof'!AQ18)*100</f>
        <v>48.148148148148145</v>
      </c>
      <c r="AQ17" s="103">
        <f>(Gender!CP18/'Total 1st Prof'!AR18)*100</f>
        <v>45.238095238095241</v>
      </c>
      <c r="AR17" s="103">
        <f>(Gender!CQ18/'Total 1st Prof'!AS18)*100</f>
        <v>47.816826411075617</v>
      </c>
      <c r="AS17" s="103">
        <f>(Gender!CR18/'Total 1st Prof'!AT18)*100</f>
        <v>49.170731707317074</v>
      </c>
      <c r="AT17" s="103">
        <f>(Gender!CS18/'Total 1st Prof'!AU18)*100</f>
        <v>52.51141552511416</v>
      </c>
      <c r="AU17" s="103">
        <f>(Gender!CT18/'Total 1st Prof'!AV18)*100</f>
        <v>50.733137829912025</v>
      </c>
      <c r="AV17" s="103">
        <f>(Gender!CU18/'Total 1st Prof'!AW18)*100</f>
        <v>52.655677655677657</v>
      </c>
      <c r="AW17" s="103">
        <f>(Gender!CV18/'Total 1st Prof'!AX18)*100</f>
        <v>51.492537313432841</v>
      </c>
      <c r="AX17" s="103">
        <f>(Gender!CW18/'Total 1st Prof'!AY18)*100</f>
        <v>50.704225352112672</v>
      </c>
      <c r="AY17" s="103">
        <f>(Gender!CX18/'Total 1st Prof'!AZ18)*100</f>
        <v>55.546425636811833</v>
      </c>
      <c r="AZ17" s="103">
        <f>(Gender!CY18/'Total 1st Prof'!BA18)*100</f>
        <v>54.135954135954137</v>
      </c>
    </row>
    <row r="18" spans="1:52" ht="12.75">
      <c r="A18" s="77" t="s">
        <v>31</v>
      </c>
      <c r="B18" s="102">
        <f>(Gender!BA19/'Total 1st Prof'!C19)*100</f>
        <v>3.8083538083538087</v>
      </c>
      <c r="C18" s="103">
        <f>(Gender!BB19/'Total 1st Prof'!D19)*100</f>
        <v>4.1474654377880187</v>
      </c>
      <c r="D18" s="103">
        <f>(Gender!BC19/'Total 1st Prof'!E19)*100</f>
        <v>3.4756703078450841</v>
      </c>
      <c r="E18" s="103">
        <f>(Gender!BD19/'Total 1st Prof'!F19)*100</f>
        <v>3.8596491228070176</v>
      </c>
      <c r="F18" s="103">
        <f>(Gender!BE19/'Total 1st Prof'!G19)*100</f>
        <v>5.5716353111432708</v>
      </c>
      <c r="G18" s="103">
        <f>(Gender!BF19/'Total 1st Prof'!H19)*100</f>
        <v>8.5924713584288046</v>
      </c>
      <c r="H18" s="103">
        <f>(Gender!BG19/'Total 1st Prof'!I19)*100</f>
        <v>12.454479242534596</v>
      </c>
      <c r="I18" s="103">
        <f>(Gender!BH19/'Total 1st Prof'!J19)*100</f>
        <v>13.257575757575758</v>
      </c>
      <c r="J18" s="103">
        <f>(Gender!BI19/'Total 1st Prof'!K19)*100</f>
        <v>16.781083142639204</v>
      </c>
      <c r="K18" s="103">
        <f>(Gender!BJ19/'Total 1st Prof'!L19)*100</f>
        <v>18.310858765081615</v>
      </c>
      <c r="L18" s="103">
        <f>(Gender!BK19/'Total 1st Prof'!M19)*100</f>
        <v>19.866567828020756</v>
      </c>
      <c r="M18" s="103">
        <f>(Gender!BL19/'Total 1st Prof'!N19)*100</f>
        <v>21.076822061720289</v>
      </c>
      <c r="N18" s="103">
        <f>(Gender!BM19/'Total 1st Prof'!O19)*100</f>
        <v>20.497707924034053</v>
      </c>
      <c r="O18" s="103">
        <f>(Gender!BN19/'Total 1st Prof'!P19)*100</f>
        <v>24.521072796934863</v>
      </c>
      <c r="P18" s="103">
        <f>(Gender!BO19/'Total 1st Prof'!Q19)*100</f>
        <v>24.025974025974026</v>
      </c>
      <c r="Q18" s="103">
        <f>(Gender!BP19/'Total 1st Prof'!R19)*100</f>
        <v>25.775978407557353</v>
      </c>
      <c r="R18" s="103">
        <f>(Gender!BQ19/'Total 1st Prof'!S19)*100</f>
        <v>28.520114942528735</v>
      </c>
      <c r="S18" s="103">
        <f>(Gender!BR19/'Total 1st Prof'!T19)*100</f>
        <v>27.203065134099617</v>
      </c>
      <c r="T18" s="102">
        <f>(Gender!BS19/'Total 1st Prof'!U19)*100</f>
        <v>30.045871559633024</v>
      </c>
      <c r="U18" s="103">
        <f>(Gender!BT19/'Total 1st Prof'!V19)*100</f>
        <v>28.89054355919583</v>
      </c>
      <c r="V18" s="103">
        <f>(Gender!BU19/'Total 1st Prof'!W19)*100</f>
        <v>32.971295577967418</v>
      </c>
      <c r="W18" s="103">
        <f>(Gender!BV19/'Total 1st Prof'!X19)*100</f>
        <v>33.044164037854891</v>
      </c>
      <c r="X18" s="103">
        <f>(Gender!BW19/'Total 1st Prof'!Y19)*100</f>
        <v>31.73076923076923</v>
      </c>
      <c r="Y18" s="103">
        <f>(Gender!BX19/'Total 1st Prof'!Z19)*100</f>
        <v>36.167039522744219</v>
      </c>
      <c r="Z18" s="103">
        <f>(Gender!BY19/'Total 1st Prof'!AA19)*100</f>
        <v>38.271604938271601</v>
      </c>
      <c r="AA18" s="103">
        <f>(Gender!BZ19/'Total 1st Prof'!AB19)*100</f>
        <v>39.206128133704738</v>
      </c>
      <c r="AB18" s="103">
        <f>(Gender!CA19/'Total 1st Prof'!AC19)*100</f>
        <v>40.657698056801195</v>
      </c>
      <c r="AC18" s="103">
        <f>(Gender!CB19/'Total 1st Prof'!AD19)*100</f>
        <v>42.166064981949461</v>
      </c>
      <c r="AD18" s="103">
        <f>(Gender!CC19/'Total 1st Prof'!AE19)*100</f>
        <v>41.431520991052992</v>
      </c>
      <c r="AE18" s="103">
        <f>(Gender!CD19/'Total 1st Prof'!AF19)*100</f>
        <v>39.971751412429377</v>
      </c>
      <c r="AF18" s="103">
        <f>(Gender!CE19/'Total 1st Prof'!AG19)*100</f>
        <v>41.831357048748352</v>
      </c>
      <c r="AG18" s="103">
        <f>(Gender!CF19/'Total 1st Prof'!AH19)*100</f>
        <v>43.637621023513141</v>
      </c>
      <c r="AH18" s="103">
        <f>(Gender!CG19/'Total 1st Prof'!AI19)*100</f>
        <v>44.181184668989545</v>
      </c>
      <c r="AI18" s="103">
        <f>(Gender!CH19/'Total 1st Prof'!AJ19)*100</f>
        <v>47.484053862508858</v>
      </c>
      <c r="AJ18" s="103">
        <f>(Gender!CI19/'Total 1st Prof'!AK19)*100</f>
        <v>46.540880503144656</v>
      </c>
      <c r="AK18" s="103">
        <f>(Gender!CJ19/'Total 1st Prof'!AL19)*100</f>
        <v>47.432239657631953</v>
      </c>
      <c r="AL18" s="103">
        <f>(Gender!CK19/'Total 1st Prof'!AM19)*100</f>
        <v>47.695530726256983</v>
      </c>
      <c r="AM18" s="103">
        <f>(Gender!CL19/'Total 1st Prof'!AN19)*100</f>
        <v>48.758620689655174</v>
      </c>
      <c r="AN18" s="103">
        <f>(Gender!CM19/'Total 1st Prof'!AO19)*100</f>
        <v>49.052906596995427</v>
      </c>
      <c r="AO18" s="103">
        <f>(Gender!CN19/'Total 1st Prof'!AP19)*100</f>
        <v>51.994590939824207</v>
      </c>
      <c r="AP18" s="103">
        <f>(Gender!CO19/'Total 1st Prof'!AQ19)*100</f>
        <v>51.779141104294482</v>
      </c>
      <c r="AQ18" s="103">
        <f>(Gender!CP19/'Total 1st Prof'!AR19)*100</f>
        <v>54.241200230813611</v>
      </c>
      <c r="AR18" s="103">
        <f>(Gender!CQ19/'Total 1st Prof'!AS19)*100</f>
        <v>55.070281124497988</v>
      </c>
      <c r="AS18" s="103">
        <f>(Gender!CR19/'Total 1st Prof'!AT19)*100</f>
        <v>51.627003399708592</v>
      </c>
      <c r="AT18" s="103">
        <f>(Gender!CS19/'Total 1st Prof'!AU19)*100</f>
        <v>53.659673659673658</v>
      </c>
      <c r="AU18" s="103">
        <f>(Gender!CT19/'Total 1st Prof'!AV19)*100</f>
        <v>54.186973859105002</v>
      </c>
      <c r="AV18" s="103">
        <f>(Gender!CU19/'Total 1st Prof'!AW19)*100</f>
        <v>52.609890109890109</v>
      </c>
      <c r="AW18" s="103">
        <f>(Gender!CV19/'Total 1st Prof'!AX19)*100</f>
        <v>54.849934754240969</v>
      </c>
      <c r="AX18" s="103">
        <f>(Gender!CW19/'Total 1st Prof'!AY19)*100</f>
        <v>55.824446267432329</v>
      </c>
      <c r="AY18" s="103">
        <f>(Gender!CX19/'Total 1st Prof'!AZ19)*100</f>
        <v>56.006364359586314</v>
      </c>
      <c r="AZ18" s="103">
        <f>(Gender!CY19/'Total 1st Prof'!BA19)*100</f>
        <v>57.153530070974966</v>
      </c>
    </row>
    <row r="19" spans="1:52" ht="12.75">
      <c r="A19" s="77" t="s">
        <v>32</v>
      </c>
      <c r="B19" s="102">
        <f>(Gender!BA20/'Total 1st Prof'!C20)*100</f>
        <v>5.2580800771828269</v>
      </c>
      <c r="C19" s="103">
        <f>(Gender!BB20/'Total 1st Prof'!D20)*100</f>
        <v>5.0189393939393936</v>
      </c>
      <c r="D19" s="103">
        <f>(Gender!BC20/'Total 1st Prof'!E20)*100</f>
        <v>4.7459050818983624</v>
      </c>
      <c r="E19" s="103">
        <f>(Gender!BD20/'Total 1st Prof'!F20)*100</f>
        <v>5.4409672830725464</v>
      </c>
      <c r="F19" s="103">
        <f>(Gender!BE20/'Total 1st Prof'!G20)*100</f>
        <v>7.0751737207833232</v>
      </c>
      <c r="G19" s="103">
        <f>(Gender!BF20/'Total 1st Prof'!H20)*100</f>
        <v>10.871602624179943</v>
      </c>
      <c r="H19" s="103">
        <f>(Gender!BG20/'Total 1st Prof'!I20)*100</f>
        <v>11.492281303602059</v>
      </c>
      <c r="I19" s="103">
        <f>(Gender!BH20/'Total 1st Prof'!J20)*100</f>
        <v>15.930642102411271</v>
      </c>
      <c r="J19" s="103">
        <f>(Gender!BI20/'Total 1st Prof'!K20)*100</f>
        <v>20.228475898578992</v>
      </c>
      <c r="K19" s="103">
        <f>(Gender!BJ20/'Total 1st Prof'!L20)*100</f>
        <v>21.968854282536153</v>
      </c>
      <c r="L19" s="103">
        <f>(Gender!BK20/'Total 1st Prof'!M20)*100</f>
        <v>20.725388601036268</v>
      </c>
      <c r="M19" s="103">
        <f>(Gender!BL20/'Total 1st Prof'!N20)*100</f>
        <v>23.960066555740433</v>
      </c>
      <c r="N19" s="103">
        <f>(Gender!BM20/'Total 1st Prof'!O20)*100</f>
        <v>24.526037916966644</v>
      </c>
      <c r="O19" s="103">
        <f>(Gender!BN20/'Total 1st Prof'!P20)*100</f>
        <v>27.291618563842068</v>
      </c>
      <c r="P19" s="103">
        <f>(Gender!BO20/'Total 1st Prof'!Q20)*100</f>
        <v>28.622620380739082</v>
      </c>
      <c r="Q19" s="103">
        <f>(Gender!BP20/'Total 1st Prof'!R20)*100</f>
        <v>31.574394463667822</v>
      </c>
      <c r="R19" s="103">
        <f>(Gender!BQ20/'Total 1st Prof'!S20)*100</f>
        <v>30.765854728988369</v>
      </c>
      <c r="S19" s="103">
        <f>(Gender!BR20/'Total 1st Prof'!T20)*100</f>
        <v>36.618669314796428</v>
      </c>
      <c r="T19" s="102">
        <f>(Gender!BS20/'Total 1st Prof'!U20)*100</f>
        <v>36.709177294323581</v>
      </c>
      <c r="U19" s="103">
        <f>(Gender!BT20/'Total 1st Prof'!V20)*100</f>
        <v>37.481910274963823</v>
      </c>
      <c r="V19" s="103">
        <f>(Gender!BU20/'Total 1st Prof'!W20)*100</f>
        <v>37.137989778534923</v>
      </c>
      <c r="W19" s="103">
        <f>(Gender!BV20/'Total 1st Prof'!X20)*100</f>
        <v>38.688212927756652</v>
      </c>
      <c r="X19" s="103">
        <f>(Gender!BW20/'Total 1st Prof'!Y20)*100</f>
        <v>36.474984430143245</v>
      </c>
      <c r="Y19" s="103">
        <f>(Gender!BX20/'Total 1st Prof'!Z20)*100</f>
        <v>36.665301106104053</v>
      </c>
      <c r="Z19" s="103">
        <f>(Gender!BY20/'Total 1st Prof'!AA20)*100</f>
        <v>37.75167785234899</v>
      </c>
      <c r="AA19" s="103">
        <f>(Gender!BZ20/'Total 1st Prof'!AB20)*100</f>
        <v>37.130890052356023</v>
      </c>
      <c r="AB19" s="103">
        <f>(Gender!CA20/'Total 1st Prof'!AC20)*100</f>
        <v>37.715855572998429</v>
      </c>
      <c r="AC19" s="103">
        <f>(Gender!CB20/'Total 1st Prof'!AD20)*100</f>
        <v>37.337020940339791</v>
      </c>
      <c r="AD19" s="103">
        <f>(Gender!CC20/'Total 1st Prof'!AE20)*100</f>
        <v>38.767890479153706</v>
      </c>
      <c r="AE19" s="103">
        <f>(Gender!CD20/'Total 1st Prof'!AF20)*100</f>
        <v>40.90267983074753</v>
      </c>
      <c r="AF19" s="103">
        <f>(Gender!CE20/'Total 1st Prof'!AG20)*100</f>
        <v>40.412254160363084</v>
      </c>
      <c r="AG19" s="103">
        <f>(Gender!CF20/'Total 1st Prof'!AH20)*100</f>
        <v>43.794607454401266</v>
      </c>
      <c r="AH19" s="103">
        <f>(Gender!CG20/'Total 1st Prof'!AI20)*100</f>
        <v>44.598825831702541</v>
      </c>
      <c r="AI19" s="103">
        <f>(Gender!CH20/'Total 1st Prof'!AJ20)*100</f>
        <v>46.703408858950809</v>
      </c>
      <c r="AJ19" s="103">
        <f>(Gender!CI20/'Total 1st Prof'!AK20)*100</f>
        <v>47.166469893742615</v>
      </c>
      <c r="AK19" s="103">
        <f>(Gender!CJ20/'Total 1st Prof'!AL20)*100</f>
        <v>48.054835124120046</v>
      </c>
      <c r="AL19" s="103">
        <f>(Gender!CK20/'Total 1st Prof'!AM20)*100</f>
        <v>48.657217456173072</v>
      </c>
      <c r="AM19" s="103">
        <f>(Gender!CL20/'Total 1st Prof'!AN20)*100</f>
        <v>48.225352112676056</v>
      </c>
      <c r="AN19" s="103">
        <f>(Gender!CM20/'Total 1st Prof'!AO20)*100</f>
        <v>47.668780305856025</v>
      </c>
      <c r="AO19" s="103">
        <f>(Gender!CN20/'Total 1st Prof'!AP20)*100</f>
        <v>46.333333333333329</v>
      </c>
      <c r="AP19" s="103">
        <f>(Gender!CO20/'Total 1st Prof'!AQ20)*100</f>
        <v>51.404841844848917</v>
      </c>
      <c r="AQ19" s="103">
        <f>(Gender!CP20/'Total 1st Prof'!AR20)*100</f>
        <v>50.676022591134696</v>
      </c>
      <c r="AR19" s="103">
        <f>(Gender!CQ20/'Total 1st Prof'!AS20)*100</f>
        <v>51.639762107051823</v>
      </c>
      <c r="AS19" s="103">
        <f>(Gender!CR20/'Total 1st Prof'!AT20)*100</f>
        <v>51.485148514851488</v>
      </c>
      <c r="AT19" s="103">
        <f>(Gender!CS20/'Total 1st Prof'!AU20)*100</f>
        <v>51.178895300906845</v>
      </c>
      <c r="AU19" s="103">
        <f>(Gender!CT20/'Total 1st Prof'!AV20)*100</f>
        <v>53.209653587259886</v>
      </c>
      <c r="AV19" s="103">
        <f>(Gender!CU20/'Total 1st Prof'!AW20)*100</f>
        <v>51.804845887588591</v>
      </c>
      <c r="AW19" s="103">
        <f>(Gender!CV20/'Total 1st Prof'!AX20)*100</f>
        <v>52.614217384133269</v>
      </c>
      <c r="AX19" s="103">
        <f>(Gender!CW20/'Total 1st Prof'!AY20)*100</f>
        <v>53.110280980997238</v>
      </c>
      <c r="AY19" s="103">
        <f>(Gender!CX20/'Total 1st Prof'!AZ20)*100</f>
        <v>52.551984877126657</v>
      </c>
      <c r="AZ19" s="103">
        <f>(Gender!CY20/'Total 1st Prof'!BA20)*100</f>
        <v>56.123698714023277</v>
      </c>
    </row>
    <row r="20" spans="1:52" ht="12.75">
      <c r="A20" s="77" t="s">
        <v>33</v>
      </c>
      <c r="B20" s="102">
        <f>(Gender!BA21/'Total 1st Prof'!C21)*100</f>
        <v>3.0441400304414001</v>
      </c>
      <c r="C20" s="103">
        <f>(Gender!BB21/'Total 1st Prof'!D21)*100</f>
        <v>5.1980198019801982</v>
      </c>
      <c r="D20" s="103">
        <f>(Gender!BC21/'Total 1st Prof'!E21)*100</f>
        <v>4.9438202247191008</v>
      </c>
      <c r="E20" s="103">
        <f>(Gender!BD21/'Total 1st Prof'!F21)*100</f>
        <v>4.2406311637080867</v>
      </c>
      <c r="F20" s="103">
        <f>(Gender!BE21/'Total 1st Prof'!G21)*100</f>
        <v>6.7472306143001006</v>
      </c>
      <c r="G20" s="103">
        <f>(Gender!BF21/'Total 1st Prof'!H21)*100</f>
        <v>9.7276264591439698</v>
      </c>
      <c r="H20" s="103">
        <f>(Gender!BG21/'Total 1st Prof'!I21)*100</f>
        <v>13.171577123050259</v>
      </c>
      <c r="I20" s="103">
        <f>(Gender!BH21/'Total 1st Prof'!J21)*100</f>
        <v>15.300084530853761</v>
      </c>
      <c r="J20" s="103">
        <f>(Gender!BI21/'Total 1st Prof'!K21)*100</f>
        <v>18.425324675324674</v>
      </c>
      <c r="K20" s="103">
        <f>(Gender!BJ21/'Total 1st Prof'!L21)*100</f>
        <v>22.511144130757803</v>
      </c>
      <c r="L20" s="103">
        <f>(Gender!BK21/'Total 1st Prof'!M21)*100</f>
        <v>23.224852071005916</v>
      </c>
      <c r="M20" s="103">
        <f>(Gender!BL21/'Total 1st Prof'!N21)*100</f>
        <v>25.947521865889211</v>
      </c>
      <c r="N20" s="103">
        <f>(Gender!BM21/'Total 1st Prof'!O21)*100</f>
        <v>27.631578947368425</v>
      </c>
      <c r="O20" s="103">
        <f>(Gender!BN21/'Total 1st Prof'!P21)*100</f>
        <v>29.268292682926827</v>
      </c>
      <c r="P20" s="103">
        <f>(Gender!BO21/'Total 1st Prof'!Q21)*100</f>
        <v>32.474535650089877</v>
      </c>
      <c r="Q20" s="103">
        <f>(Gender!BP21/'Total 1st Prof'!R21)*100</f>
        <v>34.645669291338585</v>
      </c>
      <c r="R20" s="103">
        <f>(Gender!BQ21/'Total 1st Prof'!S21)*100</f>
        <v>33.613445378151262</v>
      </c>
      <c r="S20" s="103">
        <f>(Gender!BR21/'Total 1st Prof'!T21)*100</f>
        <v>34.940513462742643</v>
      </c>
      <c r="T20" s="102">
        <f>(Gender!BS21/'Total 1st Prof'!U21)*100</f>
        <v>36.02118893466745</v>
      </c>
      <c r="U20" s="103">
        <f>(Gender!BT21/'Total 1st Prof'!V21)*100</f>
        <v>36.637168141592916</v>
      </c>
      <c r="V20" s="103">
        <f>(Gender!BU21/'Total 1st Prof'!W21)*100</f>
        <v>38.683602771362587</v>
      </c>
      <c r="W20" s="103">
        <f>(Gender!BV21/'Total 1st Prof'!X21)*100</f>
        <v>41.460609545715926</v>
      </c>
      <c r="X20" s="103">
        <f>(Gender!BW21/'Total 1st Prof'!Y21)*100</f>
        <v>41.118623232944067</v>
      </c>
      <c r="Y20" s="103">
        <f>(Gender!BX21/'Total 1st Prof'!Z21)*100</f>
        <v>39.812258420762006</v>
      </c>
      <c r="Z20" s="103">
        <f>(Gender!BY21/'Total 1st Prof'!AA21)*100</f>
        <v>38.988580750407834</v>
      </c>
      <c r="AA20" s="103">
        <f>(Gender!BZ21/'Total 1st Prof'!AB21)*100</f>
        <v>40.561364887176666</v>
      </c>
      <c r="AB20" s="103">
        <f>(Gender!CA21/'Total 1st Prof'!AC21)*100</f>
        <v>41.182738412360145</v>
      </c>
      <c r="AC20" s="103">
        <f>(Gender!CB21/'Total 1st Prof'!AD21)*100</f>
        <v>41.32231404958678</v>
      </c>
      <c r="AD20" s="103">
        <f>(Gender!CC21/'Total 1st Prof'!AE21)*100</f>
        <v>42.140296979006656</v>
      </c>
      <c r="AE20" s="103">
        <f>(Gender!CD21/'Total 1st Prof'!AF21)*100</f>
        <v>42.210796915167094</v>
      </c>
      <c r="AF20" s="103">
        <f>(Gender!CE21/'Total 1st Prof'!AG21)*100</f>
        <v>43.878954607977995</v>
      </c>
      <c r="AG20" s="103">
        <f>(Gender!CF21/'Total 1st Prof'!AH21)*100</f>
        <v>46.063730084348641</v>
      </c>
      <c r="AH20" s="103">
        <f>(Gender!CG21/'Total 1st Prof'!AI21)*100</f>
        <v>47.537279710799815</v>
      </c>
      <c r="AI20" s="103">
        <f>(Gender!CH21/'Total 1st Prof'!AJ21)*100</f>
        <v>47.632442569151429</v>
      </c>
      <c r="AJ20" s="103">
        <f>(Gender!CI21/'Total 1st Prof'!AK21)*100</f>
        <v>47.818861653510595</v>
      </c>
      <c r="AK20" s="103">
        <f>(Gender!CJ21/'Total 1st Prof'!AL21)*100</f>
        <v>49.439102564102569</v>
      </c>
      <c r="AL20" s="103">
        <f>(Gender!CK21/'Total 1st Prof'!AM21)*100</f>
        <v>46.46586345381526</v>
      </c>
      <c r="AM20" s="103">
        <f>(Gender!CL21/'Total 1st Prof'!AN21)*100</f>
        <v>46.458492003046459</v>
      </c>
      <c r="AN20" s="103">
        <f>(Gender!CM21/'Total 1st Prof'!AO21)*100</f>
        <v>47.170474516695961</v>
      </c>
      <c r="AO20" s="103">
        <f>(Gender!CN21/'Total 1st Prof'!AP21)*100</f>
        <v>49.427116486314446</v>
      </c>
      <c r="AP20" s="103">
        <f>(Gender!CO21/'Total 1st Prof'!AQ21)*100</f>
        <v>52.388472167390447</v>
      </c>
      <c r="AQ20" s="103">
        <f>(Gender!CP21/'Total 1st Prof'!AR21)*100</f>
        <v>51.156515034695445</v>
      </c>
      <c r="AR20" s="103">
        <f>(Gender!CQ21/'Total 1st Prof'!AS21)*100</f>
        <v>45.344880915558306</v>
      </c>
      <c r="AS20" s="103">
        <f>(Gender!CR21/'Total 1st Prof'!AT21)*100</f>
        <v>49.206884913938573</v>
      </c>
      <c r="AT20" s="103">
        <f>(Gender!CS21/'Total 1st Prof'!AU21)*100</f>
        <v>50.495049504950494</v>
      </c>
      <c r="AU20" s="103">
        <f>(Gender!CT21/'Total 1st Prof'!AV21)*100</f>
        <v>52.203947368421055</v>
      </c>
      <c r="AV20" s="103">
        <f>(Gender!CU21/'Total 1st Prof'!AW21)*100</f>
        <v>53.754266211604097</v>
      </c>
      <c r="AW20" s="103">
        <f>(Gender!CV21/'Total 1st Prof'!AX21)*100</f>
        <v>53.633916554508751</v>
      </c>
      <c r="AX20" s="103">
        <f>(Gender!CW21/'Total 1st Prof'!AY21)*100</f>
        <v>53.313353313353318</v>
      </c>
      <c r="AY20" s="103">
        <f>(Gender!CX21/'Total 1st Prof'!AZ21)*100</f>
        <v>53.231492361927145</v>
      </c>
      <c r="AZ20" s="103">
        <f>(Gender!CY21/'Total 1st Prof'!BA21)*100</f>
        <v>55.188679245283026</v>
      </c>
    </row>
    <row r="21" spans="1:52" ht="12.75">
      <c r="A21" s="79" t="s">
        <v>34</v>
      </c>
      <c r="B21" s="104">
        <f>(Gender!BA22/'Total 1st Prof'!C22)*100</f>
        <v>4.4303797468354427</v>
      </c>
      <c r="C21" s="105">
        <f>(Gender!BB22/'Total 1st Prof'!D22)*100</f>
        <v>5.9782608695652177</v>
      </c>
      <c r="D21" s="105">
        <f>(Gender!BC22/'Total 1st Prof'!E22)*100</f>
        <v>4.5226130653266337</v>
      </c>
      <c r="E21" s="105">
        <f>(Gender!BD22/'Total 1st Prof'!F22)*100</f>
        <v>5.4298642533936654</v>
      </c>
      <c r="F21" s="105">
        <f>(Gender!BE22/'Total 1st Prof'!G22)*100</f>
        <v>4.8888888888888893</v>
      </c>
      <c r="G21" s="105">
        <f>(Gender!BF22/'Total 1st Prof'!H22)*100</f>
        <v>6.1946902654867255</v>
      </c>
      <c r="H21" s="105">
        <f>(Gender!BG22/'Total 1st Prof'!I22)*100</f>
        <v>9.7046413502109701</v>
      </c>
      <c r="I21" s="105">
        <f>(Gender!BH22/'Total 1st Prof'!J22)*100</f>
        <v>15.079365079365079</v>
      </c>
      <c r="J21" s="105">
        <f>(Gender!BI22/'Total 1st Prof'!K22)*100</f>
        <v>15.017064846416384</v>
      </c>
      <c r="K21" s="105">
        <f>(Gender!BJ22/'Total 1st Prof'!L22)*100</f>
        <v>17.014925373134329</v>
      </c>
      <c r="L21" s="105">
        <f>(Gender!BK22/'Total 1st Prof'!M22)*100</f>
        <v>18.518518518518519</v>
      </c>
      <c r="M21" s="105">
        <f>(Gender!BL22/'Total 1st Prof'!N22)*100</f>
        <v>18.934911242603551</v>
      </c>
      <c r="N21" s="105">
        <f>(Gender!BM22/'Total 1st Prof'!O22)*100</f>
        <v>21.246458923512748</v>
      </c>
      <c r="O21" s="105">
        <f>(Gender!BN22/'Total 1st Prof'!P22)*100</f>
        <v>26.515151515151516</v>
      </c>
      <c r="P21" s="105">
        <f>(Gender!BO22/'Total 1st Prof'!Q22)*100</f>
        <v>27.873563218390807</v>
      </c>
      <c r="Q21" s="105">
        <f>(Gender!BP22/'Total 1st Prof'!R22)*100</f>
        <v>29.281767955801101</v>
      </c>
      <c r="R21" s="105">
        <f>(Gender!BQ22/'Total 1st Prof'!S22)*100</f>
        <v>30.721003134796238</v>
      </c>
      <c r="S21" s="105">
        <f>(Gender!BR22/'Total 1st Prof'!T22)*100</f>
        <v>28.875379939209729</v>
      </c>
      <c r="T21" s="104">
        <f>(Gender!BS22/'Total 1st Prof'!U22)*100</f>
        <v>31.168831168831169</v>
      </c>
      <c r="U21" s="105">
        <f>(Gender!BT22/'Total 1st Prof'!V22)*100</f>
        <v>29.523809523809526</v>
      </c>
      <c r="V21" s="105">
        <f>(Gender!BU22/'Total 1st Prof'!W22)*100</f>
        <v>35.099337748344375</v>
      </c>
      <c r="W21" s="105">
        <f>(Gender!BV22/'Total 1st Prof'!X22)*100</f>
        <v>36.827195467422094</v>
      </c>
      <c r="X21" s="105">
        <f>(Gender!BW22/'Total 1st Prof'!Y22)*100</f>
        <v>31.306990881458969</v>
      </c>
      <c r="Y21" s="105">
        <f>(Gender!BX22/'Total 1st Prof'!Z22)*100</f>
        <v>36.5625</v>
      </c>
      <c r="Z21" s="105">
        <f>(Gender!BY22/'Total 1st Prof'!AA22)*100</f>
        <v>38.147138964577657</v>
      </c>
      <c r="AA21" s="105">
        <f>(Gender!BZ22/'Total 1st Prof'!AB22)*100</f>
        <v>40.782122905027933</v>
      </c>
      <c r="AB21" s="105">
        <f>(Gender!CA22/'Total 1st Prof'!AC22)*100</f>
        <v>39.428571428571431</v>
      </c>
      <c r="AC21" s="105">
        <f>(Gender!CB22/'Total 1st Prof'!AD22)*100</f>
        <v>43.575418994413404</v>
      </c>
      <c r="AD21" s="105">
        <f>(Gender!CC22/'Total 1st Prof'!AE22)*100</f>
        <v>41.8848167539267</v>
      </c>
      <c r="AE21" s="105">
        <f>(Gender!CD22/'Total 1st Prof'!AF22)*100</f>
        <v>42.966751918158572</v>
      </c>
      <c r="AF21" s="105">
        <f>(Gender!CE22/'Total 1st Prof'!AG22)*100</f>
        <v>44.680851063829785</v>
      </c>
      <c r="AG21" s="105">
        <f>(Gender!CF22/'Total 1st Prof'!AH22)*100</f>
        <v>39.130434782608695</v>
      </c>
      <c r="AH21" s="105">
        <f>(Gender!CG22/'Total 1st Prof'!AI22)*100</f>
        <v>45.208845208845212</v>
      </c>
      <c r="AI21" s="105">
        <f>(Gender!CH22/'Total 1st Prof'!AJ22)*100</f>
        <v>46.284501061571127</v>
      </c>
      <c r="AJ21" s="105">
        <f>(Gender!CI22/'Total 1st Prof'!AK22)*100</f>
        <v>42.604856512141282</v>
      </c>
      <c r="AK21" s="105">
        <f>(Gender!CJ22/'Total 1st Prof'!AL22)*100</f>
        <v>50.779510022271715</v>
      </c>
      <c r="AL21" s="105">
        <f>(Gender!CK22/'Total 1st Prof'!AM22)*100</f>
        <v>50.104384133611688</v>
      </c>
      <c r="AM21" s="105">
        <f>(Gender!CL22/'Total 1st Prof'!AN22)*100</f>
        <v>48.892988929889299</v>
      </c>
      <c r="AN21" s="105">
        <f>(Gender!CM22/'Total 1st Prof'!AO22)*100</f>
        <v>48.850574712643677</v>
      </c>
      <c r="AO21" s="105">
        <f>(Gender!CN22/'Total 1st Prof'!AP22)*100</f>
        <v>45.878136200716845</v>
      </c>
      <c r="AP21" s="105">
        <f>(Gender!CO22/'Total 1st Prof'!AQ22)*100</f>
        <v>52.484076433121018</v>
      </c>
      <c r="AQ21" s="105">
        <f>(Gender!CP22/'Total 1st Prof'!AR22)*100</f>
        <v>51.507840772014482</v>
      </c>
      <c r="AR21" s="105">
        <f>(Gender!CQ22/'Total 1st Prof'!AS22)*100</f>
        <v>49.3184634448575</v>
      </c>
      <c r="AS21" s="105">
        <f>(Gender!CR22/'Total 1st Prof'!AT22)*100</f>
        <v>49.3006993006993</v>
      </c>
      <c r="AT21" s="105">
        <f>(Gender!CS22/'Total 1st Prof'!AU22)*100</f>
        <v>49.052132701421804</v>
      </c>
      <c r="AU21" s="105">
        <f>(Gender!CT22/'Total 1st Prof'!AV22)*100</f>
        <v>50.234192037470727</v>
      </c>
      <c r="AV21" s="105">
        <f>(Gender!CU22/'Total 1st Prof'!AW22)*100</f>
        <v>48.872180451127818</v>
      </c>
      <c r="AW21" s="105">
        <f>(Gender!CV22/'Total 1st Prof'!AX22)*100</f>
        <v>52.053388090349074</v>
      </c>
      <c r="AX21" s="105">
        <f>(Gender!CW22/'Total 1st Prof'!AY22)*100</f>
        <v>52.494577006507591</v>
      </c>
      <c r="AY21" s="105">
        <f>(Gender!CX22/'Total 1st Prof'!AZ22)*100</f>
        <v>50.598476605005438</v>
      </c>
      <c r="AZ21" s="105">
        <f>(Gender!CY22/'Total 1st Prof'!BA22)*100</f>
        <v>54.582484725050918</v>
      </c>
    </row>
    <row r="22" spans="1:52" ht="12.75">
      <c r="A22" s="77" t="s">
        <v>35</v>
      </c>
      <c r="B22" s="83">
        <f>(Gender!BA23/'Total 1st Prof'!C23)*100</f>
        <v>6.3695606474668907</v>
      </c>
      <c r="C22" s="84">
        <f>(Gender!BB23/'Total 1st Prof'!D23)*100</f>
        <v>7.576276996914638</v>
      </c>
      <c r="D22" s="84">
        <f>(Gender!BC23/'Total 1st Prof'!E23)*100</f>
        <v>7.1365896460953495</v>
      </c>
      <c r="E22" s="84">
        <f>(Gender!BD23/'Total 1st Prof'!F23)*100</f>
        <v>8.2331416623105067</v>
      </c>
      <c r="F22" s="84">
        <f>(Gender!BE23/'Total 1st Prof'!G23)*100</f>
        <v>12.275943396226415</v>
      </c>
      <c r="G22" s="84">
        <f>(Gender!BF23/'Total 1st Prof'!H23)*100</f>
        <v>15.020116227089853</v>
      </c>
      <c r="H22" s="84">
        <f>(Gender!BG23/'Total 1st Prof'!I23)*100</f>
        <v>18.833922261484098</v>
      </c>
      <c r="I22" s="84">
        <f>(Gender!BH23/'Total 1st Prof'!J23)*100</f>
        <v>21.256535527556355</v>
      </c>
      <c r="J22" s="84">
        <f>(Gender!BI23/'Total 1st Prof'!K23)*100</f>
        <v>23.555043985858752</v>
      </c>
      <c r="K22" s="84">
        <f>(Gender!BJ23/'Total 1st Prof'!L23)*100</f>
        <v>25.911738887558855</v>
      </c>
      <c r="L22" s="84">
        <f>(Gender!BK23/'Total 1st Prof'!M23)*100</f>
        <v>27.36322369992833</v>
      </c>
      <c r="M22" s="84">
        <f>(Gender!BL23/'Total 1st Prof'!N23)*100</f>
        <v>29.239265712507777</v>
      </c>
      <c r="N22" s="84">
        <f>(Gender!BM23/'Total 1st Prof'!O23)*100</f>
        <v>30.441461836998705</v>
      </c>
      <c r="O22" s="84">
        <f>(Gender!BN23/'Total 1st Prof'!P23)*100</f>
        <v>33.639822447685482</v>
      </c>
      <c r="P22" s="84">
        <f>(Gender!BO23/'Total 1st Prof'!Q23)*100</f>
        <v>34.578094228147251</v>
      </c>
      <c r="Q22" s="84">
        <f>(Gender!BP23/'Total 1st Prof'!R23)*100</f>
        <v>35.395269218798632</v>
      </c>
      <c r="R22" s="84">
        <f>(Gender!BQ23/'Total 1st Prof'!S23)*100</f>
        <v>36.028334147532973</v>
      </c>
      <c r="S22" s="84">
        <f>(Gender!BR23/'Total 1st Prof'!T23)*100</f>
        <v>38.895497026338148</v>
      </c>
      <c r="T22" s="83">
        <f>(Gender!BS23/'Total 1st Prof'!U23)*100</f>
        <v>38.07835190813914</v>
      </c>
      <c r="U22" s="84">
        <f>(Gender!BT23/'Total 1st Prof'!V23)*100</f>
        <v>39.043583535108958</v>
      </c>
      <c r="V22" s="84">
        <f>(Gender!BU23/'Total 1st Prof'!W23)*100</f>
        <v>41.030647762967995</v>
      </c>
      <c r="W22" s="84">
        <f>(Gender!BV23/'Total 1st Prof'!X23)*100</f>
        <v>41.532501076194578</v>
      </c>
      <c r="X22" s="84">
        <f>(Gender!BW23/'Total 1st Prof'!Y23)*100</f>
        <v>42.175616501498041</v>
      </c>
      <c r="Y22" s="84">
        <f>(Gender!BX23/'Total 1st Prof'!Z23)*100</f>
        <v>42.081751172660262</v>
      </c>
      <c r="Z22" s="84">
        <f>(Gender!BY23/'Total 1st Prof'!AA23)*100</f>
        <v>43.497055973764624</v>
      </c>
      <c r="AA22" s="84">
        <f>(Gender!BZ23/'Total 1st Prof'!AB23)*100</f>
        <v>43.373493975903614</v>
      </c>
      <c r="AB22" s="84">
        <f>(Gender!CA23/'Total 1st Prof'!AC23)*100</f>
        <v>45.08796512533084</v>
      </c>
      <c r="AC22" s="84">
        <f>(Gender!CB23/'Total 1st Prof'!AD23)*100</f>
        <v>45.45521454331346</v>
      </c>
      <c r="AD22" s="84">
        <f>(Gender!CC23/'Total 1st Prof'!AE23)*100</f>
        <v>45.159545700378587</v>
      </c>
      <c r="AE22" s="84">
        <f>(Gender!CD23/'Total 1st Prof'!AF23)*100</f>
        <v>45.923976155454056</v>
      </c>
      <c r="AF22" s="84">
        <f>(Gender!CE23/'Total 1st Prof'!AG23)*100</f>
        <v>46.462246640433591</v>
      </c>
      <c r="AG22" s="84">
        <f>(Gender!CF23/'Total 1st Prof'!AH23)*100</f>
        <v>47.406307977736553</v>
      </c>
      <c r="AH22" s="84">
        <f>(Gender!CG23/'Total 1st Prof'!AI23)*100</f>
        <v>49.768360294676086</v>
      </c>
      <c r="AI22" s="84">
        <f>(Gender!CH23/'Total 1st Prof'!AJ23)*100</f>
        <v>49.878449878449878</v>
      </c>
      <c r="AJ22" s="84">
        <f>(Gender!CI23/'Total 1st Prof'!AK23)*100</f>
        <v>51.034924247812782</v>
      </c>
      <c r="AK22" s="84">
        <f>(Gender!CJ23/'Total 1st Prof'!AL23)*100</f>
        <v>50.945918844842573</v>
      </c>
      <c r="AL22" s="84">
        <f>(Gender!CK23/'Total 1st Prof'!AM23)*100</f>
        <v>50.921501706484641</v>
      </c>
      <c r="AM22" s="84">
        <f>(Gender!CL23/'Total 1st Prof'!AN23)*100</f>
        <v>50.449200687012819</v>
      </c>
      <c r="AN22" s="84">
        <f>(Gender!CM23/'Total 1st Prof'!AO23)*100</f>
        <v>51.83813805871462</v>
      </c>
      <c r="AO22" s="84">
        <f>(Gender!CN23/'Total 1st Prof'!AP23)*100</f>
        <v>51.084710743801651</v>
      </c>
      <c r="AP22" s="84">
        <f>(Gender!CO23/'Total 1st Prof'!AQ23)*100</f>
        <v>53.397336636729641</v>
      </c>
      <c r="AQ22" s="84">
        <f>(Gender!CP23/'Total 1st Prof'!AR23)*100</f>
        <v>52.928189635138281</v>
      </c>
      <c r="AR22" s="84">
        <f>(Gender!CQ23/'Total 1st Prof'!AS23)*100</f>
        <v>52.857458075904674</v>
      </c>
      <c r="AS22" s="84">
        <f>(Gender!CR23/'Total 1st Prof'!AT23)*100</f>
        <v>52.851475967235075</v>
      </c>
      <c r="AT22" s="84">
        <f>(Gender!CS23/'Total 1st Prof'!AU23)*100</f>
        <v>53.321532694710541</v>
      </c>
      <c r="AU22" s="84">
        <f>(Gender!CT23/'Total 1st Prof'!AV23)*100</f>
        <v>53.735289543263001</v>
      </c>
      <c r="AV22" s="84">
        <f>(Gender!CU23/'Total 1st Prof'!AW23)*100</f>
        <v>54.098187391005659</v>
      </c>
      <c r="AW22" s="84">
        <f>(Gender!CV23/'Total 1st Prof'!AX23)*100</f>
        <v>56.008146639511203</v>
      </c>
      <c r="AX22" s="84">
        <f>(Gender!CW23/'Total 1st Prof'!AY23)*100</f>
        <v>55.428223720906644</v>
      </c>
      <c r="AY22" s="84">
        <f>(Gender!CX23/'Total 1st Prof'!AZ23)*100</f>
        <v>57.291614266311186</v>
      </c>
      <c r="AZ22" s="84">
        <f>(Gender!CY23/'Total 1st Prof'!BA23)*100</f>
        <v>57.793580626561599</v>
      </c>
    </row>
    <row r="23" spans="1:52" ht="12.75">
      <c r="A23" s="78"/>
      <c r="B23" s="85"/>
      <c r="C23" s="86"/>
      <c r="D23" s="86"/>
      <c r="E23" s="86"/>
      <c r="F23" s="86"/>
      <c r="G23" s="86"/>
      <c r="H23" s="86"/>
      <c r="I23" s="86"/>
      <c r="J23" s="86"/>
      <c r="K23" s="86"/>
      <c r="L23" s="86"/>
      <c r="M23" s="86"/>
      <c r="N23" s="86"/>
      <c r="O23" s="86"/>
      <c r="P23" s="86"/>
      <c r="Q23" s="86"/>
      <c r="R23" s="86"/>
      <c r="S23" s="86"/>
      <c r="T23" s="85"/>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101"/>
      <c r="AS23" s="101"/>
      <c r="AT23" s="101"/>
      <c r="AU23" s="101"/>
      <c r="AV23" s="101"/>
      <c r="AW23" s="101"/>
      <c r="AX23" s="101"/>
      <c r="AY23" s="101"/>
      <c r="AZ23" s="101"/>
    </row>
    <row r="24" spans="1:52" ht="12.75">
      <c r="A24" s="77" t="s">
        <v>36</v>
      </c>
      <c r="B24" s="102" t="e">
        <f>(Gender!BA25/'Total 1st Prof'!C25)*100</f>
        <v>#DIV/0!</v>
      </c>
      <c r="C24" s="103" t="e">
        <f>(Gender!BB25/'Total 1st Prof'!D25)*100</f>
        <v>#DIV/0!</v>
      </c>
      <c r="D24" s="103" t="e">
        <f>(Gender!BC25/'Total 1st Prof'!E25)*100</f>
        <v>#DIV/0!</v>
      </c>
      <c r="E24" s="103" t="e">
        <f>(Gender!BD25/'Total 1st Prof'!F25)*100</f>
        <v>#DIV/0!</v>
      </c>
      <c r="F24" s="103" t="e">
        <f>(Gender!BE25/'Total 1st Prof'!G25)*100</f>
        <v>#DIV/0!</v>
      </c>
      <c r="G24" s="103" t="e">
        <f>(Gender!BF25/'Total 1st Prof'!H25)*100</f>
        <v>#DIV/0!</v>
      </c>
      <c r="H24" s="103" t="e">
        <f>(Gender!BG25/'Total 1st Prof'!I25)*100</f>
        <v>#DIV/0!</v>
      </c>
      <c r="I24" s="103" t="e">
        <f>(Gender!BH25/'Total 1st Prof'!J25)*100</f>
        <v>#DIV/0!</v>
      </c>
      <c r="J24" s="103" t="e">
        <f>(Gender!BI25/'Total 1st Prof'!K25)*100</f>
        <v>#DIV/0!</v>
      </c>
      <c r="K24" s="103" t="e">
        <f>(Gender!BJ25/'Total 1st Prof'!L25)*100</f>
        <v>#DIV/0!</v>
      </c>
      <c r="L24" s="103" t="e">
        <f>(Gender!BK25/'Total 1st Prof'!M25)*100</f>
        <v>#DIV/0!</v>
      </c>
      <c r="M24" s="103" t="e">
        <f>(Gender!BL25/'Total 1st Prof'!N25)*100</f>
        <v>#DIV/0!</v>
      </c>
      <c r="N24" s="103" t="e">
        <f>(Gender!BM25/'Total 1st Prof'!O25)*100</f>
        <v>#DIV/0!</v>
      </c>
      <c r="O24" s="103" t="e">
        <f>(Gender!BN25/'Total 1st Prof'!P25)*100</f>
        <v>#DIV/0!</v>
      </c>
      <c r="P24" s="103" t="e">
        <f>(Gender!BO25/'Total 1st Prof'!Q25)*100</f>
        <v>#DIV/0!</v>
      </c>
      <c r="Q24" s="103" t="e">
        <f>(Gender!BP25/'Total 1st Prof'!R25)*100</f>
        <v>#DIV/0!</v>
      </c>
      <c r="R24" s="103" t="e">
        <f>(Gender!BQ25/'Total 1st Prof'!S25)*100</f>
        <v>#DIV/0!</v>
      </c>
      <c r="S24" s="103" t="e">
        <f>(Gender!BR25/'Total 1st Prof'!T25)*100</f>
        <v>#DIV/0!</v>
      </c>
      <c r="T24" s="102" t="e">
        <f>(Gender!BS25/'Total 1st Prof'!U25)*100</f>
        <v>#DIV/0!</v>
      </c>
      <c r="U24" s="103" t="e">
        <f>(Gender!BT25/'Total 1st Prof'!V25)*100</f>
        <v>#DIV/0!</v>
      </c>
      <c r="V24" s="103" t="e">
        <f>(Gender!BU25/'Total 1st Prof'!W25)*100</f>
        <v>#DIV/0!</v>
      </c>
      <c r="W24" s="103" t="e">
        <f>(Gender!BV25/'Total 1st Prof'!X25)*100</f>
        <v>#DIV/0!</v>
      </c>
      <c r="X24" s="103" t="e">
        <f>(Gender!BW25/'Total 1st Prof'!Y25)*100</f>
        <v>#DIV/0!</v>
      </c>
      <c r="Y24" s="103" t="e">
        <f>(Gender!BX25/'Total 1st Prof'!Z25)*100</f>
        <v>#DIV/0!</v>
      </c>
      <c r="Z24" s="103" t="e">
        <f>(Gender!BY25/'Total 1st Prof'!AA25)*100</f>
        <v>#DIV/0!</v>
      </c>
      <c r="AA24" s="103" t="e">
        <f>(Gender!BZ25/'Total 1st Prof'!AB25)*100</f>
        <v>#DIV/0!</v>
      </c>
      <c r="AB24" s="103" t="e">
        <f>(Gender!CA25/'Total 1st Prof'!AC25)*100</f>
        <v>#DIV/0!</v>
      </c>
      <c r="AC24" s="103" t="e">
        <f>(Gender!CB25/'Total 1st Prof'!AD25)*100</f>
        <v>#DIV/0!</v>
      </c>
      <c r="AD24" s="103" t="e">
        <f>(Gender!CC25/'Total 1st Prof'!AE25)*100</f>
        <v>#DIV/0!</v>
      </c>
      <c r="AE24" s="103" t="e">
        <f>(Gender!CD25/'Total 1st Prof'!AF25)*100</f>
        <v>#DIV/0!</v>
      </c>
      <c r="AF24" s="103" t="e">
        <f>(Gender!CE25/'Total 1st Prof'!AG25)*100</f>
        <v>#DIV/0!</v>
      </c>
      <c r="AG24" s="103" t="e">
        <f>(Gender!CF25/'Total 1st Prof'!AH25)*100</f>
        <v>#DIV/0!</v>
      </c>
      <c r="AH24" s="103" t="e">
        <f>(Gender!CG25/'Total 1st Prof'!AI25)*100</f>
        <v>#DIV/0!</v>
      </c>
      <c r="AI24" s="103" t="e">
        <f>(Gender!CH25/'Total 1st Prof'!AJ25)*100</f>
        <v>#DIV/0!</v>
      </c>
      <c r="AJ24" s="103" t="e">
        <f>(Gender!CI25/'Total 1st Prof'!AK25)*100</f>
        <v>#DIV/0!</v>
      </c>
      <c r="AK24" s="103" t="e">
        <f>(Gender!CJ25/'Total 1st Prof'!AL25)*100</f>
        <v>#DIV/0!</v>
      </c>
      <c r="AL24" s="103" t="e">
        <f>(Gender!CK25/'Total 1st Prof'!AM25)*100</f>
        <v>#DIV/0!</v>
      </c>
      <c r="AM24" s="103" t="e">
        <f>(Gender!CL25/'Total 1st Prof'!AN25)*100</f>
        <v>#DIV/0!</v>
      </c>
      <c r="AN24" s="103" t="e">
        <f>(Gender!CM25/'Total 1st Prof'!AO25)*100</f>
        <v>#DIV/0!</v>
      </c>
      <c r="AO24" s="103" t="e">
        <f>(Gender!CN25/'Total 1st Prof'!AP25)*100</f>
        <v>#DIV/0!</v>
      </c>
      <c r="AP24" s="103" t="e">
        <f>(Gender!CO25/'Total 1st Prof'!AQ25)*100</f>
        <v>#DIV/0!</v>
      </c>
      <c r="AQ24" s="103" t="e">
        <f>(Gender!CP25/'Total 1st Prof'!AR25)*100</f>
        <v>#DIV/0!</v>
      </c>
      <c r="AR24" s="103" t="e">
        <f>(Gender!CQ25/'Total 1st Prof'!AS25)*100</f>
        <v>#DIV/0!</v>
      </c>
      <c r="AS24" s="103" t="e">
        <f>(Gender!CR25/'Total 1st Prof'!AT25)*100</f>
        <v>#DIV/0!</v>
      </c>
      <c r="AT24" s="103">
        <f>(Gender!CS25/'Total 1st Prof'!AU25)*100</f>
        <v>85.714285714285708</v>
      </c>
      <c r="AU24" s="103">
        <f>(Gender!CT25/'Total 1st Prof'!AV25)*100</f>
        <v>62.5</v>
      </c>
      <c r="AV24" s="103">
        <f>(Gender!CU25/'Total 1st Prof'!AW25)*100</f>
        <v>60</v>
      </c>
      <c r="AW24" s="103">
        <f>(Gender!CV25/'Total 1st Prof'!AX25)*100</f>
        <v>33.333333333333329</v>
      </c>
      <c r="AX24" s="103">
        <f>(Gender!CW25/'Total 1st Prof'!AY25)*100</f>
        <v>100</v>
      </c>
      <c r="AY24" s="103">
        <f>(Gender!CX25/'Total 1st Prof'!AZ25)*100</f>
        <v>40</v>
      </c>
      <c r="AZ24" s="103">
        <f>(Gender!CY25/'Total 1st Prof'!BA25)*100</f>
        <v>50</v>
      </c>
    </row>
    <row r="25" spans="1:52" ht="12.75">
      <c r="A25" s="77" t="s">
        <v>38</v>
      </c>
      <c r="B25" s="102">
        <f>(Gender!BA26/'Total 1st Prof'!C26)*100</f>
        <v>6.0606060606060606</v>
      </c>
      <c r="C25" s="103">
        <f>(Gender!BB26/'Total 1st Prof'!D26)*100</f>
        <v>8.4905660377358494</v>
      </c>
      <c r="D25" s="103">
        <f>(Gender!BC26/'Total 1st Prof'!E26)*100</f>
        <v>8.2677165354330722</v>
      </c>
      <c r="E25" s="103">
        <f>(Gender!BD26/'Total 1st Prof'!F26)*100</f>
        <v>8.6734693877551017</v>
      </c>
      <c r="F25" s="103">
        <f>(Gender!BE26/'Total 1st Prof'!G26)*100</f>
        <v>13.994169096209912</v>
      </c>
      <c r="G25" s="103">
        <f>(Gender!BF26/'Total 1st Prof'!H26)*100</f>
        <v>15.845070422535212</v>
      </c>
      <c r="H25" s="103">
        <f>(Gender!BG26/'Total 1st Prof'!I26)*100</f>
        <v>23.183391003460208</v>
      </c>
      <c r="I25" s="103">
        <f>(Gender!BH26/'Total 1st Prof'!J26)*100</f>
        <v>29.153605015673982</v>
      </c>
      <c r="J25" s="103">
        <f>(Gender!BI26/'Total 1st Prof'!K26)*100</f>
        <v>28.35820895522388</v>
      </c>
      <c r="K25" s="103">
        <f>(Gender!BJ26/'Total 1st Prof'!L26)*100</f>
        <v>34.097421203438394</v>
      </c>
      <c r="L25" s="103">
        <f>(Gender!BK26/'Total 1st Prof'!M26)*100</f>
        <v>27.873563218390807</v>
      </c>
      <c r="M25" s="103">
        <f>(Gender!BL26/'Total 1st Prof'!N26)*100</f>
        <v>30.174563591022448</v>
      </c>
      <c r="N25" s="103">
        <f>(Gender!BM26/'Total 1st Prof'!O26)*100</f>
        <v>34.903047091412745</v>
      </c>
      <c r="O25" s="103">
        <f>(Gender!BN26/'Total 1st Prof'!P26)*100</f>
        <v>35.73487031700288</v>
      </c>
      <c r="P25" s="103">
        <f>(Gender!BO26/'Total 1st Prof'!Q26)*100</f>
        <v>38.978494623655912</v>
      </c>
      <c r="Q25" s="103">
        <f>(Gender!BP26/'Total 1st Prof'!R26)*100</f>
        <v>41.711229946524064</v>
      </c>
      <c r="R25" s="103">
        <f>(Gender!BQ26/'Total 1st Prof'!S26)*100</f>
        <v>46.131805157593128</v>
      </c>
      <c r="S25" s="103">
        <f>(Gender!BR26/'Total 1st Prof'!T26)*100</f>
        <v>41.761363636363633</v>
      </c>
      <c r="T25" s="102">
        <f>(Gender!BS26/'Total 1st Prof'!U26)*100</f>
        <v>41.089108910891085</v>
      </c>
      <c r="U25" s="103">
        <f>(Gender!BT26/'Total 1st Prof'!V26)*100</f>
        <v>45.238095238095241</v>
      </c>
      <c r="V25" s="103">
        <f>(Gender!BU26/'Total 1st Prof'!W26)*100</f>
        <v>46.568627450980394</v>
      </c>
      <c r="W25" s="103">
        <f>(Gender!BV26/'Total 1st Prof'!X26)*100</f>
        <v>45.411764705882348</v>
      </c>
      <c r="X25" s="103">
        <f>(Gender!BW26/'Total 1st Prof'!Y26)*100</f>
        <v>50</v>
      </c>
      <c r="Y25" s="103">
        <f>(Gender!BX26/'Total 1st Prof'!Z26)*100</f>
        <v>49.541284403669728</v>
      </c>
      <c r="Z25" s="103">
        <f>(Gender!BY26/'Total 1st Prof'!AA26)*100</f>
        <v>42.857142857142854</v>
      </c>
      <c r="AA25" s="103">
        <f>(Gender!BZ26/'Total 1st Prof'!AB26)*100</f>
        <v>46.741573033707866</v>
      </c>
      <c r="AB25" s="103">
        <f>(Gender!CA26/'Total 1st Prof'!AC26)*100</f>
        <v>51.321585903083701</v>
      </c>
      <c r="AC25" s="103">
        <f>(Gender!CB26/'Total 1st Prof'!AD26)*100</f>
        <v>50</v>
      </c>
      <c r="AD25" s="103">
        <f>(Gender!CC26/'Total 1st Prof'!AE26)*100</f>
        <v>50</v>
      </c>
      <c r="AE25" s="103">
        <f>(Gender!CD26/'Total 1st Prof'!AF26)*100</f>
        <v>51.193058568329718</v>
      </c>
      <c r="AF25" s="103">
        <f>(Gender!CE26/'Total 1st Prof'!AG26)*100</f>
        <v>46.753246753246749</v>
      </c>
      <c r="AG25" s="103">
        <f>(Gender!CF26/'Total 1st Prof'!AH26)*100</f>
        <v>48.377997179125529</v>
      </c>
      <c r="AH25" s="103">
        <f>(Gender!CG26/'Total 1st Prof'!AI26)*100</f>
        <v>50.63113604488079</v>
      </c>
      <c r="AI25" s="103">
        <f>(Gender!CH26/'Total 1st Prof'!AJ26)*100</f>
        <v>51.193633952254643</v>
      </c>
      <c r="AJ25" s="103">
        <f>(Gender!CI26/'Total 1st Prof'!AK26)*100</f>
        <v>51.428571428571423</v>
      </c>
      <c r="AK25" s="103">
        <f>(Gender!CJ26/'Total 1st Prof'!AL26)*100</f>
        <v>53.680203045685282</v>
      </c>
      <c r="AL25" s="103">
        <f>(Gender!CK26/'Total 1st Prof'!AM26)*100</f>
        <v>50.612745098039213</v>
      </c>
      <c r="AM25" s="103">
        <f>(Gender!CL26/'Total 1st Prof'!AN26)*100</f>
        <v>49.006622516556291</v>
      </c>
      <c r="AN25" s="103">
        <f>(Gender!CM26/'Total 1st Prof'!AO26)*100</f>
        <v>51.654215581643548</v>
      </c>
      <c r="AO25" s="103">
        <f>(Gender!CN26/'Total 1st Prof'!AP26)*100</f>
        <v>52.318548387096776</v>
      </c>
      <c r="AP25" s="103">
        <f>(Gender!CO26/'Total 1st Prof'!AQ26)*100</f>
        <v>51.390220517737298</v>
      </c>
      <c r="AQ25" s="103">
        <f>(Gender!CP26/'Total 1st Prof'!AR26)*100</f>
        <v>52.343059239610966</v>
      </c>
      <c r="AR25" s="103">
        <f>(Gender!CQ26/'Total 1st Prof'!AS26)*100</f>
        <v>49.897750511247445</v>
      </c>
      <c r="AS25" s="103">
        <f>(Gender!CR26/'Total 1st Prof'!AT26)*100</f>
        <v>46.670665866826631</v>
      </c>
      <c r="AT25" s="103">
        <f>(Gender!CS26/'Total 1st Prof'!AU26)*100</f>
        <v>47.174163783160324</v>
      </c>
      <c r="AU25" s="103">
        <f>(Gender!CT26/'Total 1st Prof'!AV26)*100</f>
        <v>50.186071238702823</v>
      </c>
      <c r="AV25" s="103">
        <f>(Gender!CU26/'Total 1st Prof'!AW26)*100</f>
        <v>47.549909255898363</v>
      </c>
      <c r="AW25" s="103">
        <f>(Gender!CV26/'Total 1st Prof'!AX26)*100</f>
        <v>53.977607542722453</v>
      </c>
      <c r="AX25" s="103">
        <f>(Gender!CW26/'Total 1st Prof'!AY26)*100</f>
        <v>51.317296678121416</v>
      </c>
      <c r="AY25" s="103">
        <f>(Gender!CX26/'Total 1st Prof'!AZ26)*100</f>
        <v>53.683035714285708</v>
      </c>
      <c r="AZ25" s="103">
        <f>(Gender!CY26/'Total 1st Prof'!BA26)*100</f>
        <v>55.743243243243242</v>
      </c>
    </row>
    <row r="26" spans="1:52" ht="12.75">
      <c r="A26" s="77" t="s">
        <v>39</v>
      </c>
      <c r="B26" s="102">
        <f>(Gender!BA27/'Total 1st Prof'!C27)*100</f>
        <v>7.4532191563590224</v>
      </c>
      <c r="C26" s="103">
        <f>(Gender!BB27/'Total 1st Prof'!D27)*100</f>
        <v>8.7336244541484707</v>
      </c>
      <c r="D26" s="103">
        <f>(Gender!BC27/'Total 1st Prof'!E27)*100</f>
        <v>8.0093976932934652</v>
      </c>
      <c r="E26" s="103">
        <f>(Gender!BD27/'Total 1st Prof'!F27)*100</f>
        <v>9.3890938909389092</v>
      </c>
      <c r="F26" s="103">
        <f>(Gender!BE27/'Total 1st Prof'!G27)*100</f>
        <v>13.140233133168492</v>
      </c>
      <c r="G26" s="103">
        <f>(Gender!BF27/'Total 1st Prof'!H27)*100</f>
        <v>16.718533886583678</v>
      </c>
      <c r="H26" s="103">
        <f>(Gender!BG27/'Total 1st Prof'!I27)*100</f>
        <v>20.065789473684212</v>
      </c>
      <c r="I26" s="103">
        <f>(Gender!BH27/'Total 1st Prof'!J27)*100</f>
        <v>22.117945466074826</v>
      </c>
      <c r="J26" s="103">
        <f>(Gender!BI27/'Total 1st Prof'!K27)*100</f>
        <v>24.64975845410628</v>
      </c>
      <c r="K26" s="103">
        <f>(Gender!BJ27/'Total 1st Prof'!L27)*100</f>
        <v>26.981919332406118</v>
      </c>
      <c r="L26" s="103">
        <f>(Gender!BK27/'Total 1st Prof'!M27)*100</f>
        <v>28.341932457786118</v>
      </c>
      <c r="M26" s="103">
        <f>(Gender!BL27/'Total 1st Prof'!N27)*100</f>
        <v>30.095171773444758</v>
      </c>
      <c r="N26" s="103">
        <f>(Gender!BM27/'Total 1st Prof'!O27)*100</f>
        <v>31.107903284012995</v>
      </c>
      <c r="O26" s="103">
        <f>(Gender!BN27/'Total 1st Prof'!P27)*100</f>
        <v>35.019083969465647</v>
      </c>
      <c r="P26" s="103">
        <f>(Gender!BO27/'Total 1st Prof'!Q27)*100</f>
        <v>35.05223382973994</v>
      </c>
      <c r="Q26" s="103">
        <f>(Gender!BP27/'Total 1st Prof'!R27)*100</f>
        <v>35.303065761759889</v>
      </c>
      <c r="R26" s="103">
        <f>(Gender!BQ27/'Total 1st Prof'!S27)*100</f>
        <v>35.741259593129492</v>
      </c>
      <c r="S26" s="103">
        <f>(Gender!BR27/'Total 1st Prof'!T27)*100</f>
        <v>39.872611464968152</v>
      </c>
      <c r="T26" s="102">
        <f>(Gender!BS27/'Total 1st Prof'!U27)*100</f>
        <v>37.412897504117574</v>
      </c>
      <c r="U26" s="103">
        <f>(Gender!BT27/'Total 1st Prof'!V27)*100</f>
        <v>39.11906940269246</v>
      </c>
      <c r="V26" s="103">
        <f>(Gender!BU27/'Total 1st Prof'!W27)*100</f>
        <v>41.69439467622216</v>
      </c>
      <c r="W26" s="103">
        <f>(Gender!BV27/'Total 1st Prof'!X27)*100</f>
        <v>42.719583604424201</v>
      </c>
      <c r="X26" s="103">
        <f>(Gender!BW27/'Total 1st Prof'!Y27)*100</f>
        <v>42.588024220677283</v>
      </c>
      <c r="Y26" s="103">
        <f>(Gender!BX27/'Total 1st Prof'!Z27)*100</f>
        <v>42.610114192495921</v>
      </c>
      <c r="Z26" s="103">
        <f>(Gender!BY27/'Total 1st Prof'!AA27)*100</f>
        <v>44.386649328131774</v>
      </c>
      <c r="AA26" s="103">
        <f>(Gender!BZ27/'Total 1st Prof'!AB27)*100</f>
        <v>43.595582375042696</v>
      </c>
      <c r="AB26" s="103">
        <f>(Gender!CA27/'Total 1st Prof'!AC27)*100</f>
        <v>45.384170999422302</v>
      </c>
      <c r="AC26" s="103">
        <f>(Gender!CB27/'Total 1st Prof'!AD27)*100</f>
        <v>45.284244721169465</v>
      </c>
      <c r="AD26" s="103">
        <f>(Gender!CC27/'Total 1st Prof'!AE27)*100</f>
        <v>45.232841714086632</v>
      </c>
      <c r="AE26" s="103">
        <f>(Gender!CD27/'Total 1st Prof'!AF27)*100</f>
        <v>44.984802431610944</v>
      </c>
      <c r="AF26" s="103">
        <f>(Gender!CE27/'Total 1st Prof'!AG27)*100</f>
        <v>45.545350172215841</v>
      </c>
      <c r="AG26" s="103">
        <f>(Gender!CF27/'Total 1st Prof'!AH27)*100</f>
        <v>46.014623037276756</v>
      </c>
      <c r="AH26" s="103">
        <f>(Gender!CG27/'Total 1st Prof'!AI27)*100</f>
        <v>49.366931479642503</v>
      </c>
      <c r="AI26" s="103">
        <f>(Gender!CH27/'Total 1st Prof'!AJ27)*100</f>
        <v>49.878260869565217</v>
      </c>
      <c r="AJ26" s="103">
        <f>(Gender!CI27/'Total 1st Prof'!AK27)*100</f>
        <v>51.350109157761693</v>
      </c>
      <c r="AK26" s="103">
        <f>(Gender!CJ27/'Total 1st Prof'!AL27)*100</f>
        <v>50.315629081410542</v>
      </c>
      <c r="AL26" s="103">
        <f>(Gender!CK27/'Total 1st Prof'!AM27)*100</f>
        <v>50.624928333906659</v>
      </c>
      <c r="AM26" s="103">
        <f>(Gender!CL27/'Total 1st Prof'!AN27)*100</f>
        <v>50.432632880098879</v>
      </c>
      <c r="AN26" s="103">
        <f>(Gender!CM27/'Total 1st Prof'!AO27)*100</f>
        <v>51.441985244802147</v>
      </c>
      <c r="AO26" s="103">
        <f>(Gender!CN27/'Total 1st Prof'!AP27)*100</f>
        <v>51.283761253751251</v>
      </c>
      <c r="AP26" s="103">
        <f>(Gender!CO27/'Total 1st Prof'!AQ27)*100</f>
        <v>53.648115687992991</v>
      </c>
      <c r="AQ26" s="103">
        <f>(Gender!CP27/'Total 1st Prof'!AR27)*100</f>
        <v>52.945965197924082</v>
      </c>
      <c r="AR26" s="103">
        <f>(Gender!CQ27/'Total 1st Prof'!AS27)*100</f>
        <v>53.159628631326747</v>
      </c>
      <c r="AS26" s="103">
        <f>(Gender!CR27/'Total 1st Prof'!AT27)*100</f>
        <v>53.30570902394107</v>
      </c>
      <c r="AT26" s="103">
        <f>(Gender!CS27/'Total 1st Prof'!AU27)*100</f>
        <v>54.394457099468482</v>
      </c>
      <c r="AU26" s="103">
        <f>(Gender!CT27/'Total 1st Prof'!AV27)*100</f>
        <v>54.445832932807846</v>
      </c>
      <c r="AV26" s="103">
        <f>(Gender!CU27/'Total 1st Prof'!AW27)*100</f>
        <v>55.39253789350952</v>
      </c>
      <c r="AW26" s="103">
        <f>(Gender!CV27/'Total 1st Prof'!AX27)*100</f>
        <v>56.639313688922044</v>
      </c>
      <c r="AX26" s="103">
        <f>(Gender!CW27/'Total 1st Prof'!AY27)*100</f>
        <v>56.203635014836792</v>
      </c>
      <c r="AY26" s="103">
        <f>(Gender!CX27/'Total 1st Prof'!AZ27)*100</f>
        <v>58.088166181032051</v>
      </c>
      <c r="AZ26" s="103">
        <f>(Gender!CY27/'Total 1st Prof'!BA27)*100</f>
        <v>58.332591075086846</v>
      </c>
    </row>
    <row r="27" spans="1:52" ht="12.75">
      <c r="A27" s="77" t="s">
        <v>40</v>
      </c>
      <c r="B27" s="102">
        <f>(Gender!BA28/'Total 1st Prof'!C28)*100</f>
        <v>5.1522248243559723</v>
      </c>
      <c r="C27" s="103">
        <f>(Gender!BB28/'Total 1st Prof'!D28)*100</f>
        <v>6.573705179282868</v>
      </c>
      <c r="D27" s="103">
        <f>(Gender!BC28/'Total 1st Prof'!E28)*100</f>
        <v>5.7471264367816088</v>
      </c>
      <c r="E27" s="103">
        <f>(Gender!BD28/'Total 1st Prof'!F28)*100</f>
        <v>7.2398190045248878</v>
      </c>
      <c r="F27" s="103">
        <f>(Gender!BE28/'Total 1st Prof'!G28)*100</f>
        <v>13.08980213089802</v>
      </c>
      <c r="G27" s="103">
        <f>(Gender!BF28/'Total 1st Prof'!H28)*100</f>
        <v>14.710252600297178</v>
      </c>
      <c r="H27" s="103">
        <f>(Gender!BG28/'Total 1st Prof'!I28)*100</f>
        <v>21.571428571428573</v>
      </c>
      <c r="I27" s="103">
        <f>(Gender!BH28/'Total 1st Prof'!J28)*100</f>
        <v>21.368715083798882</v>
      </c>
      <c r="J27" s="103">
        <f>(Gender!BI28/'Total 1st Prof'!K28)*100</f>
        <v>25.421348314606739</v>
      </c>
      <c r="K27" s="103">
        <f>(Gender!BJ28/'Total 1st Prof'!L28)*100</f>
        <v>27.839335180055404</v>
      </c>
      <c r="L27" s="103">
        <f>(Gender!BK28/'Total 1st Prof'!M28)*100</f>
        <v>32.875</v>
      </c>
      <c r="M27" s="103">
        <f>(Gender!BL28/'Total 1st Prof'!N28)*100</f>
        <v>28.009535160905841</v>
      </c>
      <c r="N27" s="103">
        <f>(Gender!BM28/'Total 1st Prof'!O28)*100</f>
        <v>35.379061371841154</v>
      </c>
      <c r="O27" s="103">
        <f>(Gender!BN28/'Total 1st Prof'!P28)*100</f>
        <v>36.363636363636367</v>
      </c>
      <c r="P27" s="103">
        <f>(Gender!BO28/'Total 1st Prof'!Q28)*100</f>
        <v>42.293906810035843</v>
      </c>
      <c r="Q27" s="103">
        <f>(Gender!BP28/'Total 1st Prof'!R28)*100</f>
        <v>40.702947845804985</v>
      </c>
      <c r="R27" s="103">
        <f>(Gender!BQ28/'Total 1st Prof'!S28)*100</f>
        <v>42.256637168141594</v>
      </c>
      <c r="S27" s="103">
        <f>(Gender!BR28/'Total 1st Prof'!T28)*100</f>
        <v>41.617819460726849</v>
      </c>
      <c r="T27" s="102">
        <f>(Gender!BS28/'Total 1st Prof'!U28)*100</f>
        <v>44.036697247706428</v>
      </c>
      <c r="U27" s="103">
        <f>(Gender!BT28/'Total 1st Prof'!V28)*100</f>
        <v>45.589919816723942</v>
      </c>
      <c r="V27" s="103">
        <f>(Gender!BU28/'Total 1st Prof'!W28)*100</f>
        <v>45.969773299748113</v>
      </c>
      <c r="W27" s="103">
        <f>(Gender!BV28/'Total 1st Prof'!X28)*100</f>
        <v>48.056994818652846</v>
      </c>
      <c r="X27" s="103">
        <f>(Gender!BW28/'Total 1st Prof'!Y28)*100</f>
        <v>48.857868020304565</v>
      </c>
      <c r="Y27" s="103">
        <f>(Gender!BX28/'Total 1st Prof'!Z28)*100</f>
        <v>44.895448954489545</v>
      </c>
      <c r="Z27" s="103">
        <f>(Gender!BY28/'Total 1st Prof'!AA28)*100</f>
        <v>44.622991347342399</v>
      </c>
      <c r="AA27" s="103">
        <f>(Gender!BZ28/'Total 1st Prof'!AB28)*100</f>
        <v>44.537815126050425</v>
      </c>
      <c r="AB27" s="103">
        <f>(Gender!CA28/'Total 1st Prof'!AC28)*100</f>
        <v>48.734177215189874</v>
      </c>
      <c r="AC27" s="103">
        <f>(Gender!CB28/'Total 1st Prof'!AD28)*100</f>
        <v>48.557692307692307</v>
      </c>
      <c r="AD27" s="103">
        <f>(Gender!CC28/'Total 1st Prof'!AE28)*100</f>
        <v>47.841726618705039</v>
      </c>
      <c r="AE27" s="103">
        <f>(Gender!CD28/'Total 1st Prof'!AF28)*100</f>
        <v>50.054171180931739</v>
      </c>
      <c r="AF27" s="103">
        <f>(Gender!CE28/'Total 1st Prof'!AG28)*100</f>
        <v>55.080831408775978</v>
      </c>
      <c r="AG27" s="103">
        <f>(Gender!CF28/'Total 1st Prof'!AH28)*100</f>
        <v>56.615017878426698</v>
      </c>
      <c r="AH27" s="103">
        <f>(Gender!CG28/'Total 1st Prof'!AI28)*100</f>
        <v>56.80473372781065</v>
      </c>
      <c r="AI27" s="103">
        <f>(Gender!CH28/'Total 1st Prof'!AJ28)*100</f>
        <v>55.87334014300307</v>
      </c>
      <c r="AJ27" s="103">
        <f>(Gender!CI28/'Total 1st Prof'!AK28)*100</f>
        <v>55.649419218585003</v>
      </c>
      <c r="AK27" s="103">
        <f>(Gender!CJ28/'Total 1st Prof'!AL28)*100</f>
        <v>56.831119544592035</v>
      </c>
      <c r="AL27" s="103">
        <f>(Gender!CK28/'Total 1st Prof'!AM28)*100</f>
        <v>53.432282003710576</v>
      </c>
      <c r="AM27" s="103">
        <f>(Gender!CL28/'Total 1st Prof'!AN28)*100</f>
        <v>55.064456721915292</v>
      </c>
      <c r="AN27" s="103">
        <f>(Gender!CM28/'Total 1st Prof'!AO28)*100</f>
        <v>56.729900632339657</v>
      </c>
      <c r="AO27" s="103">
        <f>(Gender!CN28/'Total 1st Prof'!AP28)*100</f>
        <v>52.626641651031889</v>
      </c>
      <c r="AP27" s="103">
        <f>(Gender!CO28/'Total 1st Prof'!AQ28)*100</f>
        <v>57.658380112269448</v>
      </c>
      <c r="AQ27" s="103">
        <f>(Gender!CP28/'Total 1st Prof'!AR28)*100</f>
        <v>57.374254049445859</v>
      </c>
      <c r="AR27" s="103">
        <f>(Gender!CQ28/'Total 1st Prof'!AS28)*100</f>
        <v>58.352578906851427</v>
      </c>
      <c r="AS27" s="103">
        <f>(Gender!CR28/'Total 1st Prof'!AT28)*100</f>
        <v>57.239057239057232</v>
      </c>
      <c r="AT27" s="103">
        <f>(Gender!CS28/'Total 1st Prof'!AU28)*100</f>
        <v>57.464212678936612</v>
      </c>
      <c r="AU27" s="103">
        <f>(Gender!CT28/'Total 1st Prof'!AV28)*100</f>
        <v>56.903765690376574</v>
      </c>
      <c r="AV27" s="103">
        <f>(Gender!CU28/'Total 1st Prof'!AW28)*100</f>
        <v>55.095332018408939</v>
      </c>
      <c r="AW27" s="103">
        <f>(Gender!CV28/'Total 1st Prof'!AX28)*100</f>
        <v>58.815426997245183</v>
      </c>
      <c r="AX27" s="103">
        <f>(Gender!CW28/'Total 1st Prof'!AY28)*100</f>
        <v>58.449304174950299</v>
      </c>
      <c r="AY27" s="103">
        <f>(Gender!CX28/'Total 1st Prof'!AZ28)*100</f>
        <v>57.783472133247912</v>
      </c>
      <c r="AZ27" s="103">
        <f>(Gender!CY28/'Total 1st Prof'!BA28)*100</f>
        <v>59.111111111111114</v>
      </c>
    </row>
    <row r="28" spans="1:52" ht="12.75">
      <c r="A28" s="77" t="s">
        <v>41</v>
      </c>
      <c r="B28" s="102" t="e">
        <f>(Gender!BA29/'Total 1st Prof'!C29)*100</f>
        <v>#DIV/0!</v>
      </c>
      <c r="C28" s="103" t="e">
        <f>(Gender!BB29/'Total 1st Prof'!D29)*100</f>
        <v>#DIV/0!</v>
      </c>
      <c r="D28" s="103" t="e">
        <f>(Gender!BC29/'Total 1st Prof'!E29)*100</f>
        <v>#DIV/0!</v>
      </c>
      <c r="E28" s="103" t="e">
        <f>(Gender!BD29/'Total 1st Prof'!F29)*100</f>
        <v>#DIV/0!</v>
      </c>
      <c r="F28" s="103" t="e">
        <f>(Gender!BE29/'Total 1st Prof'!G29)*100</f>
        <v>#DIV/0!</v>
      </c>
      <c r="G28" s="103">
        <f>(Gender!BF29/'Total 1st Prof'!H29)*100</f>
        <v>9.67741935483871</v>
      </c>
      <c r="H28" s="103">
        <f>(Gender!BG29/'Total 1st Prof'!I29)*100</f>
        <v>23.809523809523807</v>
      </c>
      <c r="I28" s="103">
        <f>(Gender!BH29/'Total 1st Prof'!J29)*100</f>
        <v>24.545454545454547</v>
      </c>
      <c r="J28" s="103">
        <f>(Gender!BI29/'Total 1st Prof'!K29)*100</f>
        <v>29.599999999999998</v>
      </c>
      <c r="K28" s="103">
        <f>(Gender!BJ29/'Total 1st Prof'!L29)*100</f>
        <v>30.578512396694212</v>
      </c>
      <c r="L28" s="103">
        <f>(Gender!BK29/'Total 1st Prof'!M29)*100</f>
        <v>35.15625</v>
      </c>
      <c r="M28" s="103">
        <f>(Gender!BL29/'Total 1st Prof'!N29)*100</f>
        <v>34.640522875816991</v>
      </c>
      <c r="N28" s="103">
        <f>(Gender!BM29/'Total 1st Prof'!O29)*100</f>
        <v>28.467153284671532</v>
      </c>
      <c r="O28" s="103">
        <f>(Gender!BN29/'Total 1st Prof'!P29)*100</f>
        <v>39.393939393939391</v>
      </c>
      <c r="P28" s="103">
        <f>(Gender!BO29/'Total 1st Prof'!Q29)*100</f>
        <v>36.641221374045799</v>
      </c>
      <c r="Q28" s="103">
        <f>(Gender!BP29/'Total 1st Prof'!R29)*100</f>
        <v>41.726618705035975</v>
      </c>
      <c r="R28" s="103">
        <f>(Gender!BQ29/'Total 1st Prof'!S29)*100</f>
        <v>38.931297709923662</v>
      </c>
      <c r="S28" s="103">
        <f>(Gender!BR29/'Total 1st Prof'!T29)*100</f>
        <v>49.635036496350367</v>
      </c>
      <c r="T28" s="102">
        <f>(Gender!BS29/'Total 1st Prof'!U29)*100</f>
        <v>42.857142857142854</v>
      </c>
      <c r="U28" s="103">
        <f>(Gender!BT29/'Total 1st Prof'!V29)*100</f>
        <v>44.537815126050425</v>
      </c>
      <c r="V28" s="103">
        <f>(Gender!BU29/'Total 1st Prof'!W29)*100</f>
        <v>47.787610619469028</v>
      </c>
      <c r="W28" s="103">
        <f>(Gender!BV29/'Total 1st Prof'!X29)*100</f>
        <v>41.525423728813557</v>
      </c>
      <c r="X28" s="103">
        <f>(Gender!BW29/'Total 1st Prof'!Y29)*100</f>
        <v>36.206896551724135</v>
      </c>
      <c r="Y28" s="103">
        <f>(Gender!BX29/'Total 1st Prof'!Z29)*100</f>
        <v>31.25</v>
      </c>
      <c r="Z28" s="103">
        <f>(Gender!BY29/'Total 1st Prof'!AA29)*100</f>
        <v>36.046511627906973</v>
      </c>
      <c r="AA28" s="103">
        <f>(Gender!BZ29/'Total 1st Prof'!AB29)*100</f>
        <v>45</v>
      </c>
      <c r="AB28" s="103">
        <f>(Gender!CA29/'Total 1st Prof'!AC29)*100</f>
        <v>45.081967213114751</v>
      </c>
      <c r="AC28" s="103">
        <f>(Gender!CB29/'Total 1st Prof'!AD29)*100</f>
        <v>50.387596899224803</v>
      </c>
      <c r="AD28" s="103">
        <f>(Gender!CC29/'Total 1st Prof'!AE29)*100</f>
        <v>47.692307692307693</v>
      </c>
      <c r="AE28" s="103">
        <f>(Gender!CD29/'Total 1st Prof'!AF29)*100</f>
        <v>52.34375</v>
      </c>
      <c r="AF28" s="103">
        <f>(Gender!CE29/'Total 1st Prof'!AG29)*100</f>
        <v>46.564885496183209</v>
      </c>
      <c r="AG28" s="103">
        <f>(Gender!CF29/'Total 1st Prof'!AH29)*100</f>
        <v>51.127819548872175</v>
      </c>
      <c r="AH28" s="103">
        <f>(Gender!CG29/'Total 1st Prof'!AI29)*100</f>
        <v>46.564885496183209</v>
      </c>
      <c r="AI28" s="103">
        <f>(Gender!CH29/'Total 1st Prof'!AJ29)*100</f>
        <v>51.587301587301596</v>
      </c>
      <c r="AJ28" s="103">
        <f>(Gender!CI29/'Total 1st Prof'!AK29)*100</f>
        <v>51.724137931034484</v>
      </c>
      <c r="AK28" s="103">
        <f>(Gender!CJ29/'Total 1st Prof'!AL29)*100</f>
        <v>54.838709677419352</v>
      </c>
      <c r="AL28" s="103">
        <f>(Gender!CK29/'Total 1st Prof'!AM29)*100</f>
        <v>58.787878787878789</v>
      </c>
      <c r="AM28" s="103">
        <f>(Gender!CL29/'Total 1st Prof'!AN29)*100</f>
        <v>54.385964912280706</v>
      </c>
      <c r="AN28" s="103">
        <f>(Gender!CM29/'Total 1st Prof'!AO29)*100</f>
        <v>47.402597402597401</v>
      </c>
      <c r="AO28" s="103">
        <f>(Gender!CN29/'Total 1st Prof'!AP29)*100</f>
        <v>52.298850574712638</v>
      </c>
      <c r="AP28" s="103">
        <f>(Gender!CO29/'Total 1st Prof'!AQ29)*100</f>
        <v>52.577319587628871</v>
      </c>
      <c r="AQ28" s="103">
        <f>(Gender!CP29/'Total 1st Prof'!AR29)*100</f>
        <v>64.552238805970148</v>
      </c>
      <c r="AR28" s="103">
        <f>(Gender!CQ29/'Total 1st Prof'!AS29)*100</f>
        <v>56.346749226006189</v>
      </c>
      <c r="AS28" s="103">
        <f>(Gender!CR29/'Total 1st Prof'!AT29)*100</f>
        <v>54.966887417218544</v>
      </c>
      <c r="AT28" s="103">
        <f>(Gender!CS29/'Total 1st Prof'!AU29)*100</f>
        <v>57.142857142857139</v>
      </c>
      <c r="AU28" s="103">
        <f>(Gender!CT29/'Total 1st Prof'!AV29)*100</f>
        <v>57.142857142857139</v>
      </c>
      <c r="AV28" s="103">
        <f>(Gender!CU29/'Total 1st Prof'!AW29)*100</f>
        <v>57.094594594594597</v>
      </c>
      <c r="AW28" s="103">
        <f>(Gender!CV29/'Total 1st Prof'!AX29)*100</f>
        <v>56.92307692307692</v>
      </c>
      <c r="AX28" s="103">
        <f>(Gender!CW29/'Total 1st Prof'!AY29)*100</f>
        <v>56.026058631921828</v>
      </c>
      <c r="AY28" s="103">
        <f>(Gender!CX29/'Total 1st Prof'!AZ29)*100</f>
        <v>61.029411764705884</v>
      </c>
      <c r="AZ28" s="103">
        <f>(Gender!CY29/'Total 1st Prof'!BA29)*100</f>
        <v>50.166112956810629</v>
      </c>
    </row>
    <row r="29" spans="1:52" ht="12.75">
      <c r="A29" s="77" t="s">
        <v>42</v>
      </c>
      <c r="B29" s="102">
        <f>(Gender!BA30/'Total 1st Prof'!C30)*100</f>
        <v>3.8461538461538463</v>
      </c>
      <c r="C29" s="103">
        <f>(Gender!BB30/'Total 1st Prof'!D30)*100</f>
        <v>0</v>
      </c>
      <c r="D29" s="103">
        <f>(Gender!BC30/'Total 1st Prof'!E30)*100</f>
        <v>4.3478260869565215</v>
      </c>
      <c r="E29" s="103">
        <f>(Gender!BD30/'Total 1st Prof'!F30)*100</f>
        <v>6.1538461538461542</v>
      </c>
      <c r="F29" s="103">
        <f>(Gender!BE30/'Total 1st Prof'!G30)*100</f>
        <v>6.4935064935064926</v>
      </c>
      <c r="G29" s="103">
        <f>(Gender!BF30/'Total 1st Prof'!H30)*100</f>
        <v>6.666666666666667</v>
      </c>
      <c r="H29" s="103">
        <f>(Gender!BG30/'Total 1st Prof'!I30)*100</f>
        <v>10.1010101010101</v>
      </c>
      <c r="I29" s="103">
        <f>(Gender!BH30/'Total 1st Prof'!J30)*100</f>
        <v>25.714285714285712</v>
      </c>
      <c r="J29" s="103">
        <f>(Gender!BI30/'Total 1st Prof'!K30)*100</f>
        <v>18.072289156626507</v>
      </c>
      <c r="K29" s="103">
        <f>(Gender!BJ30/'Total 1st Prof'!L30)*100</f>
        <v>15.068493150684931</v>
      </c>
      <c r="L29" s="103">
        <f>(Gender!BK30/'Total 1st Prof'!M30)*100</f>
        <v>16.25</v>
      </c>
      <c r="M29" s="103">
        <f>(Gender!BL30/'Total 1st Prof'!N30)*100</f>
        <v>19.780219780219781</v>
      </c>
      <c r="N29" s="103">
        <f>(Gender!BM30/'Total 1st Prof'!O30)*100</f>
        <v>21.348314606741571</v>
      </c>
      <c r="O29" s="103">
        <f>(Gender!BN30/'Total 1st Prof'!P30)*100</f>
        <v>27.956989247311824</v>
      </c>
      <c r="P29" s="103">
        <f>(Gender!BO30/'Total 1st Prof'!Q30)*100</f>
        <v>23.75</v>
      </c>
      <c r="Q29" s="103">
        <f>(Gender!BP30/'Total 1st Prof'!R30)*100</f>
        <v>21.904761904761905</v>
      </c>
      <c r="R29" s="103">
        <f>(Gender!BQ30/'Total 1st Prof'!S30)*100</f>
        <v>24.390243902439025</v>
      </c>
      <c r="S29" s="103">
        <f>(Gender!BR30/'Total 1st Prof'!T30)*100</f>
        <v>20.588235294117645</v>
      </c>
      <c r="T29" s="102">
        <f>(Gender!BS30/'Total 1st Prof'!U30)*100</f>
        <v>28.169014084507044</v>
      </c>
      <c r="U29" s="103">
        <f>(Gender!BT30/'Total 1st Prof'!V30)*100</f>
        <v>29.850746268656714</v>
      </c>
      <c r="V29" s="103">
        <f>(Gender!BU30/'Total 1st Prof'!W30)*100</f>
        <v>31.451612903225808</v>
      </c>
      <c r="W29" s="103">
        <f>(Gender!BV30/'Total 1st Prof'!X30)*100</f>
        <v>31.147540983606557</v>
      </c>
      <c r="X29" s="103">
        <f>(Gender!BW30/'Total 1st Prof'!Y30)*100</f>
        <v>36.296296296296298</v>
      </c>
      <c r="Y29" s="103">
        <f>(Gender!BX30/'Total 1st Prof'!Z30)*100</f>
        <v>35.61643835616438</v>
      </c>
      <c r="Z29" s="103">
        <f>(Gender!BY30/'Total 1st Prof'!AA30)*100</f>
        <v>36.486486486486484</v>
      </c>
      <c r="AA29" s="103">
        <f>(Gender!BZ30/'Total 1st Prof'!AB30)*100</f>
        <v>40.119760479041915</v>
      </c>
      <c r="AB29" s="103">
        <f>(Gender!CA30/'Total 1st Prof'!AC30)*100</f>
        <v>37.579617834394909</v>
      </c>
      <c r="AC29" s="103">
        <f>(Gender!CB30/'Total 1st Prof'!AD30)*100</f>
        <v>45.238095238095241</v>
      </c>
      <c r="AD29" s="103">
        <f>(Gender!CC30/'Total 1st Prof'!AE30)*100</f>
        <v>51.282051282051277</v>
      </c>
      <c r="AE29" s="103">
        <f>(Gender!CD30/'Total 1st Prof'!AF30)*100</f>
        <v>38.311688311688314</v>
      </c>
      <c r="AF29" s="103">
        <f>(Gender!CE30/'Total 1st Prof'!AG30)*100</f>
        <v>36.206896551724135</v>
      </c>
      <c r="AG29" s="103">
        <f>(Gender!CF30/'Total 1st Prof'!AH30)*100</f>
        <v>35.220125786163521</v>
      </c>
      <c r="AH29" s="103">
        <f>(Gender!CG30/'Total 1st Prof'!AI30)*100</f>
        <v>37.878787878787875</v>
      </c>
      <c r="AI29" s="103">
        <f>(Gender!CH30/'Total 1st Prof'!AJ30)*100</f>
        <v>40.259740259740262</v>
      </c>
      <c r="AJ29" s="103">
        <f>(Gender!CI30/'Total 1st Prof'!AK30)*100</f>
        <v>43.478260869565219</v>
      </c>
      <c r="AK29" s="103">
        <f>(Gender!CJ30/'Total 1st Prof'!AL30)*100</f>
        <v>37.423312883435585</v>
      </c>
      <c r="AL29" s="103">
        <f>(Gender!CK30/'Total 1st Prof'!AM30)*100</f>
        <v>40.789473684210527</v>
      </c>
      <c r="AM29" s="103">
        <f>(Gender!CL30/'Total 1st Prof'!AN30)*100</f>
        <v>40.935672514619881</v>
      </c>
      <c r="AN29" s="103">
        <f>(Gender!CM30/'Total 1st Prof'!AO30)*100</f>
        <v>40.606060606060609</v>
      </c>
      <c r="AO29" s="103">
        <f>(Gender!CN30/'Total 1st Prof'!AP30)*100</f>
        <v>51.533742331288344</v>
      </c>
      <c r="AP29" s="103">
        <f>(Gender!CO30/'Total 1st Prof'!AQ30)*100</f>
        <v>44.670050761421322</v>
      </c>
      <c r="AQ29" s="103">
        <f>(Gender!CP30/'Total 1st Prof'!AR30)*100</f>
        <v>40.776699029126213</v>
      </c>
      <c r="AR29" s="103">
        <f>(Gender!CQ30/'Total 1st Prof'!AS30)*100</f>
        <v>34.090909090909086</v>
      </c>
      <c r="AS29" s="103">
        <f>(Gender!CR30/'Total 1st Prof'!AT30)*100</f>
        <v>45.762711864406782</v>
      </c>
      <c r="AT29" s="103">
        <f>(Gender!CS30/'Total 1st Prof'!AU30)*100</f>
        <v>46.987951807228917</v>
      </c>
      <c r="AU29" s="103">
        <f>(Gender!CT30/'Total 1st Prof'!AV30)*100</f>
        <v>51.054852320675103</v>
      </c>
      <c r="AV29" s="103">
        <f>(Gender!CU30/'Total 1st Prof'!AW30)*100</f>
        <v>40.298507462686565</v>
      </c>
      <c r="AW29" s="103">
        <f>(Gender!CV30/'Total 1st Prof'!AX30)*100</f>
        <v>48.936170212765958</v>
      </c>
      <c r="AX29" s="103">
        <f>(Gender!CW30/'Total 1st Prof'!AY30)*100</f>
        <v>48.79032258064516</v>
      </c>
      <c r="AY29" s="103">
        <f>(Gender!CX30/'Total 1st Prof'!AZ30)*100</f>
        <v>44.725738396624472</v>
      </c>
      <c r="AZ29" s="103">
        <f>(Gender!CY30/'Total 1st Prof'!BA30)*100</f>
        <v>57.317073170731703</v>
      </c>
    </row>
    <row r="30" spans="1:52" ht="12.75">
      <c r="A30" s="77" t="s">
        <v>43</v>
      </c>
      <c r="B30" s="102">
        <f>(Gender!BA31/'Total 1st Prof'!C31)*100</f>
        <v>0</v>
      </c>
      <c r="C30" s="103">
        <f>(Gender!BB31/'Total 1st Prof'!D31)*100</f>
        <v>2.8571428571428572</v>
      </c>
      <c r="D30" s="103">
        <f>(Gender!BC31/'Total 1st Prof'!E31)*100</f>
        <v>0</v>
      </c>
      <c r="E30" s="103">
        <f>(Gender!BD31/'Total 1st Prof'!F31)*100</f>
        <v>3.125</v>
      </c>
      <c r="F30" s="103">
        <f>(Gender!BE31/'Total 1st Prof'!G31)*100</f>
        <v>3.9215686274509802</v>
      </c>
      <c r="G30" s="103">
        <f>(Gender!BF31/'Total 1st Prof'!H31)*100</f>
        <v>11.475409836065573</v>
      </c>
      <c r="H30" s="103">
        <f>(Gender!BG31/'Total 1st Prof'!I31)*100</f>
        <v>10.76923076923077</v>
      </c>
      <c r="I30" s="103">
        <f>(Gender!BH31/'Total 1st Prof'!J31)*100</f>
        <v>10.666666666666668</v>
      </c>
      <c r="J30" s="103">
        <f>(Gender!BI31/'Total 1st Prof'!K31)*100</f>
        <v>18.461538461538463</v>
      </c>
      <c r="K30" s="103">
        <f>(Gender!BJ31/'Total 1st Prof'!L31)*100</f>
        <v>28.378378378378379</v>
      </c>
      <c r="L30" s="103">
        <f>(Gender!BK31/'Total 1st Prof'!M31)*100</f>
        <v>21.621621621621621</v>
      </c>
      <c r="M30" s="103">
        <f>(Gender!BL31/'Total 1st Prof'!N31)*100</f>
        <v>30.985915492957744</v>
      </c>
      <c r="N30" s="103">
        <f>(Gender!BM31/'Total 1st Prof'!O31)*100</f>
        <v>26.027397260273972</v>
      </c>
      <c r="O30" s="103">
        <f>(Gender!BN31/'Total 1st Prof'!P31)*100</f>
        <v>29.487179487179489</v>
      </c>
      <c r="P30" s="103">
        <f>(Gender!BO31/'Total 1st Prof'!Q31)*100</f>
        <v>32.8125</v>
      </c>
      <c r="Q30" s="103">
        <f>(Gender!BP31/'Total 1st Prof'!R31)*100</f>
        <v>46.666666666666664</v>
      </c>
      <c r="R30" s="103">
        <f>(Gender!BQ31/'Total 1st Prof'!S31)*100</f>
        <v>37.878787878787875</v>
      </c>
      <c r="S30" s="103">
        <f>(Gender!BR31/'Total 1st Prof'!T31)*100</f>
        <v>32.432432432432435</v>
      </c>
      <c r="T30" s="102">
        <f>(Gender!BS31/'Total 1st Prof'!U31)*100</f>
        <v>41.025641025641022</v>
      </c>
      <c r="U30" s="103">
        <f>(Gender!BT31/'Total 1st Prof'!V31)*100</f>
        <v>32.20338983050847</v>
      </c>
      <c r="V30" s="103">
        <f>(Gender!BU31/'Total 1st Prof'!W31)*100</f>
        <v>36.619718309859159</v>
      </c>
      <c r="W30" s="103">
        <f>(Gender!BV31/'Total 1st Prof'!X31)*100</f>
        <v>31.147540983606557</v>
      </c>
      <c r="X30" s="103">
        <f>(Gender!BW31/'Total 1st Prof'!Y31)*100</f>
        <v>41.428571428571431</v>
      </c>
      <c r="Y30" s="103">
        <f>(Gender!BX31/'Total 1st Prof'!Z31)*100</f>
        <v>36.764705882352942</v>
      </c>
      <c r="Z30" s="103">
        <f>(Gender!BY31/'Total 1st Prof'!AA31)*100</f>
        <v>42.857142857142854</v>
      </c>
      <c r="AA30" s="103">
        <f>(Gender!BZ31/'Total 1st Prof'!AB31)*100</f>
        <v>41.025641025641022</v>
      </c>
      <c r="AB30" s="103">
        <f>(Gender!CA31/'Total 1st Prof'!AC31)*100</f>
        <v>33.333333333333329</v>
      </c>
      <c r="AC30" s="103">
        <f>(Gender!CB31/'Total 1st Prof'!AD31)*100</f>
        <v>48</v>
      </c>
      <c r="AD30" s="103">
        <f>(Gender!CC31/'Total 1st Prof'!AE31)*100</f>
        <v>39.705882352941174</v>
      </c>
      <c r="AE30" s="103">
        <f>(Gender!CD31/'Total 1st Prof'!AF31)*100</f>
        <v>45</v>
      </c>
      <c r="AF30" s="103">
        <f>(Gender!CE31/'Total 1st Prof'!AG31)*100</f>
        <v>42.857142857142854</v>
      </c>
      <c r="AG30" s="103">
        <f>(Gender!CF31/'Total 1st Prof'!AH31)*100</f>
        <v>37.349397590361441</v>
      </c>
      <c r="AH30" s="103">
        <f>(Gender!CG31/'Total 1st Prof'!AI31)*100</f>
        <v>47.107438016528924</v>
      </c>
      <c r="AI30" s="103">
        <f>(Gender!CH31/'Total 1st Prof'!AJ31)*100</f>
        <v>55.084745762711862</v>
      </c>
      <c r="AJ30" s="103">
        <f>(Gender!CI31/'Total 1st Prof'!AK31)*100</f>
        <v>48.507462686567166</v>
      </c>
      <c r="AK30" s="103">
        <f>(Gender!CJ31/'Total 1st Prof'!AL31)*100</f>
        <v>47.286821705426355</v>
      </c>
      <c r="AL30" s="103">
        <f>(Gender!CK31/'Total 1st Prof'!AM31)*100</f>
        <v>47.058823529411761</v>
      </c>
      <c r="AM30" s="103">
        <f>(Gender!CL31/'Total 1st Prof'!AN31)*100</f>
        <v>56.617647058823529</v>
      </c>
      <c r="AN30" s="103">
        <f>(Gender!CM31/'Total 1st Prof'!AO31)*100</f>
        <v>54.609929078014183</v>
      </c>
      <c r="AO30" s="103">
        <f>(Gender!CN31/'Total 1st Prof'!AP31)*100</f>
        <v>47.857142857142861</v>
      </c>
      <c r="AP30" s="103">
        <f>(Gender!CO31/'Total 1st Prof'!AQ31)*100</f>
        <v>55.555555555555557</v>
      </c>
      <c r="AQ30" s="103">
        <f>(Gender!CP31/'Total 1st Prof'!AR31)*100</f>
        <v>54.6875</v>
      </c>
      <c r="AR30" s="103">
        <f>(Gender!CQ31/'Total 1st Prof'!AS31)*100</f>
        <v>57.818181818181813</v>
      </c>
      <c r="AS30" s="103">
        <f>(Gender!CR31/'Total 1st Prof'!AT31)*100</f>
        <v>58.249158249158249</v>
      </c>
      <c r="AT30" s="103">
        <f>(Gender!CS31/'Total 1st Prof'!AU31)*100</f>
        <v>61.980830670926515</v>
      </c>
      <c r="AU30" s="103">
        <f>(Gender!CT31/'Total 1st Prof'!AV31)*100</f>
        <v>61.094224924012153</v>
      </c>
      <c r="AV30" s="103">
        <f>(Gender!CU31/'Total 1st Prof'!AW31)*100</f>
        <v>59.615384615384613</v>
      </c>
      <c r="AW30" s="103">
        <f>(Gender!CV31/'Total 1st Prof'!AX31)*100</f>
        <v>63.48773841961853</v>
      </c>
      <c r="AX30" s="103">
        <f>(Gender!CW31/'Total 1st Prof'!AY31)*100</f>
        <v>60.923076923076927</v>
      </c>
      <c r="AY30" s="103">
        <f>(Gender!CX31/'Total 1st Prof'!AZ31)*100</f>
        <v>66.581632653061234</v>
      </c>
      <c r="AZ30" s="103">
        <f>(Gender!CY31/'Total 1st Prof'!BA31)*100</f>
        <v>61.505376344086024</v>
      </c>
    </row>
    <row r="31" spans="1:52" ht="12.75">
      <c r="A31" s="77" t="s">
        <v>44</v>
      </c>
      <c r="B31" s="102" t="e">
        <f>(Gender!BA32/'Total 1st Prof'!C32)*100</f>
        <v>#DIV/0!</v>
      </c>
      <c r="C31" s="103" t="e">
        <f>(Gender!BB32/'Total 1st Prof'!D32)*100</f>
        <v>#DIV/0!</v>
      </c>
      <c r="D31" s="103" t="e">
        <f>(Gender!BC32/'Total 1st Prof'!E32)*100</f>
        <v>#DIV/0!</v>
      </c>
      <c r="E31" s="103" t="e">
        <f>(Gender!BD32/'Total 1st Prof'!F32)*100</f>
        <v>#DIV/0!</v>
      </c>
      <c r="F31" s="103" t="e">
        <f>(Gender!BE32/'Total 1st Prof'!G32)*100</f>
        <v>#DIV/0!</v>
      </c>
      <c r="G31" s="103" t="e">
        <f>(Gender!BF32/'Total 1st Prof'!H32)*100</f>
        <v>#DIV/0!</v>
      </c>
      <c r="H31" s="103" t="e">
        <f>(Gender!BG32/'Total 1st Prof'!I32)*100</f>
        <v>#DIV/0!</v>
      </c>
      <c r="I31" s="103" t="e">
        <f>(Gender!BH32/'Total 1st Prof'!J32)*100</f>
        <v>#DIV/0!</v>
      </c>
      <c r="J31" s="103" t="e">
        <f>(Gender!BI32/'Total 1st Prof'!K32)*100</f>
        <v>#DIV/0!</v>
      </c>
      <c r="K31" s="103" t="e">
        <f>(Gender!BJ32/'Total 1st Prof'!L32)*100</f>
        <v>#DIV/0!</v>
      </c>
      <c r="L31" s="103">
        <f>(Gender!BK32/'Total 1st Prof'!M32)*100</f>
        <v>25</v>
      </c>
      <c r="M31" s="103">
        <f>(Gender!BL32/'Total 1st Prof'!N32)*100</f>
        <v>29.166666666666668</v>
      </c>
      <c r="N31" s="103">
        <f>(Gender!BM32/'Total 1st Prof'!O32)*100</f>
        <v>22.222222222222221</v>
      </c>
      <c r="O31" s="103">
        <f>(Gender!BN32/'Total 1st Prof'!P32)*100</f>
        <v>16.666666666666664</v>
      </c>
      <c r="P31" s="103">
        <f>(Gender!BO32/'Total 1st Prof'!Q32)*100</f>
        <v>33.333333333333329</v>
      </c>
      <c r="Q31" s="103">
        <f>(Gender!BP32/'Total 1st Prof'!R32)*100</f>
        <v>31.428571428571427</v>
      </c>
      <c r="R31" s="103">
        <f>(Gender!BQ32/'Total 1st Prof'!S32)*100</f>
        <v>32</v>
      </c>
      <c r="S31" s="103">
        <f>(Gender!BR32/'Total 1st Prof'!T32)*100</f>
        <v>33.333333333333329</v>
      </c>
      <c r="T31" s="102">
        <f>(Gender!BS32/'Total 1st Prof'!U32)*100</f>
        <v>30.434782608695656</v>
      </c>
      <c r="U31" s="103">
        <f>(Gender!BT32/'Total 1st Prof'!V32)*100</f>
        <v>41.304347826086953</v>
      </c>
      <c r="V31" s="103">
        <f>(Gender!BU32/'Total 1st Prof'!W32)*100</f>
        <v>26.530612244897959</v>
      </c>
      <c r="W31" s="103">
        <f>(Gender!BV32/'Total 1st Prof'!X32)*100</f>
        <v>34.210526315789473</v>
      </c>
      <c r="X31" s="103">
        <f>(Gender!BW32/'Total 1st Prof'!Y32)*100</f>
        <v>45.454545454545453</v>
      </c>
      <c r="Y31" s="103">
        <f>(Gender!BX32/'Total 1st Prof'!Z32)*100</f>
        <v>37.037037037037038</v>
      </c>
      <c r="Z31" s="103">
        <f>(Gender!BY32/'Total 1st Prof'!AA32)*100</f>
        <v>28.205128205128204</v>
      </c>
      <c r="AA31" s="103">
        <f>(Gender!BZ32/'Total 1st Prof'!AB32)*100</f>
        <v>44.444444444444443</v>
      </c>
      <c r="AB31" s="103">
        <f>(Gender!CA32/'Total 1st Prof'!AC32)*100</f>
        <v>43.636363636363633</v>
      </c>
      <c r="AC31" s="103">
        <f>(Gender!CB32/'Total 1st Prof'!AD32)*100</f>
        <v>36.170212765957451</v>
      </c>
      <c r="AD31" s="103">
        <f>(Gender!CC32/'Total 1st Prof'!AE32)*100</f>
        <v>35.416666666666671</v>
      </c>
      <c r="AE31" s="103">
        <f>(Gender!CD32/'Total 1st Prof'!AF32)*100</f>
        <v>40.384615384615387</v>
      </c>
      <c r="AF31" s="103">
        <f>(Gender!CE32/'Total 1st Prof'!AG32)*100</f>
        <v>41.509433962264154</v>
      </c>
      <c r="AG31" s="103">
        <f>(Gender!CF32/'Total 1st Prof'!AH32)*100</f>
        <v>48.920863309352519</v>
      </c>
      <c r="AH31" s="103">
        <f>(Gender!CG32/'Total 1st Prof'!AI32)*100</f>
        <v>44.078947368421048</v>
      </c>
      <c r="AI31" s="103">
        <f>(Gender!CH32/'Total 1st Prof'!AJ32)*100</f>
        <v>49.438202247191008</v>
      </c>
      <c r="AJ31" s="103">
        <f>(Gender!CI32/'Total 1st Prof'!AK32)*100</f>
        <v>47.337278106508876</v>
      </c>
      <c r="AK31" s="103">
        <f>(Gender!CJ32/'Total 1st Prof'!AL32)*100</f>
        <v>45</v>
      </c>
      <c r="AL31" s="103">
        <f>(Gender!CK32/'Total 1st Prof'!AM32)*100</f>
        <v>42.264150943396231</v>
      </c>
      <c r="AM31" s="103">
        <f>(Gender!CL32/'Total 1st Prof'!AN32)*100</f>
        <v>47.368421052631575</v>
      </c>
      <c r="AN31" s="103">
        <f>(Gender!CM32/'Total 1st Prof'!AO32)*100</f>
        <v>51.752021563342318</v>
      </c>
      <c r="AO31" s="103">
        <f>(Gender!CN32/'Total 1st Prof'!AP32)*100</f>
        <v>48.098434004474271</v>
      </c>
      <c r="AP31" s="103">
        <f>(Gender!CO32/'Total 1st Prof'!AQ32)*100</f>
        <v>50.106157112526539</v>
      </c>
      <c r="AQ31" s="103">
        <f>(Gender!CP32/'Total 1st Prof'!AR32)*100</f>
        <v>45.283018867924532</v>
      </c>
      <c r="AR31" s="103">
        <f>(Gender!CQ32/'Total 1st Prof'!AS32)*100</f>
        <v>45.626822157434404</v>
      </c>
      <c r="AS31" s="103">
        <f>(Gender!CR32/'Total 1st Prof'!AT32)*100</f>
        <v>48.493975903614455</v>
      </c>
      <c r="AT31" s="103">
        <f>(Gender!CS32/'Total 1st Prof'!AU32)*100</f>
        <v>41.617647058823529</v>
      </c>
      <c r="AU31" s="103">
        <f>(Gender!CT32/'Total 1st Prof'!AV32)*100</f>
        <v>44.584382871536526</v>
      </c>
      <c r="AV31" s="103">
        <f>(Gender!CU32/'Total 1st Prof'!AW32)*100</f>
        <v>45.694444444444443</v>
      </c>
      <c r="AW31" s="103">
        <f>(Gender!CV32/'Total 1st Prof'!AX32)*100</f>
        <v>46.031746031746032</v>
      </c>
      <c r="AX31" s="103">
        <f>(Gender!CW32/'Total 1st Prof'!AY32)*100</f>
        <v>46.505376344086017</v>
      </c>
      <c r="AY31" s="103">
        <f>(Gender!CX32/'Total 1st Prof'!AZ32)*100</f>
        <v>49.746835443037973</v>
      </c>
      <c r="AZ31" s="103">
        <f>(Gender!CY32/'Total 1st Prof'!BA32)*100</f>
        <v>48.831168831168831</v>
      </c>
    </row>
    <row r="32" spans="1:52" ht="12.75">
      <c r="A32" s="77" t="s">
        <v>45</v>
      </c>
      <c r="B32" s="102">
        <f>(Gender!BA33/'Total 1st Prof'!C33)*100</f>
        <v>5.1724137931034484</v>
      </c>
      <c r="C32" s="103">
        <f>(Gender!BB33/'Total 1st Prof'!D33)*100</f>
        <v>4.8780487804878048</v>
      </c>
      <c r="D32" s="103">
        <f>(Gender!BC33/'Total 1st Prof'!E33)*100</f>
        <v>12.380952380952381</v>
      </c>
      <c r="E32" s="103">
        <f>(Gender!BD33/'Total 1st Prof'!F33)*100</f>
        <v>9.2307692307692317</v>
      </c>
      <c r="F32" s="103">
        <f>(Gender!BE33/'Total 1st Prof'!G33)*100</f>
        <v>17.105263157894736</v>
      </c>
      <c r="G32" s="103">
        <f>(Gender!BF33/'Total 1st Prof'!H33)*100</f>
        <v>15.432098765432098</v>
      </c>
      <c r="H32" s="103">
        <f>(Gender!BG33/'Total 1st Prof'!I33)*100</f>
        <v>24.848484848484848</v>
      </c>
      <c r="I32" s="103">
        <f>(Gender!BH33/'Total 1st Prof'!J33)*100</f>
        <v>30.526315789473685</v>
      </c>
      <c r="J32" s="103">
        <f>(Gender!BI33/'Total 1st Prof'!K33)*100</f>
        <v>36.746987951807228</v>
      </c>
      <c r="K32" s="103">
        <f>(Gender!BJ33/'Total 1st Prof'!L33)*100</f>
        <v>31.284916201117319</v>
      </c>
      <c r="L32" s="103">
        <f>(Gender!BK33/'Total 1st Prof'!M33)*100</f>
        <v>39.393939393939391</v>
      </c>
      <c r="M32" s="103">
        <f>(Gender!BL33/'Total 1st Prof'!N33)*100</f>
        <v>39.690721649484537</v>
      </c>
      <c r="N32" s="103">
        <f>(Gender!BM33/'Total 1st Prof'!O33)*100</f>
        <v>34.63687150837989</v>
      </c>
      <c r="O32" s="103">
        <f>(Gender!BN33/'Total 1st Prof'!P33)*100</f>
        <v>41.477272727272727</v>
      </c>
      <c r="P32" s="103">
        <f>(Gender!BO33/'Total 1st Prof'!Q33)*100</f>
        <v>44.623655913978496</v>
      </c>
      <c r="Q32" s="103">
        <f>(Gender!BP33/'Total 1st Prof'!R33)*100</f>
        <v>43.975903614457827</v>
      </c>
      <c r="R32" s="103">
        <f>(Gender!BQ33/'Total 1st Prof'!S33)*100</f>
        <v>42.408376963350783</v>
      </c>
      <c r="S32" s="103">
        <f>(Gender!BR33/'Total 1st Prof'!T33)*100</f>
        <v>47.058823529411761</v>
      </c>
      <c r="T32" s="102">
        <f>(Gender!BS33/'Total 1st Prof'!U33)*100</f>
        <v>54.268292682926834</v>
      </c>
      <c r="U32" s="103">
        <f>(Gender!BT33/'Total 1st Prof'!V33)*100</f>
        <v>48.066298342541437</v>
      </c>
      <c r="V32" s="103">
        <f>(Gender!BU33/'Total 1st Prof'!W33)*100</f>
        <v>45.81005586592179</v>
      </c>
      <c r="W32" s="103">
        <f>(Gender!BV33/'Total 1st Prof'!X33)*100</f>
        <v>44.91017964071856</v>
      </c>
      <c r="X32" s="103">
        <f>(Gender!BW33/'Total 1st Prof'!Y33)*100</f>
        <v>44.886363636363633</v>
      </c>
      <c r="Y32" s="103">
        <f>(Gender!BX33/'Total 1st Prof'!Z33)*100</f>
        <v>50</v>
      </c>
      <c r="Z32" s="103">
        <f>(Gender!BY33/'Total 1st Prof'!AA33)*100</f>
        <v>54.6875</v>
      </c>
      <c r="AA32" s="103">
        <f>(Gender!BZ33/'Total 1st Prof'!AB33)*100</f>
        <v>57.558139534883722</v>
      </c>
      <c r="AB32" s="103">
        <f>(Gender!CA33/'Total 1st Prof'!AC33)*100</f>
        <v>52.604166666666664</v>
      </c>
      <c r="AC32" s="103">
        <f>(Gender!CB33/'Total 1st Prof'!AD33)*100</f>
        <v>54.597701149425291</v>
      </c>
      <c r="AD32" s="103">
        <f>(Gender!CC33/'Total 1st Prof'!AE33)*100</f>
        <v>51.351351351351347</v>
      </c>
      <c r="AE32" s="103">
        <f>(Gender!CD33/'Total 1st Prof'!AF33)*100</f>
        <v>55.688622754491014</v>
      </c>
      <c r="AF32" s="103">
        <f>(Gender!CE33/'Total 1st Prof'!AG33)*100</f>
        <v>52.212389380530979</v>
      </c>
      <c r="AG32" s="103">
        <f>(Gender!CF33/'Total 1st Prof'!AH33)*100</f>
        <v>53.815261044176708</v>
      </c>
      <c r="AH32" s="103">
        <f>(Gender!CG33/'Total 1st Prof'!AI33)*100</f>
        <v>60.139860139860133</v>
      </c>
      <c r="AI32" s="103">
        <f>(Gender!CH33/'Total 1st Prof'!AJ33)*100</f>
        <v>56.50406504065041</v>
      </c>
      <c r="AJ32" s="103">
        <f>(Gender!CI33/'Total 1st Prof'!AK33)*100</f>
        <v>57.613168724279838</v>
      </c>
      <c r="AK32" s="103">
        <f>(Gender!CJ33/'Total 1st Prof'!AL33)*100</f>
        <v>62</v>
      </c>
      <c r="AL32" s="103">
        <f>(Gender!CK33/'Total 1st Prof'!AM33)*100</f>
        <v>56.000000000000007</v>
      </c>
      <c r="AM32" s="103">
        <f>(Gender!CL33/'Total 1st Prof'!AN33)*100</f>
        <v>56.313993174061437</v>
      </c>
      <c r="AN32" s="103">
        <f>(Gender!CM33/'Total 1st Prof'!AO33)*100</f>
        <v>57.249070631970255</v>
      </c>
      <c r="AO32" s="103">
        <f>(Gender!CN33/'Total 1st Prof'!AP33)*100</f>
        <v>54.044117647058819</v>
      </c>
      <c r="AP32" s="103">
        <f>(Gender!CO33/'Total 1st Prof'!AQ33)*100</f>
        <v>59.430604982206404</v>
      </c>
      <c r="AQ32" s="103">
        <f>(Gender!CP33/'Total 1st Prof'!AR33)*100</f>
        <v>56.435643564356432</v>
      </c>
      <c r="AR32" s="103">
        <f>(Gender!CQ33/'Total 1st Prof'!AS33)*100</f>
        <v>54.761904761904766</v>
      </c>
      <c r="AS32" s="103">
        <f>(Gender!CR33/'Total 1st Prof'!AT33)*100</f>
        <v>56.84210526315789</v>
      </c>
      <c r="AT32" s="103">
        <f>(Gender!CS33/'Total 1st Prof'!AU33)*100</f>
        <v>56.944444444444443</v>
      </c>
      <c r="AU32" s="103">
        <f>(Gender!CT33/'Total 1st Prof'!AV33)*100</f>
        <v>57.621951219512191</v>
      </c>
      <c r="AV32" s="103">
        <f>(Gender!CU33/'Total 1st Prof'!AW33)*100</f>
        <v>61.791044776119406</v>
      </c>
      <c r="AW32" s="103">
        <f>(Gender!CV33/'Total 1st Prof'!AX33)*100</f>
        <v>54.227405247813408</v>
      </c>
      <c r="AX32" s="103">
        <f>(Gender!CW33/'Total 1st Prof'!AY33)*100</f>
        <v>52.852852852852848</v>
      </c>
      <c r="AY32" s="103">
        <f>(Gender!CX33/'Total 1st Prof'!AZ33)*100</f>
        <v>58.284023668639051</v>
      </c>
      <c r="AZ32" s="103">
        <f>(Gender!CY33/'Total 1st Prof'!BA33)*100</f>
        <v>54.777070063694268</v>
      </c>
    </row>
    <row r="33" spans="1:52" ht="12.75">
      <c r="A33" s="77" t="s">
        <v>46</v>
      </c>
      <c r="B33" s="102">
        <f>(Gender!BA34/'Total 1st Prof'!C34)*100</f>
        <v>3.5264483627204033</v>
      </c>
      <c r="C33" s="103">
        <f>(Gender!BB34/'Total 1st Prof'!D34)*100</f>
        <v>3.0674846625766872</v>
      </c>
      <c r="D33" s="103">
        <f>(Gender!BC34/'Total 1st Prof'!E34)*100</f>
        <v>2.3668639053254439</v>
      </c>
      <c r="E33" s="103">
        <f>(Gender!BD34/'Total 1st Prof'!F34)*100</f>
        <v>4.6686746987951802</v>
      </c>
      <c r="F33" s="103">
        <f>(Gender!BE34/'Total 1st Prof'!G34)*100</f>
        <v>7.4964639321074955</v>
      </c>
      <c r="G33" s="103">
        <f>(Gender!BF34/'Total 1st Prof'!H34)*100</f>
        <v>9.2122830440587435</v>
      </c>
      <c r="H33" s="103">
        <f>(Gender!BG34/'Total 1st Prof'!I34)*100</f>
        <v>12.17877094972067</v>
      </c>
      <c r="I33" s="103">
        <f>(Gender!BH34/'Total 1st Prof'!J34)*100</f>
        <v>16.139954853273139</v>
      </c>
      <c r="J33" s="103">
        <f>(Gender!BI34/'Total 1st Prof'!K34)*100</f>
        <v>16.561181434599156</v>
      </c>
      <c r="K33" s="103">
        <f>(Gender!BJ34/'Total 1st Prof'!L34)*100</f>
        <v>18.004115226337451</v>
      </c>
      <c r="L33" s="103">
        <f>(Gender!BK34/'Total 1st Prof'!M34)*100</f>
        <v>20.619554695062924</v>
      </c>
      <c r="M33" s="103">
        <f>(Gender!BL34/'Total 1st Prof'!N34)*100</f>
        <v>26.331360946745562</v>
      </c>
      <c r="N33" s="103">
        <f>(Gender!BM34/'Total 1st Prof'!O34)*100</f>
        <v>23.979591836734691</v>
      </c>
      <c r="O33" s="103">
        <f>(Gender!BN34/'Total 1st Prof'!P34)*100</f>
        <v>27.401129943502823</v>
      </c>
      <c r="P33" s="103">
        <f>(Gender!BO34/'Total 1st Prof'!Q34)*100</f>
        <v>25.581395348837212</v>
      </c>
      <c r="Q33" s="103">
        <f>(Gender!BP34/'Total 1st Prof'!R34)*100</f>
        <v>29.879275653923543</v>
      </c>
      <c r="R33" s="103">
        <f>(Gender!BQ34/'Total 1st Prof'!S34)*100</f>
        <v>29.31769722814499</v>
      </c>
      <c r="S33" s="103">
        <f>(Gender!BR34/'Total 1st Prof'!T34)*100</f>
        <v>29.477196885428253</v>
      </c>
      <c r="T33" s="102">
        <f>(Gender!BS34/'Total 1st Prof'!U34)*100</f>
        <v>33.372781065088759</v>
      </c>
      <c r="U33" s="103">
        <f>(Gender!BT34/'Total 1st Prof'!V34)*100</f>
        <v>31.898454746136867</v>
      </c>
      <c r="V33" s="103">
        <f>(Gender!BU34/'Total 1st Prof'!W34)*100</f>
        <v>34.15948275862069</v>
      </c>
      <c r="W33" s="103">
        <f>(Gender!BV34/'Total 1st Prof'!X34)*100</f>
        <v>32.696390658174096</v>
      </c>
      <c r="X33" s="103">
        <f>(Gender!BW34/'Total 1st Prof'!Y34)*100</f>
        <v>33.914728682170541</v>
      </c>
      <c r="Y33" s="103">
        <f>(Gender!BX34/'Total 1st Prof'!Z34)*100</f>
        <v>35.425101214574902</v>
      </c>
      <c r="Z33" s="103">
        <f>(Gender!BY34/'Total 1st Prof'!AA34)*100</f>
        <v>36.786469344608882</v>
      </c>
      <c r="AA33" s="103">
        <f>(Gender!BZ34/'Total 1st Prof'!AB34)*100</f>
        <v>35.951327433628315</v>
      </c>
      <c r="AB33" s="103">
        <f>(Gender!CA34/'Total 1st Prof'!AC34)*100</f>
        <v>40.125391849529777</v>
      </c>
      <c r="AC33" s="103">
        <f>(Gender!CB34/'Total 1st Prof'!AD34)*100</f>
        <v>42.011278195488721</v>
      </c>
      <c r="AD33" s="103">
        <f>(Gender!CC34/'Total 1st Prof'!AE34)*100</f>
        <v>41.143392689784442</v>
      </c>
      <c r="AE33" s="103">
        <f>(Gender!CD34/'Total 1st Prof'!AF34)*100</f>
        <v>43.133047210300433</v>
      </c>
      <c r="AF33" s="103">
        <f>(Gender!CE34/'Total 1st Prof'!AG34)*100</f>
        <v>42.97994269340974</v>
      </c>
      <c r="AG33" s="103">
        <f>(Gender!CF34/'Total 1st Prof'!AH34)*100</f>
        <v>44.395410414827893</v>
      </c>
      <c r="AH33" s="103">
        <f>(Gender!CG34/'Total 1st Prof'!AI34)*100</f>
        <v>45.196078431372548</v>
      </c>
      <c r="AI33" s="103">
        <f>(Gender!CH34/'Total 1st Prof'!AJ34)*100</f>
        <v>43.202979515828673</v>
      </c>
      <c r="AJ33" s="103">
        <f>(Gender!CI34/'Total 1st Prof'!AK34)*100</f>
        <v>47.476635514018689</v>
      </c>
      <c r="AK33" s="103">
        <f>(Gender!CJ34/'Total 1st Prof'!AL34)*100</f>
        <v>47.951176983435047</v>
      </c>
      <c r="AL33" s="103">
        <f>(Gender!CK34/'Total 1st Prof'!AM34)*100</f>
        <v>47.658862876254183</v>
      </c>
      <c r="AM33" s="103">
        <f>(Gender!CL34/'Total 1st Prof'!AN34)*100</f>
        <v>45.088161209068012</v>
      </c>
      <c r="AN33" s="103">
        <f>(Gender!CM34/'Total 1st Prof'!AO34)*100</f>
        <v>47.741364038972542</v>
      </c>
      <c r="AO33" s="103">
        <f>(Gender!CN34/'Total 1st Prof'!AP34)*100</f>
        <v>45.780254777070063</v>
      </c>
      <c r="AP33" s="103">
        <f>(Gender!CO34/'Total 1st Prof'!AQ34)*100</f>
        <v>50.896057347670251</v>
      </c>
      <c r="AQ33" s="103">
        <f>(Gender!CP34/'Total 1st Prof'!AR34)*100</f>
        <v>51.289398280802288</v>
      </c>
      <c r="AR33" s="103">
        <f>(Gender!CQ34/'Total 1st Prof'!AS34)*100</f>
        <v>53.812949640287769</v>
      </c>
      <c r="AS33" s="103">
        <f>(Gender!CR34/'Total 1st Prof'!AT34)*100</f>
        <v>53.328661527680445</v>
      </c>
      <c r="AT33" s="103">
        <f>(Gender!CS34/'Total 1st Prof'!AU34)*100</f>
        <v>53.57624831309041</v>
      </c>
      <c r="AU33" s="103">
        <f>(Gender!CT34/'Total 1st Prof'!AV34)*100</f>
        <v>53.248587570621467</v>
      </c>
      <c r="AV33" s="103">
        <f>(Gender!CU34/'Total 1st Prof'!AW34)*100</f>
        <v>55.920114122681888</v>
      </c>
      <c r="AW33" s="103">
        <f>(Gender!CV34/'Total 1st Prof'!AX34)*100</f>
        <v>56.104446012702894</v>
      </c>
      <c r="AX33" s="103">
        <f>(Gender!CW34/'Total 1st Prof'!AY34)*100</f>
        <v>59.292649098474335</v>
      </c>
      <c r="AY33" s="103">
        <f>(Gender!CX34/'Total 1st Prof'!AZ34)*100</f>
        <v>57.644628099173559</v>
      </c>
      <c r="AZ33" s="103">
        <f>(Gender!CY34/'Total 1st Prof'!BA34)*100</f>
        <v>60.285132382892058</v>
      </c>
    </row>
    <row r="34" spans="1:52" ht="12.75">
      <c r="A34" s="77" t="s">
        <v>47</v>
      </c>
      <c r="B34" s="102">
        <f>(Gender!BA35/'Total 1st Prof'!C35)*100</f>
        <v>2.6143790849673203</v>
      </c>
      <c r="C34" s="103">
        <f>(Gender!BB35/'Total 1st Prof'!D35)*100</f>
        <v>2.4096385542168677</v>
      </c>
      <c r="D34" s="103">
        <f>(Gender!BC35/'Total 1st Prof'!E35)*100</f>
        <v>2.7932960893854748</v>
      </c>
      <c r="E34" s="103">
        <f>(Gender!BD35/'Total 1st Prof'!F35)*100</f>
        <v>4.4052863436123353</v>
      </c>
      <c r="F34" s="103">
        <f>(Gender!BE35/'Total 1st Prof'!G35)*100</f>
        <v>5.0505050505050502</v>
      </c>
      <c r="G34" s="103">
        <f>(Gender!BF35/'Total 1st Prof'!H35)*100</f>
        <v>9.4420600858369106</v>
      </c>
      <c r="H34" s="103">
        <f>(Gender!BG35/'Total 1st Prof'!I35)*100</f>
        <v>13.227513227513226</v>
      </c>
      <c r="I34" s="103">
        <f>(Gender!BH35/'Total 1st Prof'!J35)*100</f>
        <v>12.694300518134716</v>
      </c>
      <c r="J34" s="103">
        <f>(Gender!BI35/'Total 1st Prof'!K35)*100</f>
        <v>13.09192200557103</v>
      </c>
      <c r="K34" s="103">
        <f>(Gender!BJ35/'Total 1st Prof'!L35)*100</f>
        <v>15.868263473053892</v>
      </c>
      <c r="L34" s="103">
        <f>(Gender!BK35/'Total 1st Prof'!M35)*100</f>
        <v>17.520215633423181</v>
      </c>
      <c r="M34" s="103">
        <f>(Gender!BL35/'Total 1st Prof'!N35)*100</f>
        <v>16.388888888888889</v>
      </c>
      <c r="N34" s="103">
        <f>(Gender!BM35/'Total 1st Prof'!O35)*100</f>
        <v>16.223404255319149</v>
      </c>
      <c r="O34" s="103">
        <f>(Gender!BN35/'Total 1st Prof'!P35)*100</f>
        <v>21.98952879581152</v>
      </c>
      <c r="P34" s="103">
        <f>(Gender!BO35/'Total 1st Prof'!Q35)*100</f>
        <v>21.59383033419023</v>
      </c>
      <c r="Q34" s="103">
        <f>(Gender!BP35/'Total 1st Prof'!R35)*100</f>
        <v>22.955145118733508</v>
      </c>
      <c r="R34" s="103">
        <f>(Gender!BQ35/'Total 1st Prof'!S35)*100</f>
        <v>24.099722991689752</v>
      </c>
      <c r="S34" s="103">
        <f>(Gender!BR35/'Total 1st Prof'!T35)*100</f>
        <v>25.753424657534246</v>
      </c>
      <c r="T34" s="102">
        <f>(Gender!BS35/'Total 1st Prof'!U35)*100</f>
        <v>28.571428571428569</v>
      </c>
      <c r="U34" s="103">
        <f>(Gender!BT35/'Total 1st Prof'!V35)*100</f>
        <v>23.404255319148938</v>
      </c>
      <c r="V34" s="103">
        <f>(Gender!BU35/'Total 1st Prof'!W35)*100</f>
        <v>28.684210526315791</v>
      </c>
      <c r="W34" s="103">
        <f>(Gender!BV35/'Total 1st Prof'!X35)*100</f>
        <v>23.759791122715406</v>
      </c>
      <c r="X34" s="103">
        <f>(Gender!BW35/'Total 1st Prof'!Y35)*100</f>
        <v>27.472527472527474</v>
      </c>
      <c r="Y34" s="103">
        <f>(Gender!BX35/'Total 1st Prof'!Z35)*100</f>
        <v>32.731958762886599</v>
      </c>
      <c r="Z34" s="103">
        <f>(Gender!BY35/'Total 1st Prof'!AA35)*100</f>
        <v>32.970027247956402</v>
      </c>
      <c r="AA34" s="103">
        <f>(Gender!BZ35/'Total 1st Prof'!AB35)*100</f>
        <v>36.997319034852552</v>
      </c>
      <c r="AB34" s="103">
        <f>(Gender!CA35/'Total 1st Prof'!AC35)*100</f>
        <v>32.368421052631582</v>
      </c>
      <c r="AC34" s="103">
        <f>(Gender!CB35/'Total 1st Prof'!AD35)*100</f>
        <v>35.969387755102041</v>
      </c>
      <c r="AD34" s="103">
        <f>(Gender!CC35/'Total 1st Prof'!AE35)*100</f>
        <v>35.092348284960423</v>
      </c>
      <c r="AE34" s="103">
        <f>(Gender!CD35/'Total 1st Prof'!AF35)*100</f>
        <v>34.530386740331494</v>
      </c>
      <c r="AF34" s="103">
        <f>(Gender!CE35/'Total 1st Prof'!AG35)*100</f>
        <v>35.078534031413611</v>
      </c>
      <c r="AG34" s="103">
        <f>(Gender!CF35/'Total 1st Prof'!AH35)*100</f>
        <v>34.883720930232556</v>
      </c>
      <c r="AH34" s="103">
        <f>(Gender!CG35/'Total 1st Prof'!AI35)*100</f>
        <v>36.132315521628499</v>
      </c>
      <c r="AI34" s="103">
        <f>(Gender!CH35/'Total 1st Prof'!AJ35)*100</f>
        <v>35.609756097560975</v>
      </c>
      <c r="AJ34" s="103">
        <f>(Gender!CI35/'Total 1st Prof'!AK35)*100</f>
        <v>38.70192307692308</v>
      </c>
      <c r="AK34" s="103">
        <f>(Gender!CJ35/'Total 1st Prof'!AL35)*100</f>
        <v>35.460992907801419</v>
      </c>
      <c r="AL34" s="103">
        <f>(Gender!CK35/'Total 1st Prof'!AM35)*100</f>
        <v>41.801385681293304</v>
      </c>
      <c r="AM34" s="103">
        <f>(Gender!CL35/'Total 1st Prof'!AN35)*100</f>
        <v>37.323943661971832</v>
      </c>
      <c r="AN34" s="103">
        <f>(Gender!CM35/'Total 1st Prof'!AO35)*100</f>
        <v>37.735849056603776</v>
      </c>
      <c r="AO34" s="103">
        <f>(Gender!CN35/'Total 1st Prof'!AP35)*100</f>
        <v>42.802303262955853</v>
      </c>
      <c r="AP34" s="103">
        <f>(Gender!CO35/'Total 1st Prof'!AQ35)*100</f>
        <v>38.677354709418836</v>
      </c>
      <c r="AQ34" s="103">
        <f>(Gender!CP35/'Total 1st Prof'!AR35)*100</f>
        <v>42.534722222222221</v>
      </c>
      <c r="AR34" s="103">
        <f>(Gender!CQ35/'Total 1st Prof'!AS35)*100</f>
        <v>43.714821763602252</v>
      </c>
      <c r="AS34" s="103">
        <f>(Gender!CR35/'Total 1st Prof'!AT35)*100</f>
        <v>42.881355932203391</v>
      </c>
      <c r="AT34" s="103">
        <f>(Gender!CS35/'Total 1st Prof'!AU35)*100</f>
        <v>46.945898778359513</v>
      </c>
      <c r="AU34" s="103">
        <f>(Gender!CT35/'Total 1st Prof'!AV35)*100</f>
        <v>46.099290780141843</v>
      </c>
      <c r="AV34" s="103">
        <f>(Gender!CU35/'Total 1st Prof'!AW35)*100</f>
        <v>46.010186757215621</v>
      </c>
      <c r="AW34" s="103">
        <f>(Gender!CV35/'Total 1st Prof'!AX35)*100</f>
        <v>49.611197511664074</v>
      </c>
      <c r="AX34" s="103">
        <f>(Gender!CW35/'Total 1st Prof'!AY35)*100</f>
        <v>48.281505728314237</v>
      </c>
      <c r="AY34" s="103">
        <f>(Gender!CX35/'Total 1st Prof'!AZ35)*100</f>
        <v>48.148148148148145</v>
      </c>
      <c r="AZ34" s="103">
        <f>(Gender!CY35/'Total 1st Prof'!BA35)*100</f>
        <v>47.78393351800554</v>
      </c>
    </row>
    <row r="35" spans="1:52" ht="12.75">
      <c r="A35" s="77" t="s">
        <v>48</v>
      </c>
      <c r="B35" s="102">
        <f>(Gender!BA36/'Total 1st Prof'!C36)*100</f>
        <v>4.6242774566473983</v>
      </c>
      <c r="C35" s="103">
        <f>(Gender!BB36/'Total 1st Prof'!D36)*100</f>
        <v>6.7183462532299743</v>
      </c>
      <c r="D35" s="103">
        <f>(Gender!BC36/'Total 1st Prof'!E36)*100</f>
        <v>6.3660477453580899</v>
      </c>
      <c r="E35" s="103">
        <f>(Gender!BD36/'Total 1st Prof'!F36)*100</f>
        <v>5.0583657587548636</v>
      </c>
      <c r="F35" s="103">
        <f>(Gender!BE36/'Total 1st Prof'!G36)*100</f>
        <v>10.948905109489052</v>
      </c>
      <c r="G35" s="103">
        <f>(Gender!BF36/'Total 1st Prof'!H36)*100</f>
        <v>11.815920398009951</v>
      </c>
      <c r="H35" s="103">
        <f>(Gender!BG36/'Total 1st Prof'!I36)*100</f>
        <v>14.241164241164242</v>
      </c>
      <c r="I35" s="103">
        <f>(Gender!BH36/'Total 1st Prof'!J36)*100</f>
        <v>17.8125</v>
      </c>
      <c r="J35" s="103">
        <f>(Gender!BI36/'Total 1st Prof'!K36)*100</f>
        <v>19.786614936954415</v>
      </c>
      <c r="K35" s="103">
        <f>(Gender!BJ36/'Total 1st Prof'!L36)*100</f>
        <v>22.551928783382788</v>
      </c>
      <c r="L35" s="103">
        <f>(Gender!BK36/'Total 1st Prof'!M36)*100</f>
        <v>23.66167023554604</v>
      </c>
      <c r="M35" s="103">
        <f>(Gender!BL36/'Total 1st Prof'!N36)*100</f>
        <v>28.330019880715707</v>
      </c>
      <c r="N35" s="103">
        <f>(Gender!BM36/'Total 1st Prof'!O36)*100</f>
        <v>31.601731601731604</v>
      </c>
      <c r="O35" s="103">
        <f>(Gender!BN36/'Total 1st Prof'!P36)*100</f>
        <v>30.019685039370081</v>
      </c>
      <c r="P35" s="103">
        <f>(Gender!BO36/'Total 1st Prof'!Q36)*100</f>
        <v>36.967808930425754</v>
      </c>
      <c r="Q35" s="103">
        <f>(Gender!BP36/'Total 1st Prof'!R36)*100</f>
        <v>39.1</v>
      </c>
      <c r="R35" s="103">
        <f>(Gender!BQ36/'Total 1st Prof'!S36)*100</f>
        <v>39.647577092511014</v>
      </c>
      <c r="S35" s="103">
        <f>(Gender!BR36/'Total 1st Prof'!T36)*100</f>
        <v>40.621531631520533</v>
      </c>
      <c r="T35" s="102">
        <f>(Gender!BS36/'Total 1st Prof'!U36)*100</f>
        <v>42.873051224944319</v>
      </c>
      <c r="U35" s="103">
        <f>(Gender!BT36/'Total 1st Prof'!V36)*100</f>
        <v>41.532756489493202</v>
      </c>
      <c r="V35" s="103">
        <f>(Gender!BU36/'Total 1st Prof'!W36)*100</f>
        <v>42.72300469483568</v>
      </c>
      <c r="W35" s="103">
        <f>(Gender!BV36/'Total 1st Prof'!X36)*100</f>
        <v>43.38942307692308</v>
      </c>
      <c r="X35" s="103">
        <f>(Gender!BW36/'Total 1st Prof'!Y36)*100</f>
        <v>44.920993227990969</v>
      </c>
      <c r="Y35" s="103">
        <f>(Gender!BX36/'Total 1st Prof'!Z36)*100</f>
        <v>44.130434782608695</v>
      </c>
      <c r="Z35" s="103">
        <f>(Gender!BY36/'Total 1st Prof'!AA36)*100</f>
        <v>46.187363834422655</v>
      </c>
      <c r="AA35" s="103">
        <f>(Gender!BZ36/'Total 1st Prof'!AB36)*100</f>
        <v>45.764576457645767</v>
      </c>
      <c r="AB35" s="103">
        <f>(Gender!CA36/'Total 1st Prof'!AC36)*100</f>
        <v>47.90547798066595</v>
      </c>
      <c r="AC35" s="103">
        <f>(Gender!CB36/'Total 1st Prof'!AD36)*100</f>
        <v>48.140276301806587</v>
      </c>
      <c r="AD35" s="103">
        <f>(Gender!CC36/'Total 1st Prof'!AE36)*100</f>
        <v>46.535677352637023</v>
      </c>
      <c r="AE35" s="103">
        <f>(Gender!CD36/'Total 1st Prof'!AF36)*100</f>
        <v>53.468208092485547</v>
      </c>
      <c r="AF35" s="103">
        <f>(Gender!CE36/'Total 1st Prof'!AG36)*100</f>
        <v>55.16279069767441</v>
      </c>
      <c r="AG35" s="103">
        <f>(Gender!CF36/'Total 1st Prof'!AH36)*100</f>
        <v>57.734573119188504</v>
      </c>
      <c r="AH35" s="103">
        <f>(Gender!CG36/'Total 1st Prof'!AI36)*100</f>
        <v>55.267558528428097</v>
      </c>
      <c r="AI35" s="103">
        <f>(Gender!CH36/'Total 1st Prof'!AJ36)*100</f>
        <v>54.597701149425291</v>
      </c>
      <c r="AJ35" s="103">
        <f>(Gender!CI36/'Total 1st Prof'!AK36)*100</f>
        <v>52.820512820512825</v>
      </c>
      <c r="AK35" s="103">
        <f>(Gender!CJ36/'Total 1st Prof'!AL36)*100</f>
        <v>56.890198968312454</v>
      </c>
      <c r="AL35" s="103">
        <f>(Gender!CK36/'Total 1st Prof'!AM36)*100</f>
        <v>59.152798789712556</v>
      </c>
      <c r="AM35" s="103">
        <f>(Gender!CL36/'Total 1st Prof'!AN36)*100</f>
        <v>56.706408345752614</v>
      </c>
      <c r="AN35" s="103">
        <f>(Gender!CM36/'Total 1st Prof'!AO36)*100</f>
        <v>58.724340175953081</v>
      </c>
      <c r="AO35" s="103">
        <f>(Gender!CN36/'Total 1st Prof'!AP36)*100</f>
        <v>56.207674943566587</v>
      </c>
      <c r="AP35" s="103">
        <f>(Gender!CO36/'Total 1st Prof'!AQ36)*100</f>
        <v>58.21114369501467</v>
      </c>
      <c r="AQ35" s="103">
        <f>(Gender!CP36/'Total 1st Prof'!AR36)*100</f>
        <v>57.664233576642332</v>
      </c>
      <c r="AR35" s="103">
        <f>(Gender!CQ36/'Total 1st Prof'!AS36)*100</f>
        <v>55.436957971981315</v>
      </c>
      <c r="AS35" s="103">
        <f>(Gender!CR36/'Total 1st Prof'!AT36)*100</f>
        <v>56.554054054054056</v>
      </c>
      <c r="AT35" s="103">
        <f>(Gender!CS36/'Total 1st Prof'!AU36)*100</f>
        <v>54.489795918367342</v>
      </c>
      <c r="AU35" s="103">
        <f>(Gender!CT36/'Total 1st Prof'!AV36)*100</f>
        <v>56.06276747503567</v>
      </c>
      <c r="AV35" s="103">
        <f>(Gender!CU36/'Total 1st Prof'!AW36)*100</f>
        <v>56.546355272469917</v>
      </c>
      <c r="AW35" s="103">
        <f>(Gender!CV36/'Total 1st Prof'!AX36)*100</f>
        <v>58.562793821356621</v>
      </c>
      <c r="AX35" s="103">
        <f>(Gender!CW36/'Total 1st Prof'!AY36)*100</f>
        <v>55.365371955233712</v>
      </c>
      <c r="AY35" s="103">
        <f>(Gender!CX36/'Total 1st Prof'!AZ36)*100</f>
        <v>61.41781681304893</v>
      </c>
      <c r="AZ35" s="103">
        <f>(Gender!CY36/'Total 1st Prof'!BA36)*100</f>
        <v>62.911923307369676</v>
      </c>
    </row>
    <row r="36" spans="1:52" ht="12.75">
      <c r="A36" s="79" t="s">
        <v>49</v>
      </c>
      <c r="B36" s="104">
        <f>(Gender!BA37/'Total 1st Prof'!C37)*100</f>
        <v>0</v>
      </c>
      <c r="C36" s="105">
        <f>(Gender!BB37/'Total 1st Prof'!D37)*100</f>
        <v>2.9411764705882351</v>
      </c>
      <c r="D36" s="105">
        <f>(Gender!BC37/'Total 1st Prof'!E37)*100</f>
        <v>2.5</v>
      </c>
      <c r="E36" s="105">
        <f>(Gender!BD37/'Total 1st Prof'!F37)*100</f>
        <v>9.0909090909090917</v>
      </c>
      <c r="F36" s="105">
        <f>(Gender!BE37/'Total 1st Prof'!G37)*100</f>
        <v>8.235294117647058</v>
      </c>
      <c r="G36" s="105">
        <f>(Gender!BF37/'Total 1st Prof'!H37)*100</f>
        <v>6.557377049180328</v>
      </c>
      <c r="H36" s="105">
        <f>(Gender!BG37/'Total 1st Prof'!I37)*100</f>
        <v>16.129032258064516</v>
      </c>
      <c r="I36" s="105">
        <f>(Gender!BH37/'Total 1st Prof'!J37)*100</f>
        <v>22.857142857142858</v>
      </c>
      <c r="J36" s="105">
        <f>(Gender!BI37/'Total 1st Prof'!K37)*100</f>
        <v>25.423728813559322</v>
      </c>
      <c r="K36" s="105">
        <f>(Gender!BJ37/'Total 1st Prof'!L37)*100</f>
        <v>26.47058823529412</v>
      </c>
      <c r="L36" s="105">
        <f>(Gender!BK37/'Total 1st Prof'!M37)*100</f>
        <v>20</v>
      </c>
      <c r="M36" s="105">
        <f>(Gender!BL37/'Total 1st Prof'!N37)*100</f>
        <v>23.809523809523807</v>
      </c>
      <c r="N36" s="105">
        <f>(Gender!BM37/'Total 1st Prof'!O37)*100</f>
        <v>36.666666666666664</v>
      </c>
      <c r="O36" s="105">
        <f>(Gender!BN37/'Total 1st Prof'!P37)*100</f>
        <v>27.941176470588236</v>
      </c>
      <c r="P36" s="105">
        <f>(Gender!BO37/'Total 1st Prof'!Q37)*100</f>
        <v>16.949152542372879</v>
      </c>
      <c r="Q36" s="105">
        <f>(Gender!BP37/'Total 1st Prof'!R37)*100</f>
        <v>25.409836065573771</v>
      </c>
      <c r="R36" s="105">
        <f>(Gender!BQ37/'Total 1st Prof'!S37)*100</f>
        <v>36.764705882352942</v>
      </c>
      <c r="S36" s="105">
        <f>(Gender!BR37/'Total 1st Prof'!T37)*100</f>
        <v>35.593220338983052</v>
      </c>
      <c r="T36" s="104">
        <f>(Gender!BS37/'Total 1st Prof'!U37)*100</f>
        <v>33.333333333333329</v>
      </c>
      <c r="U36" s="105">
        <f>(Gender!BT37/'Total 1st Prof'!V37)*100</f>
        <v>40.350877192982452</v>
      </c>
      <c r="V36" s="105">
        <f>(Gender!BU37/'Total 1st Prof'!W37)*100</f>
        <v>23.880597014925371</v>
      </c>
      <c r="W36" s="105">
        <f>(Gender!BV37/'Total 1st Prof'!X37)*100</f>
        <v>32.857142857142854</v>
      </c>
      <c r="X36" s="105">
        <f>(Gender!BW37/'Total 1st Prof'!Y37)*100</f>
        <v>43.75</v>
      </c>
      <c r="Y36" s="105">
        <f>(Gender!BX37/'Total 1st Prof'!Z37)*100</f>
        <v>42.028985507246375</v>
      </c>
      <c r="Z36" s="105">
        <f>(Gender!BY37/'Total 1st Prof'!AA37)*100</f>
        <v>39.393939393939391</v>
      </c>
      <c r="AA36" s="105">
        <f>(Gender!BZ37/'Total 1st Prof'!AB37)*100</f>
        <v>50</v>
      </c>
      <c r="AB36" s="105">
        <f>(Gender!CA37/'Total 1st Prof'!AC37)*100</f>
        <v>37.179487179487182</v>
      </c>
      <c r="AC36" s="105">
        <f>(Gender!CB37/'Total 1st Prof'!AD37)*100</f>
        <v>42.647058823529413</v>
      </c>
      <c r="AD36" s="105">
        <f>(Gender!CC37/'Total 1st Prof'!AE37)*100</f>
        <v>48.333333333333336</v>
      </c>
      <c r="AE36" s="105">
        <f>(Gender!CD37/'Total 1st Prof'!AF37)*100</f>
        <v>42.424242424242422</v>
      </c>
      <c r="AF36" s="105">
        <f>(Gender!CE37/'Total 1st Prof'!AG37)*100</f>
        <v>46.218487394957982</v>
      </c>
      <c r="AG36" s="105">
        <f>(Gender!CF37/'Total 1st Prof'!AH37)*100</f>
        <v>44.915254237288138</v>
      </c>
      <c r="AH36" s="105">
        <f>(Gender!CG37/'Total 1st Prof'!AI37)*100</f>
        <v>52.459016393442624</v>
      </c>
      <c r="AI36" s="105">
        <f>(Gender!CH37/'Total 1st Prof'!AJ37)*100</f>
        <v>45.192307692307693</v>
      </c>
      <c r="AJ36" s="105">
        <f>(Gender!CI37/'Total 1st Prof'!AK37)*100</f>
        <v>50.381679389312971</v>
      </c>
      <c r="AK36" s="105">
        <f>(Gender!CJ37/'Total 1st Prof'!AL37)*100</f>
        <v>48.8</v>
      </c>
      <c r="AL36" s="105">
        <f>(Gender!CK37/'Total 1st Prof'!AM37)*100</f>
        <v>41.379310344827587</v>
      </c>
      <c r="AM36" s="105">
        <f>(Gender!CL37/'Total 1st Prof'!AN37)*100</f>
        <v>47.457627118644069</v>
      </c>
      <c r="AN36" s="105">
        <f>(Gender!CM37/'Total 1st Prof'!AO37)*100</f>
        <v>53.846153846153847</v>
      </c>
      <c r="AO36" s="105">
        <f>(Gender!CN37/'Total 1st Prof'!AP37)*100</f>
        <v>52.671755725190842</v>
      </c>
      <c r="AP36" s="105">
        <f>(Gender!CO37/'Total 1st Prof'!AQ37)*100</f>
        <v>53.63636363636364</v>
      </c>
      <c r="AQ36" s="105">
        <f>(Gender!CP37/'Total 1st Prof'!AR37)*100</f>
        <v>47.967479674796749</v>
      </c>
      <c r="AR36" s="105">
        <f>(Gender!CQ37/'Total 1st Prof'!AS37)*100</f>
        <v>52</v>
      </c>
      <c r="AS36" s="105">
        <f>(Gender!CR37/'Total 1st Prof'!AT37)*100</f>
        <v>50.847457627118644</v>
      </c>
      <c r="AT36" s="105">
        <f>(Gender!CS37/'Total 1st Prof'!AU37)*100</f>
        <v>46.956521739130437</v>
      </c>
      <c r="AU36" s="105">
        <f>(Gender!CT37/'Total 1st Prof'!AV37)*100</f>
        <v>48.837209302325576</v>
      </c>
      <c r="AV36" s="105">
        <f>(Gender!CU37/'Total 1st Prof'!AW37)*100</f>
        <v>47.863247863247864</v>
      </c>
      <c r="AW36" s="105">
        <f>(Gender!CV37/'Total 1st Prof'!AX37)*100</f>
        <v>57.936507936507944</v>
      </c>
      <c r="AX36" s="105">
        <f>(Gender!CW37/'Total 1st Prof'!AY37)*100</f>
        <v>56.375838926174495</v>
      </c>
      <c r="AY36" s="105">
        <f>(Gender!CX37/'Total 1st Prof'!AZ37)*100</f>
        <v>59.848484848484851</v>
      </c>
      <c r="AZ36" s="105">
        <f>(Gender!CY37/'Total 1st Prof'!BA37)*100</f>
        <v>53.913043478260867</v>
      </c>
    </row>
    <row r="37" spans="1:52" ht="12.75">
      <c r="A37" s="77" t="s">
        <v>50</v>
      </c>
      <c r="B37" s="83">
        <f>(Gender!BA38/'Total 1st Prof'!C38)*100</f>
        <v>4.4670245398773005</v>
      </c>
      <c r="C37" s="84">
        <f>(Gender!BB38/'Total 1st Prof'!D38)*100</f>
        <v>5.1420085390755519</v>
      </c>
      <c r="D37" s="84">
        <f>(Gender!BC38/'Total 1st Prof'!E38)*100</f>
        <v>4.8766352045040566</v>
      </c>
      <c r="E37" s="84">
        <f>(Gender!BD38/'Total 1st Prof'!F38)*100</f>
        <v>5.7733675664423005</v>
      </c>
      <c r="F37" s="84">
        <f>(Gender!BE38/'Total 1st Prof'!G38)*100</f>
        <v>7.861309138042774</v>
      </c>
      <c r="G37" s="84">
        <f>(Gender!BF38/'Total 1st Prof'!H38)*100</f>
        <v>10.476014305093106</v>
      </c>
      <c r="H37" s="84">
        <f>(Gender!BG38/'Total 1st Prof'!I38)*100</f>
        <v>12.969853853206063</v>
      </c>
      <c r="I37" s="84">
        <f>(Gender!BH38/'Total 1st Prof'!J38)*100</f>
        <v>16.197258513600342</v>
      </c>
      <c r="J37" s="84">
        <f>(Gender!BI38/'Total 1st Prof'!K38)*100</f>
        <v>18.616053376465828</v>
      </c>
      <c r="K37" s="84">
        <f>(Gender!BJ38/'Total 1st Prof'!L38)*100</f>
        <v>20.673457278481013</v>
      </c>
      <c r="L37" s="84">
        <f>(Gender!BK38/'Total 1st Prof'!M38)*100</f>
        <v>22.419631901840493</v>
      </c>
      <c r="M37" s="84">
        <f>(Gender!BL38/'Total 1st Prof'!N38)*100</f>
        <v>23.708687908173363</v>
      </c>
      <c r="N37" s="84">
        <f>(Gender!BM38/'Total 1st Prof'!O38)*100</f>
        <v>25.49628097138072</v>
      </c>
      <c r="O37" s="84">
        <f>(Gender!BN38/'Total 1st Prof'!P38)*100</f>
        <v>26.702665888305116</v>
      </c>
      <c r="P37" s="84">
        <f>(Gender!BO38/'Total 1st Prof'!Q38)*100</f>
        <v>27.861708309122601</v>
      </c>
      <c r="Q37" s="84">
        <f>(Gender!BP38/'Total 1st Prof'!R38)*100</f>
        <v>29.983769333587933</v>
      </c>
      <c r="R37" s="84">
        <f>(Gender!BQ38/'Total 1st Prof'!S38)*100</f>
        <v>30.732275440384338</v>
      </c>
      <c r="S37" s="84">
        <f>(Gender!BR38/'Total 1st Prof'!T38)*100</f>
        <v>31.411940452274251</v>
      </c>
      <c r="T37" s="83">
        <f>(Gender!BS38/'Total 1st Prof'!U38)*100</f>
        <v>32.878992820726246</v>
      </c>
      <c r="U37" s="84">
        <f>(Gender!BT38/'Total 1st Prof'!V38)*100</f>
        <v>33.213147306265348</v>
      </c>
      <c r="V37" s="84">
        <f>(Gender!BU38/'Total 1st Prof'!W38)*100</f>
        <v>34.901836938786253</v>
      </c>
      <c r="W37" s="84">
        <f>(Gender!BV38/'Total 1st Prof'!X38)*100</f>
        <v>36.379677201722977</v>
      </c>
      <c r="X37" s="84">
        <f>(Gender!BW38/'Total 1st Prof'!Y38)*100</f>
        <v>36.759918616480164</v>
      </c>
      <c r="Y37" s="84">
        <f>(Gender!BX38/'Total 1st Prof'!Z38)*100</f>
        <v>37.949902113347719</v>
      </c>
      <c r="Z37" s="84">
        <f>(Gender!BY38/'Total 1st Prof'!AA38)*100</f>
        <v>39.350675744334922</v>
      </c>
      <c r="AA37" s="84">
        <f>(Gender!BZ38/'Total 1st Prof'!AB38)*100</f>
        <v>40.131308986458762</v>
      </c>
      <c r="AB37" s="84">
        <f>(Gender!CA38/'Total 1st Prof'!AC38)*100</f>
        <v>40.398434015560731</v>
      </c>
      <c r="AC37" s="84">
        <f>(Gender!CB38/'Total 1st Prof'!AD38)*100</f>
        <v>40.478569287641122</v>
      </c>
      <c r="AD37" s="84">
        <f>(Gender!CC38/'Total 1st Prof'!AE38)*100</f>
        <v>41.43608053158782</v>
      </c>
      <c r="AE37" s="84">
        <f>(Gender!CD38/'Total 1st Prof'!AF38)*100</f>
        <v>42.058765137978952</v>
      </c>
      <c r="AF37" s="84">
        <f>(Gender!CE38/'Total 1st Prof'!AG38)*100</f>
        <v>43.107919409535207</v>
      </c>
      <c r="AG37" s="84">
        <f>(Gender!CF38/'Total 1st Prof'!AH38)*100</f>
        <v>44.859813084112147</v>
      </c>
      <c r="AH37" s="84">
        <f>(Gender!CG38/'Total 1st Prof'!AI38)*100</f>
        <v>45.461276469717163</v>
      </c>
      <c r="AI37" s="84">
        <f>(Gender!CH38/'Total 1st Prof'!AJ38)*100</f>
        <v>45.656805906545763</v>
      </c>
      <c r="AJ37" s="84">
        <f>(Gender!CI38/'Total 1st Prof'!AK38)*100</f>
        <v>47.103371762095414</v>
      </c>
      <c r="AK37" s="84">
        <f>(Gender!CJ38/'Total 1st Prof'!AL38)*100</f>
        <v>47.482868889904069</v>
      </c>
      <c r="AL37" s="84">
        <f>(Gender!CK38/'Total 1st Prof'!AM38)*100</f>
        <v>48.316902033928407</v>
      </c>
      <c r="AM37" s="84">
        <f>(Gender!CL38/'Total 1st Prof'!AN38)*100</f>
        <v>48.054457996907743</v>
      </c>
      <c r="AN37" s="84">
        <f>(Gender!CM38/'Total 1st Prof'!AO38)*100</f>
        <v>49.671451889674799</v>
      </c>
      <c r="AO37" s="84">
        <f>(Gender!CN38/'Total 1st Prof'!AP38)*100</f>
        <v>50.773753623780159</v>
      </c>
      <c r="AP37" s="84">
        <f>(Gender!CO38/'Total 1st Prof'!AQ38)*100</f>
        <v>52.552635744815582</v>
      </c>
      <c r="AQ37" s="84">
        <f>(Gender!CP38/'Total 1st Prof'!AR38)*100</f>
        <v>51.651594839002613</v>
      </c>
      <c r="AR37" s="84">
        <f>(Gender!CQ38/'Total 1st Prof'!AS38)*100</f>
        <v>51.843875160583387</v>
      </c>
      <c r="AS37" s="84">
        <f>(Gender!CR38/'Total 1st Prof'!AT38)*100</f>
        <v>51.934895154381913</v>
      </c>
      <c r="AT37" s="84">
        <f>(Gender!CS38/'Total 1st Prof'!AU38)*100</f>
        <v>52.454518117576313</v>
      </c>
      <c r="AU37" s="84">
        <f>(Gender!CT38/'Total 1st Prof'!AV38)*100</f>
        <v>53.417036313059164</v>
      </c>
      <c r="AV37" s="84">
        <f>(Gender!CU38/'Total 1st Prof'!AW38)*100</f>
        <v>54.40674717270462</v>
      </c>
      <c r="AW37" s="84">
        <f>(Gender!CV38/'Total 1st Prof'!AX38)*100</f>
        <v>54.993397472175062</v>
      </c>
      <c r="AX37" s="84">
        <f>(Gender!CW38/'Total 1st Prof'!AY38)*100</f>
        <v>55.650264274547759</v>
      </c>
      <c r="AY37" s="84">
        <f>(Gender!CX38/'Total 1st Prof'!AZ38)*100</f>
        <v>55.795314426633794</v>
      </c>
      <c r="AZ37" s="84">
        <f>(Gender!CY38/'Total 1st Prof'!BA38)*100</f>
        <v>57.501721825497519</v>
      </c>
    </row>
    <row r="38" spans="1:52" ht="12.75">
      <c r="A38" s="78"/>
      <c r="B38" s="85"/>
      <c r="C38" s="86"/>
      <c r="D38" s="86"/>
      <c r="E38" s="86"/>
      <c r="F38" s="86"/>
      <c r="G38" s="86"/>
      <c r="H38" s="86"/>
      <c r="I38" s="86"/>
      <c r="J38" s="86"/>
      <c r="K38" s="86"/>
      <c r="L38" s="86"/>
      <c r="M38" s="86"/>
      <c r="N38" s="86"/>
      <c r="O38" s="86"/>
      <c r="P38" s="86"/>
      <c r="Q38" s="86"/>
      <c r="R38" s="86"/>
      <c r="S38" s="86"/>
      <c r="T38" s="85"/>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101"/>
      <c r="AS38" s="101"/>
      <c r="AT38" s="101"/>
      <c r="AU38" s="101"/>
      <c r="AV38" s="101"/>
      <c r="AW38" s="101"/>
      <c r="AX38" s="101"/>
      <c r="AY38" s="101"/>
      <c r="AZ38" s="101"/>
    </row>
    <row r="39" spans="1:52" ht="12.75">
      <c r="A39" s="77" t="s">
        <v>51</v>
      </c>
      <c r="B39" s="102">
        <f>(Gender!BA40/'Total 1st Prof'!C40)*100</f>
        <v>5.1464063886424132</v>
      </c>
      <c r="C39" s="103">
        <f>(Gender!BB40/'Total 1st Prof'!D40)*100</f>
        <v>6.33888663145063</v>
      </c>
      <c r="D39" s="103">
        <f>(Gender!BC40/'Total 1st Prof'!E40)*100</f>
        <v>4.8728813559322033</v>
      </c>
      <c r="E39" s="103">
        <f>(Gender!BD40/'Total 1st Prof'!F40)*100</f>
        <v>6.8998716302952499</v>
      </c>
      <c r="F39" s="103">
        <f>(Gender!BE40/'Total 1st Prof'!G40)*100</f>
        <v>9.0225563909774422</v>
      </c>
      <c r="G39" s="103">
        <f>(Gender!BF40/'Total 1st Prof'!H40)*100</f>
        <v>10.134949049848526</v>
      </c>
      <c r="H39" s="103">
        <f>(Gender!BG40/'Total 1st Prof'!I40)*100</f>
        <v>13.725950258094791</v>
      </c>
      <c r="I39" s="103">
        <f>(Gender!BH40/'Total 1st Prof'!J40)*100</f>
        <v>16.183280526444065</v>
      </c>
      <c r="J39" s="103">
        <f>(Gender!BI40/'Total 1st Prof'!K40)*100</f>
        <v>18.544044798621581</v>
      </c>
      <c r="K39" s="103">
        <f>(Gender!BJ40/'Total 1st Prof'!L40)*100</f>
        <v>22.162740899357601</v>
      </c>
      <c r="L39" s="103">
        <f>(Gender!BK40/'Total 1st Prof'!M40)*100</f>
        <v>23.676081200353043</v>
      </c>
      <c r="M39" s="103">
        <f>(Gender!BL40/'Total 1st Prof'!N40)*100</f>
        <v>24.938492507269068</v>
      </c>
      <c r="N39" s="103">
        <f>(Gender!BM40/'Total 1st Prof'!O40)*100</f>
        <v>25.214144520096639</v>
      </c>
      <c r="O39" s="103">
        <f>(Gender!BN40/'Total 1st Prof'!P40)*100</f>
        <v>26.544315129811995</v>
      </c>
      <c r="P39" s="103">
        <f>(Gender!BO40/'Total 1st Prof'!Q40)*100</f>
        <v>29.13299847128194</v>
      </c>
      <c r="Q39" s="103">
        <f>(Gender!BP40/'Total 1st Prof'!R40)*100</f>
        <v>31.416969437914084</v>
      </c>
      <c r="R39" s="103">
        <f>(Gender!BQ40/'Total 1st Prof'!S40)*100</f>
        <v>30.733743409490334</v>
      </c>
      <c r="S39" s="103">
        <f>(Gender!BR40/'Total 1st Prof'!T40)*100</f>
        <v>31.60984420862497</v>
      </c>
      <c r="T39" s="102">
        <f>(Gender!BS40/'Total 1st Prof'!U40)*100</f>
        <v>33.356305995864922</v>
      </c>
      <c r="U39" s="103">
        <f>(Gender!BT40/'Total 1st Prof'!V40)*100</f>
        <v>33.991825613079016</v>
      </c>
      <c r="V39" s="103">
        <f>(Gender!BU40/'Total 1st Prof'!W40)*100</f>
        <v>36.899365367180415</v>
      </c>
      <c r="W39" s="103">
        <f>(Gender!BV40/'Total 1st Prof'!X40)*100</f>
        <v>38.181411974977657</v>
      </c>
      <c r="X39" s="103">
        <f>(Gender!BW40/'Total 1st Prof'!Y40)*100</f>
        <v>37.671860678276808</v>
      </c>
      <c r="Y39" s="103">
        <f>(Gender!BX40/'Total 1st Prof'!Z40)*100</f>
        <v>38.299319727891159</v>
      </c>
      <c r="Z39" s="103">
        <f>(Gender!BY40/'Total 1st Prof'!AA40)*100</f>
        <v>41.657023837074753</v>
      </c>
      <c r="AA39" s="103">
        <f>(Gender!BZ40/'Total 1st Prof'!AB40)*100</f>
        <v>40.481651376146786</v>
      </c>
      <c r="AB39" s="103">
        <f>(Gender!CA40/'Total 1st Prof'!AC40)*100</f>
        <v>42.308522114347355</v>
      </c>
      <c r="AC39" s="103">
        <f>(Gender!CB40/'Total 1st Prof'!AD40)*100</f>
        <v>41.954412096592193</v>
      </c>
      <c r="AD39" s="103">
        <f>(Gender!CC40/'Total 1st Prof'!AE40)*100</f>
        <v>42.213842058562555</v>
      </c>
      <c r="AE39" s="103">
        <f>(Gender!CD40/'Total 1st Prof'!AF40)*100</f>
        <v>42.090145824127269</v>
      </c>
      <c r="AF39" s="103">
        <f>(Gender!CE40/'Total 1st Prof'!AG40)*100</f>
        <v>43.892617449664428</v>
      </c>
      <c r="AG39" s="103">
        <f>(Gender!CF40/'Total 1st Prof'!AH40)*100</f>
        <v>45.84725005566689</v>
      </c>
      <c r="AH39" s="103">
        <f>(Gender!CG40/'Total 1st Prof'!AI40)*100</f>
        <v>46.700733170406579</v>
      </c>
      <c r="AI39" s="103">
        <f>(Gender!CH40/'Total 1st Prof'!AJ40)*100</f>
        <v>45.72149575590732</v>
      </c>
      <c r="AJ39" s="103">
        <f>(Gender!CI40/'Total 1st Prof'!AK40)*100</f>
        <v>49.479873360470378</v>
      </c>
      <c r="AK39" s="103">
        <f>(Gender!CJ40/'Total 1st Prof'!AL40)*100</f>
        <v>49.005029521102124</v>
      </c>
      <c r="AL39" s="103">
        <f>(Gender!CK40/'Total 1st Prof'!AM40)*100</f>
        <v>48.988812392426851</v>
      </c>
      <c r="AM39" s="103">
        <f>(Gender!CL40/'Total 1st Prof'!AN40)*100</f>
        <v>48.753348444261277</v>
      </c>
      <c r="AN39" s="103">
        <f>(Gender!CM40/'Total 1st Prof'!AO40)*100</f>
        <v>49.536103267446549</v>
      </c>
      <c r="AO39" s="103">
        <f>(Gender!CN40/'Total 1st Prof'!AP40)*100</f>
        <v>51.937674790251698</v>
      </c>
      <c r="AP39" s="103">
        <f>(Gender!CO40/'Total 1st Prof'!AQ40)*100</f>
        <v>54.253611556982342</v>
      </c>
      <c r="AQ39" s="103">
        <f>(Gender!CP40/'Total 1st Prof'!AR40)*100</f>
        <v>52.835820895522389</v>
      </c>
      <c r="AR39" s="103">
        <f>(Gender!CQ40/'Total 1st Prof'!AS40)*100</f>
        <v>52.333397349721537</v>
      </c>
      <c r="AS39" s="103">
        <f>(Gender!CR40/'Total 1st Prof'!AT40)*100</f>
        <v>52.153110047846887</v>
      </c>
      <c r="AT39" s="103">
        <f>(Gender!CS40/'Total 1st Prof'!AU40)*100</f>
        <v>54.370564064251028</v>
      </c>
      <c r="AU39" s="103">
        <f>(Gender!CT40/'Total 1st Prof'!AV40)*100</f>
        <v>54.77260470968902</v>
      </c>
      <c r="AV39" s="103">
        <f>(Gender!CU40/'Total 1st Prof'!AW40)*100</f>
        <v>56.533192834562698</v>
      </c>
      <c r="AW39" s="103">
        <f>(Gender!CV40/'Total 1st Prof'!AX40)*100</f>
        <v>57.470858353938539</v>
      </c>
      <c r="AX39" s="103">
        <f>(Gender!CW40/'Total 1st Prof'!AY40)*100</f>
        <v>57.516105941302783</v>
      </c>
      <c r="AY39" s="103">
        <f>(Gender!CX40/'Total 1st Prof'!AZ40)*100</f>
        <v>58.736321920225912</v>
      </c>
      <c r="AZ39" s="103">
        <f>(Gender!CY40/'Total 1st Prof'!BA40)*100</f>
        <v>61.752506049083998</v>
      </c>
    </row>
    <row r="40" spans="1:52" ht="12.75">
      <c r="A40" s="77" t="s">
        <v>52</v>
      </c>
      <c r="B40" s="102">
        <f>(Gender!BA41/'Total 1st Prof'!C41)*100</f>
        <v>5.629139072847682</v>
      </c>
      <c r="C40" s="103">
        <f>(Gender!BB41/'Total 1st Prof'!D41)*100</f>
        <v>4.503464203233257</v>
      </c>
      <c r="D40" s="103">
        <f>(Gender!BC41/'Total 1st Prof'!E41)*100</f>
        <v>5.4101221640488655</v>
      </c>
      <c r="E40" s="103">
        <f>(Gender!BD41/'Total 1st Prof'!F41)*100</f>
        <v>6.5462753950338595</v>
      </c>
      <c r="F40" s="103">
        <f>(Gender!BE41/'Total 1st Prof'!G41)*100</f>
        <v>6.81981335247667</v>
      </c>
      <c r="G40" s="103">
        <f>(Gender!BF41/'Total 1st Prof'!H41)*100</f>
        <v>11.691542288557214</v>
      </c>
      <c r="H40" s="103">
        <f>(Gender!BG41/'Total 1st Prof'!I41)*100</f>
        <v>14.001530221882172</v>
      </c>
      <c r="I40" s="103">
        <f>(Gender!BH41/'Total 1st Prof'!J41)*100</f>
        <v>16.95827725437416</v>
      </c>
      <c r="J40" s="103">
        <f>(Gender!BI41/'Total 1st Prof'!K41)*100</f>
        <v>18.054630246502331</v>
      </c>
      <c r="K40" s="103">
        <f>(Gender!BJ41/'Total 1st Prof'!L41)*100</f>
        <v>20.336605890603085</v>
      </c>
      <c r="L40" s="103">
        <f>(Gender!BK41/'Total 1st Prof'!M41)*100</f>
        <v>23.661599471249172</v>
      </c>
      <c r="M40" s="103">
        <f>(Gender!BL41/'Total 1st Prof'!N41)*100</f>
        <v>21.287779237844941</v>
      </c>
      <c r="N40" s="103">
        <f>(Gender!BM41/'Total 1st Prof'!O41)*100</f>
        <v>23.487312947299934</v>
      </c>
      <c r="O40" s="103">
        <f>(Gender!BN41/'Total 1st Prof'!P41)*100</f>
        <v>26.495176848874596</v>
      </c>
      <c r="P40" s="103">
        <f>(Gender!BO41/'Total 1st Prof'!Q41)*100</f>
        <v>26.25077208153181</v>
      </c>
      <c r="Q40" s="103">
        <f>(Gender!BP41/'Total 1st Prof'!R41)*100</f>
        <v>29.579288025889966</v>
      </c>
      <c r="R40" s="103">
        <f>(Gender!BQ41/'Total 1st Prof'!S41)*100</f>
        <v>30.21680216802168</v>
      </c>
      <c r="S40" s="103">
        <f>(Gender!BR41/'Total 1st Prof'!T41)*100</f>
        <v>30.961791831357051</v>
      </c>
      <c r="T40" s="102">
        <f>(Gender!BS41/'Total 1st Prof'!U41)*100</f>
        <v>32.067510548523209</v>
      </c>
      <c r="U40" s="103">
        <f>(Gender!BT41/'Total 1st Prof'!V41)*100</f>
        <v>31.206657420249652</v>
      </c>
      <c r="V40" s="103">
        <f>(Gender!BU41/'Total 1st Prof'!W41)*100</f>
        <v>34.647887323943664</v>
      </c>
      <c r="W40" s="103">
        <f>(Gender!BV41/'Total 1st Prof'!X41)*100</f>
        <v>34.031791907514453</v>
      </c>
      <c r="X40" s="103">
        <f>(Gender!BW41/'Total 1st Prof'!Y41)*100</f>
        <v>37.037037037037038</v>
      </c>
      <c r="Y40" s="103">
        <f>(Gender!BX41/'Total 1st Prof'!Z41)*100</f>
        <v>37.700534759358291</v>
      </c>
      <c r="Z40" s="103">
        <f>(Gender!BY41/'Total 1st Prof'!AA41)*100</f>
        <v>40.165061898211832</v>
      </c>
      <c r="AA40" s="103">
        <f>(Gender!BZ41/'Total 1st Prof'!AB41)*100</f>
        <v>41.144781144781142</v>
      </c>
      <c r="AB40" s="103">
        <f>(Gender!CA41/'Total 1st Prof'!AC41)*100</f>
        <v>39.893617021276597</v>
      </c>
      <c r="AC40" s="103">
        <f>(Gender!CB41/'Total 1st Prof'!AD41)*100</f>
        <v>41.522491349480966</v>
      </c>
      <c r="AD40" s="103">
        <f>(Gender!CC41/'Total 1st Prof'!AE41)*100</f>
        <v>43.695797198132084</v>
      </c>
      <c r="AE40" s="103">
        <f>(Gender!CD41/'Total 1st Prof'!AF41)*100</f>
        <v>44.391570360299113</v>
      </c>
      <c r="AF40" s="103">
        <f>(Gender!CE41/'Total 1st Prof'!AG41)*100</f>
        <v>43.62808842652796</v>
      </c>
      <c r="AG40" s="103">
        <f>(Gender!CF41/'Total 1st Prof'!AH41)*100</f>
        <v>45.238095238095241</v>
      </c>
      <c r="AH40" s="103">
        <f>(Gender!CG41/'Total 1st Prof'!AI41)*100</f>
        <v>45.313469894475482</v>
      </c>
      <c r="AI40" s="103">
        <f>(Gender!CH41/'Total 1st Prof'!AJ41)*100</f>
        <v>44.748026715239831</v>
      </c>
      <c r="AJ40" s="103">
        <f>(Gender!CI41/'Total 1st Prof'!AK41)*100</f>
        <v>50.120192307692314</v>
      </c>
      <c r="AK40" s="103">
        <f>(Gender!CJ41/'Total 1st Prof'!AL41)*100</f>
        <v>49.43310657596372</v>
      </c>
      <c r="AL40" s="103">
        <f>(Gender!CK41/'Total 1st Prof'!AM41)*100</f>
        <v>49.554896142433236</v>
      </c>
      <c r="AM40" s="103">
        <f>(Gender!CL41/'Total 1st Prof'!AN41)*100</f>
        <v>48.146098505810734</v>
      </c>
      <c r="AN40" s="103">
        <f>(Gender!CM41/'Total 1st Prof'!AO41)*100</f>
        <v>49.788806758183739</v>
      </c>
      <c r="AO40" s="103">
        <f>(Gender!CN41/'Total 1st Prof'!AP41)*100</f>
        <v>51.923076923076927</v>
      </c>
      <c r="AP40" s="103">
        <f>(Gender!CO41/'Total 1st Prof'!AQ41)*100</f>
        <v>51.982378854625551</v>
      </c>
      <c r="AQ40" s="103">
        <f>(Gender!CP41/'Total 1st Prof'!AR41)*100</f>
        <v>52.480417754569189</v>
      </c>
      <c r="AR40" s="103">
        <f>(Gender!CQ41/'Total 1st Prof'!AS41)*100</f>
        <v>51.526315789473685</v>
      </c>
      <c r="AS40" s="103">
        <f>(Gender!CR41/'Total 1st Prof'!AT41)*100</f>
        <v>51.249999999999993</v>
      </c>
      <c r="AT40" s="103">
        <f>(Gender!CS41/'Total 1st Prof'!AU41)*100</f>
        <v>53.603844100373735</v>
      </c>
      <c r="AU40" s="103">
        <f>(Gender!CT41/'Total 1st Prof'!AV41)*100</f>
        <v>54.680063458487574</v>
      </c>
      <c r="AV40" s="103">
        <f>(Gender!CU41/'Total 1st Prof'!AW41)*100</f>
        <v>56.979166666666671</v>
      </c>
      <c r="AW40" s="103">
        <f>(Gender!CV41/'Total 1st Prof'!AX41)*100</f>
        <v>55.100139729855613</v>
      </c>
      <c r="AX40" s="103">
        <f>(Gender!CW41/'Total 1st Prof'!AY41)*100</f>
        <v>56.902050113895221</v>
      </c>
      <c r="AY40" s="103">
        <f>(Gender!CX41/'Total 1st Prof'!AZ41)*100</f>
        <v>60.147761842677092</v>
      </c>
      <c r="AZ40" s="103">
        <f>(Gender!CY41/'Total 1st Prof'!BA41)*100</f>
        <v>58.712291760468261</v>
      </c>
    </row>
    <row r="41" spans="1:52" ht="12.75">
      <c r="A41" s="77" t="s">
        <v>53</v>
      </c>
      <c r="B41" s="102">
        <f>(Gender!BA42/'Total 1st Prof'!C42)*100</f>
        <v>2.6615969581749046</v>
      </c>
      <c r="C41" s="103">
        <f>(Gender!BB42/'Total 1st Prof'!D42)*100</f>
        <v>3.3444816053511706</v>
      </c>
      <c r="D41" s="103">
        <f>(Gender!BC42/'Total 1st Prof'!E42)*100</f>
        <v>4.1369472182596292</v>
      </c>
      <c r="E41" s="103">
        <f>(Gender!BD42/'Total 1st Prof'!F42)*100</f>
        <v>7.3669849931787175</v>
      </c>
      <c r="F41" s="103">
        <f>(Gender!BE42/'Total 1st Prof'!G42)*100</f>
        <v>6.7351598173515974</v>
      </c>
      <c r="G41" s="103">
        <f>(Gender!BF42/'Total 1st Prof'!H42)*100</f>
        <v>7.4981440237564962</v>
      </c>
      <c r="H41" s="103">
        <f>(Gender!BG42/'Total 1st Prof'!I42)*100</f>
        <v>10.838709677419354</v>
      </c>
      <c r="I41" s="103">
        <f>(Gender!BH42/'Total 1st Prof'!J42)*100</f>
        <v>11.623499684144029</v>
      </c>
      <c r="J41" s="103">
        <f>(Gender!BI42/'Total 1st Prof'!K42)*100</f>
        <v>13.630653266331658</v>
      </c>
      <c r="K41" s="103">
        <f>(Gender!BJ42/'Total 1st Prof'!L42)*100</f>
        <v>14.425770308123248</v>
      </c>
      <c r="L41" s="103">
        <f>(Gender!BK42/'Total 1st Prof'!M42)*100</f>
        <v>16.716417910447763</v>
      </c>
      <c r="M41" s="103">
        <f>(Gender!BL42/'Total 1st Prof'!N42)*100</f>
        <v>18.777567737870196</v>
      </c>
      <c r="N41" s="103">
        <f>(Gender!BM42/'Total 1st Prof'!O42)*100</f>
        <v>22.303741746148205</v>
      </c>
      <c r="O41" s="103">
        <f>(Gender!BN42/'Total 1st Prof'!P42)*100</f>
        <v>22.020725388601036</v>
      </c>
      <c r="P41" s="103">
        <f>(Gender!BO42/'Total 1st Prof'!Q42)*100</f>
        <v>23.98989898989899</v>
      </c>
      <c r="Q41" s="103">
        <f>(Gender!BP42/'Total 1st Prof'!R42)*100</f>
        <v>26.060606060606062</v>
      </c>
      <c r="R41" s="103">
        <f>(Gender!BQ42/'Total 1st Prof'!S42)*100</f>
        <v>27.513546056592414</v>
      </c>
      <c r="S41" s="103">
        <f>(Gender!BR42/'Total 1st Prof'!T42)*100</f>
        <v>26.539923954372625</v>
      </c>
      <c r="T41" s="102">
        <f>(Gender!BS42/'Total 1st Prof'!U42)*100</f>
        <v>28.787878787878789</v>
      </c>
      <c r="U41" s="103">
        <f>(Gender!BT42/'Total 1st Prof'!V42)*100</f>
        <v>29.684351914036267</v>
      </c>
      <c r="V41" s="103">
        <f>(Gender!BU42/'Total 1st Prof'!W42)*100</f>
        <v>27.890679747722498</v>
      </c>
      <c r="W41" s="103">
        <f>(Gender!BV42/'Total 1st Prof'!X42)*100</f>
        <v>28.590971272229819</v>
      </c>
      <c r="X41" s="103">
        <f>(Gender!BW42/'Total 1st Prof'!Y42)*100</f>
        <v>33.757535164099131</v>
      </c>
      <c r="Y41" s="103">
        <f>(Gender!BX42/'Total 1st Prof'!Z42)*100</f>
        <v>35.071707953063886</v>
      </c>
      <c r="Z41" s="103">
        <f>(Gender!BY42/'Total 1st Prof'!AA42)*100</f>
        <v>33.495145631067963</v>
      </c>
      <c r="AA41" s="103">
        <f>(Gender!BZ42/'Total 1st Prof'!AB42)*100</f>
        <v>36.872964169381106</v>
      </c>
      <c r="AB41" s="103">
        <f>(Gender!CA42/'Total 1st Prof'!AC42)*100</f>
        <v>34.856070087609517</v>
      </c>
      <c r="AC41" s="103">
        <f>(Gender!CB42/'Total 1st Prof'!AD42)*100</f>
        <v>35.342789598108752</v>
      </c>
      <c r="AD41" s="103">
        <f>(Gender!CC42/'Total 1st Prof'!AE42)*100</f>
        <v>37.611749680715192</v>
      </c>
      <c r="AE41" s="103">
        <f>(Gender!CD42/'Total 1st Prof'!AF42)*100</f>
        <v>40.180878552971578</v>
      </c>
      <c r="AF41" s="103">
        <f>(Gender!CE42/'Total 1st Prof'!AG42)*100</f>
        <v>40.280433397068194</v>
      </c>
      <c r="AG41" s="103">
        <f>(Gender!CF42/'Total 1st Prof'!AH42)*100</f>
        <v>43.6498150431566</v>
      </c>
      <c r="AH41" s="103">
        <f>(Gender!CG42/'Total 1st Prof'!AI42)*100</f>
        <v>42.531645569620252</v>
      </c>
      <c r="AI41" s="103">
        <f>(Gender!CH42/'Total 1st Prof'!AJ42)*100</f>
        <v>45.281823939202027</v>
      </c>
      <c r="AJ41" s="103">
        <f>(Gender!CI42/'Total 1st Prof'!AK42)*100</f>
        <v>42.136304062909566</v>
      </c>
      <c r="AK41" s="103">
        <f>(Gender!CJ42/'Total 1st Prof'!AL42)*100</f>
        <v>46.583481877599525</v>
      </c>
      <c r="AL41" s="103">
        <f>(Gender!CK42/'Total 1st Prof'!AM42)*100</f>
        <v>46.824480369515008</v>
      </c>
      <c r="AM41" s="103">
        <f>(Gender!CL42/'Total 1st Prof'!AN42)*100</f>
        <v>48.258426966292134</v>
      </c>
      <c r="AN41" s="103">
        <f>(Gender!CM42/'Total 1st Prof'!AO42)*100</f>
        <v>48.818897637795274</v>
      </c>
      <c r="AO41" s="103">
        <f>(Gender!CN42/'Total 1st Prof'!AP42)*100</f>
        <v>46.181262729124235</v>
      </c>
      <c r="AP41" s="103">
        <f>(Gender!CO42/'Total 1st Prof'!AQ42)*100</f>
        <v>47.938400397416792</v>
      </c>
      <c r="AQ41" s="103">
        <f>(Gender!CP42/'Total 1st Prof'!AR42)*100</f>
        <v>46.402093327518536</v>
      </c>
      <c r="AR41" s="103">
        <f>(Gender!CQ42/'Total 1st Prof'!AS42)*100</f>
        <v>48.814041745730549</v>
      </c>
      <c r="AS41" s="103">
        <f>(Gender!CR42/'Total 1st Prof'!AT42)*100</f>
        <v>48.089780324737347</v>
      </c>
      <c r="AT41" s="103">
        <f>(Gender!CS42/'Total 1st Prof'!AU42)*100</f>
        <v>49.540396710208029</v>
      </c>
      <c r="AU41" s="103">
        <f>(Gender!CT42/'Total 1st Prof'!AV42)*100</f>
        <v>48.355424644084437</v>
      </c>
      <c r="AV41" s="103">
        <f>(Gender!CU42/'Total 1st Prof'!AW42)*100</f>
        <v>49.341064839219825</v>
      </c>
      <c r="AW41" s="103">
        <f>(Gender!CV42/'Total 1st Prof'!AX42)*100</f>
        <v>50.074887668497261</v>
      </c>
      <c r="AX41" s="103">
        <f>(Gender!CW42/'Total 1st Prof'!AY42)*100</f>
        <v>50.983284169124879</v>
      </c>
      <c r="AY41" s="103">
        <f>(Gender!CX42/'Total 1st Prof'!AZ42)*100</f>
        <v>50.431691213814119</v>
      </c>
      <c r="AZ41" s="103">
        <f>(Gender!CY42/'Total 1st Prof'!BA42)*100</f>
        <v>52.368558042686097</v>
      </c>
    </row>
    <row r="42" spans="1:52" ht="12.75">
      <c r="A42" s="77" t="s">
        <v>54</v>
      </c>
      <c r="B42" s="102">
        <f>(Gender!BA43/'Total 1st Prof'!C43)*100</f>
        <v>3.1662269129287601</v>
      </c>
      <c r="C42" s="103">
        <f>(Gender!BB43/'Total 1st Prof'!D43)*100</f>
        <v>5.9431524547803614</v>
      </c>
      <c r="D42" s="103">
        <f>(Gender!BC43/'Total 1st Prof'!E43)*100</f>
        <v>3.7610619469026552</v>
      </c>
      <c r="E42" s="103">
        <f>(Gender!BD43/'Total 1st Prof'!F43)*100</f>
        <v>5.5009823182711202</v>
      </c>
      <c r="F42" s="103">
        <f>(Gender!BE43/'Total 1st Prof'!G43)*100</f>
        <v>7.6013513513513518</v>
      </c>
      <c r="G42" s="103">
        <f>(Gender!BF43/'Total 1st Prof'!H43)*100</f>
        <v>13.143872113676732</v>
      </c>
      <c r="H42" s="103">
        <f>(Gender!BG43/'Total 1st Prof'!I43)*100</f>
        <v>13.333333333333334</v>
      </c>
      <c r="I42" s="103">
        <f>(Gender!BH43/'Total 1st Prof'!J43)*100</f>
        <v>17.370129870129869</v>
      </c>
      <c r="J42" s="103">
        <f>(Gender!BI43/'Total 1st Prof'!K43)*100</f>
        <v>19.393939393939394</v>
      </c>
      <c r="K42" s="103">
        <f>(Gender!BJ43/'Total 1st Prof'!L43)*100</f>
        <v>20</v>
      </c>
      <c r="L42" s="103">
        <f>(Gender!BK43/'Total 1st Prof'!M43)*100</f>
        <v>22.3950233281493</v>
      </c>
      <c r="M42" s="103">
        <f>(Gender!BL43/'Total 1st Prof'!N43)*100</f>
        <v>26.094570928196148</v>
      </c>
      <c r="N42" s="103">
        <f>(Gender!BM43/'Total 1st Prof'!O43)*100</f>
        <v>24.599708879184863</v>
      </c>
      <c r="O42" s="103">
        <f>(Gender!BN43/'Total 1st Prof'!P43)*100</f>
        <v>25.667655786350146</v>
      </c>
      <c r="P42" s="103">
        <f>(Gender!BO43/'Total 1st Prof'!Q43)*100</f>
        <v>32.078103207810322</v>
      </c>
      <c r="Q42" s="103">
        <f>(Gender!BP43/'Total 1st Prof'!R43)*100</f>
        <v>32.724719101123597</v>
      </c>
      <c r="R42" s="103">
        <f>(Gender!BQ43/'Total 1st Prof'!S43)*100</f>
        <v>34.13533834586466</v>
      </c>
      <c r="S42" s="103">
        <f>(Gender!BR43/'Total 1st Prof'!T43)*100</f>
        <v>34.961832061068705</v>
      </c>
      <c r="T42" s="102">
        <f>(Gender!BS43/'Total 1st Prof'!U43)*100</f>
        <v>35.509554140127385</v>
      </c>
      <c r="U42" s="103">
        <f>(Gender!BT43/'Total 1st Prof'!V43)*100</f>
        <v>31.864406779661014</v>
      </c>
      <c r="V42" s="103">
        <f>(Gender!BU43/'Total 1st Prof'!W43)*100</f>
        <v>34.982332155477032</v>
      </c>
      <c r="W42" s="103">
        <f>(Gender!BV43/'Total 1st Prof'!X43)*100</f>
        <v>38.473767885532588</v>
      </c>
      <c r="X42" s="103">
        <f>(Gender!BW43/'Total 1st Prof'!Y43)*100</f>
        <v>39.087947882736159</v>
      </c>
      <c r="Y42" s="103">
        <f>(Gender!BX43/'Total 1st Prof'!Z43)*100</f>
        <v>40.931780366056572</v>
      </c>
      <c r="Z42" s="103">
        <f>(Gender!BY43/'Total 1st Prof'!AA43)*100</f>
        <v>39.741518578352178</v>
      </c>
      <c r="AA42" s="103">
        <f>(Gender!BZ43/'Total 1st Prof'!AB43)*100</f>
        <v>39.255499153976309</v>
      </c>
      <c r="AB42" s="103">
        <f>(Gender!CA43/'Total 1st Prof'!AC43)*100</f>
        <v>41.993464052287585</v>
      </c>
      <c r="AC42" s="103">
        <f>(Gender!CB43/'Total 1st Prof'!AD43)*100</f>
        <v>42.685025817555939</v>
      </c>
      <c r="AD42" s="103">
        <f>(Gender!CC43/'Total 1st Prof'!AE43)*100</f>
        <v>41.267123287671232</v>
      </c>
      <c r="AE42" s="103">
        <f>(Gender!CD43/'Total 1st Prof'!AF43)*100</f>
        <v>45.562130177514796</v>
      </c>
      <c r="AF42" s="103">
        <f>(Gender!CE43/'Total 1st Prof'!AG43)*100</f>
        <v>44.379562043795623</v>
      </c>
      <c r="AG42" s="103">
        <f>(Gender!CF43/'Total 1st Prof'!AH43)*100</f>
        <v>50.297619047619044</v>
      </c>
      <c r="AH42" s="103">
        <f>(Gender!CG43/'Total 1st Prof'!AI43)*100</f>
        <v>45.649072753209701</v>
      </c>
      <c r="AI42" s="103">
        <f>(Gender!CH43/'Total 1st Prof'!AJ43)*100</f>
        <v>48.648648648648653</v>
      </c>
      <c r="AJ42" s="103">
        <f>(Gender!CI43/'Total 1st Prof'!AK43)*100</f>
        <v>50.337381916329285</v>
      </c>
      <c r="AK42" s="103">
        <f>(Gender!CJ43/'Total 1st Prof'!AL43)*100</f>
        <v>50.065189048239901</v>
      </c>
      <c r="AL42" s="103">
        <f>(Gender!CK43/'Total 1st Prof'!AM43)*100</f>
        <v>51.968503937007867</v>
      </c>
      <c r="AM42" s="103">
        <f>(Gender!CL43/'Total 1st Prof'!AN43)*100</f>
        <v>46.59498207885305</v>
      </c>
      <c r="AN42" s="103">
        <f>(Gender!CM43/'Total 1st Prof'!AO43)*100</f>
        <v>47.961630695443645</v>
      </c>
      <c r="AO42" s="103">
        <f>(Gender!CN43/'Total 1st Prof'!AP43)*100</f>
        <v>51.557093425605537</v>
      </c>
      <c r="AP42" s="103">
        <f>(Gender!CO43/'Total 1st Prof'!AQ43)*100</f>
        <v>50.166112956810629</v>
      </c>
      <c r="AQ42" s="103">
        <f>(Gender!CP43/'Total 1st Prof'!AR43)*100</f>
        <v>53.862660944206006</v>
      </c>
      <c r="AR42" s="103">
        <f>(Gender!CQ43/'Total 1st Prof'!AS43)*100</f>
        <v>52.66524520255863</v>
      </c>
      <c r="AS42" s="103">
        <f>(Gender!CR43/'Total 1st Prof'!AT43)*100</f>
        <v>51.351351351351347</v>
      </c>
      <c r="AT42" s="103">
        <f>(Gender!CS43/'Total 1st Prof'!AU43)*100</f>
        <v>50.551876379690952</v>
      </c>
      <c r="AU42" s="103">
        <f>(Gender!CT43/'Total 1st Prof'!AV43)*100</f>
        <v>51.783992285438764</v>
      </c>
      <c r="AV42" s="103">
        <f>(Gender!CU43/'Total 1st Prof'!AW43)*100</f>
        <v>54.620976116303218</v>
      </c>
      <c r="AW42" s="103">
        <f>(Gender!CV43/'Total 1st Prof'!AX43)*100</f>
        <v>54.034729315628191</v>
      </c>
      <c r="AX42" s="103">
        <f>(Gender!CW43/'Total 1st Prof'!AY43)*100</f>
        <v>55.879494655004855</v>
      </c>
      <c r="AY42" s="103">
        <f>(Gender!CX43/'Total 1st Prof'!AZ43)*100</f>
        <v>56.15234375</v>
      </c>
      <c r="AZ42" s="103">
        <f>(Gender!CY43/'Total 1st Prof'!BA43)*100</f>
        <v>60.092165898617509</v>
      </c>
    </row>
    <row r="43" spans="1:52" ht="12.75">
      <c r="A43" s="77" t="s">
        <v>55</v>
      </c>
      <c r="B43" s="102">
        <f>(Gender!BA44/'Total 1st Prof'!C44)*100</f>
        <v>5.6107954545454541</v>
      </c>
      <c r="C43" s="103">
        <f>(Gender!BB44/'Total 1st Prof'!D44)*100</f>
        <v>6.2795408507765025</v>
      </c>
      <c r="D43" s="103">
        <f>(Gender!BC44/'Total 1st Prof'!E44)*100</f>
        <v>7.0112893642305414</v>
      </c>
      <c r="E43" s="103">
        <f>(Gender!BD44/'Total 1st Prof'!F44)*100</f>
        <v>6.680805938494168</v>
      </c>
      <c r="F43" s="103">
        <f>(Gender!BE44/'Total 1st Prof'!G44)*100</f>
        <v>8.4337349397590362</v>
      </c>
      <c r="G43" s="103">
        <f>(Gender!BF44/'Total 1st Prof'!H44)*100</f>
        <v>13.030888030888029</v>
      </c>
      <c r="H43" s="103">
        <f>(Gender!BG44/'Total 1st Prof'!I44)*100</f>
        <v>16.057774001699237</v>
      </c>
      <c r="I43" s="103">
        <f>(Gender!BH44/'Total 1st Prof'!J44)*100</f>
        <v>18.120522545301306</v>
      </c>
      <c r="J43" s="103">
        <f>(Gender!BI44/'Total 1st Prof'!K44)*100</f>
        <v>21.491733948481354</v>
      </c>
      <c r="K43" s="103">
        <f>(Gender!BJ44/'Total 1st Prof'!L44)*100</f>
        <v>22.686898593634343</v>
      </c>
      <c r="L43" s="103">
        <f>(Gender!BK44/'Total 1st Prof'!M44)*100</f>
        <v>24.584103512014789</v>
      </c>
      <c r="M43" s="103">
        <f>(Gender!BL44/'Total 1st Prof'!N44)*100</f>
        <v>25.132676269901438</v>
      </c>
      <c r="N43" s="103">
        <f>(Gender!BM44/'Total 1st Prof'!O44)*100</f>
        <v>26.453819840364879</v>
      </c>
      <c r="O43" s="103">
        <f>(Gender!BN44/'Total 1st Prof'!P44)*100</f>
        <v>27.840059790732436</v>
      </c>
      <c r="P43" s="103">
        <f>(Gender!BO44/'Total 1st Prof'!Q44)*100</f>
        <v>28.705514274540477</v>
      </c>
      <c r="Q43" s="103">
        <f>(Gender!BP44/'Total 1st Prof'!R44)*100</f>
        <v>31.263776634827334</v>
      </c>
      <c r="R43" s="103">
        <f>(Gender!BQ44/'Total 1st Prof'!S44)*100</f>
        <v>32.888394512421208</v>
      </c>
      <c r="S43" s="103">
        <f>(Gender!BR44/'Total 1st Prof'!T44)*100</f>
        <v>32.14856230031949</v>
      </c>
      <c r="T43" s="102">
        <f>(Gender!BS44/'Total 1st Prof'!U44)*100</f>
        <v>34.130713370354549</v>
      </c>
      <c r="U43" s="103">
        <f>(Gender!BT44/'Total 1st Prof'!V44)*100</f>
        <v>37.206148282097651</v>
      </c>
      <c r="V43" s="103">
        <f>(Gender!BU44/'Total 1st Prof'!W44)*100</f>
        <v>36.145574855252278</v>
      </c>
      <c r="W43" s="103">
        <f>(Gender!BV44/'Total 1st Prof'!X44)*100</f>
        <v>37.815457413249206</v>
      </c>
      <c r="X43" s="103">
        <f>(Gender!BW44/'Total 1st Prof'!Y44)*100</f>
        <v>37.009708737864081</v>
      </c>
      <c r="Y43" s="103">
        <f>(Gender!BX44/'Total 1st Prof'!Z44)*100</f>
        <v>37.233630375823324</v>
      </c>
      <c r="Z43" s="103">
        <f>(Gender!BY44/'Total 1st Prof'!AA44)*100</f>
        <v>39.584850691915513</v>
      </c>
      <c r="AA43" s="103">
        <f>(Gender!BZ44/'Total 1st Prof'!AB44)*100</f>
        <v>41.145833333333329</v>
      </c>
      <c r="AB43" s="103">
        <f>(Gender!CA44/'Total 1st Prof'!AC44)*100</f>
        <v>38.828549262994571</v>
      </c>
      <c r="AC43" s="103">
        <f>(Gender!CB44/'Total 1st Prof'!AD44)*100</f>
        <v>40.627390971690893</v>
      </c>
      <c r="AD43" s="103">
        <f>(Gender!CC44/'Total 1st Prof'!AE44)*100</f>
        <v>42.171518489378442</v>
      </c>
      <c r="AE43" s="103">
        <f>(Gender!CD44/'Total 1st Prof'!AF44)*100</f>
        <v>41.900121802679656</v>
      </c>
      <c r="AF43" s="103">
        <f>(Gender!CE44/'Total 1st Prof'!AG44)*100</f>
        <v>44.604927782497874</v>
      </c>
      <c r="AG43" s="103">
        <f>(Gender!CF44/'Total 1st Prof'!AH44)*100</f>
        <v>44.158582876423452</v>
      </c>
      <c r="AH43" s="103">
        <f>(Gender!CG44/'Total 1st Prof'!AI44)*100</f>
        <v>45.491803278688522</v>
      </c>
      <c r="AI43" s="103">
        <f>(Gender!CH44/'Total 1st Prof'!AJ44)*100</f>
        <v>45.586457073760577</v>
      </c>
      <c r="AJ43" s="103">
        <f>(Gender!CI44/'Total 1st Prof'!AK44)*100</f>
        <v>47.790868924889544</v>
      </c>
      <c r="AK43" s="103">
        <f>(Gender!CJ44/'Total 1st Prof'!AL44)*100</f>
        <v>45.44527532290958</v>
      </c>
      <c r="AL43" s="103">
        <f>(Gender!CK44/'Total 1st Prof'!AM44)*100</f>
        <v>47.221369358305189</v>
      </c>
      <c r="AM43" s="103">
        <f>(Gender!CL44/'Total 1st Prof'!AN44)*100</f>
        <v>48.328358208955223</v>
      </c>
      <c r="AN43" s="103">
        <f>(Gender!CM44/'Total 1st Prof'!AO44)*100</f>
        <v>49.489655172413791</v>
      </c>
      <c r="AO43" s="103">
        <f>(Gender!CN44/'Total 1st Prof'!AP44)*100</f>
        <v>49.405255878284926</v>
      </c>
      <c r="AP43" s="103">
        <f>(Gender!CO44/'Total 1st Prof'!AQ44)*100</f>
        <v>51.42934196332255</v>
      </c>
      <c r="AQ43" s="103">
        <f>(Gender!CP44/'Total 1st Prof'!AR44)*100</f>
        <v>51.308363263211895</v>
      </c>
      <c r="AR43" s="103">
        <f>(Gender!CQ44/'Total 1st Prof'!AS44)*100</f>
        <v>50.297542043984478</v>
      </c>
      <c r="AS43" s="103">
        <f>(Gender!CR44/'Total 1st Prof'!AT44)*100</f>
        <v>51.811141643767179</v>
      </c>
      <c r="AT43" s="103">
        <f>(Gender!CS44/'Total 1st Prof'!AU44)*100</f>
        <v>51.345059493016031</v>
      </c>
      <c r="AU43" s="103">
        <f>(Gender!CT44/'Total 1st Prof'!AV44)*100</f>
        <v>51.427794397606739</v>
      </c>
      <c r="AV43" s="103">
        <f>(Gender!CU44/'Total 1st Prof'!AW44)*100</f>
        <v>53.395511512678517</v>
      </c>
      <c r="AW43" s="103">
        <f>(Gender!CV44/'Total 1st Prof'!AX44)*100</f>
        <v>52.876553917317146</v>
      </c>
      <c r="AX43" s="103">
        <f>(Gender!CW44/'Total 1st Prof'!AY44)*100</f>
        <v>54.291305563321224</v>
      </c>
      <c r="AY43" s="103">
        <f>(Gender!CX44/'Total 1st Prof'!AZ44)*100</f>
        <v>52.959501557632393</v>
      </c>
      <c r="AZ43" s="103">
        <f>(Gender!CY44/'Total 1st Prof'!BA44)*100</f>
        <v>54.729360306178243</v>
      </c>
    </row>
    <row r="44" spans="1:52" ht="12.75">
      <c r="A44" s="77" t="s">
        <v>56</v>
      </c>
      <c r="B44" s="102">
        <f>(Gender!BA45/'Total 1st Prof'!C45)*100</f>
        <v>3.9490445859872612</v>
      </c>
      <c r="C44" s="103">
        <f>(Gender!BB45/'Total 1st Prof'!D45)*100</f>
        <v>4.6070460704607044</v>
      </c>
      <c r="D44" s="103">
        <f>(Gender!BC45/'Total 1st Prof'!E45)*100</f>
        <v>4.6590909090909092</v>
      </c>
      <c r="E44" s="103">
        <f>(Gender!BD45/'Total 1st Prof'!F45)*100</f>
        <v>5.0113895216400905</v>
      </c>
      <c r="F44" s="103">
        <f>(Gender!BE45/'Total 1st Prof'!G45)*100</f>
        <v>8.5539714867617107</v>
      </c>
      <c r="G44" s="103">
        <f>(Gender!BF45/'Total 1st Prof'!H45)*100</f>
        <v>8.3411433926897836</v>
      </c>
      <c r="H44" s="103">
        <f>(Gender!BG45/'Total 1st Prof'!I45)*100</f>
        <v>11.76923076923077</v>
      </c>
      <c r="I44" s="103">
        <f>(Gender!BH45/'Total 1st Prof'!J45)*100</f>
        <v>17.847025495750707</v>
      </c>
      <c r="J44" s="103">
        <f>(Gender!BI45/'Total 1st Prof'!K45)*100</f>
        <v>20.220082530949107</v>
      </c>
      <c r="K44" s="103">
        <f>(Gender!BJ45/'Total 1st Prof'!L45)*100</f>
        <v>20.798065296251512</v>
      </c>
      <c r="L44" s="103">
        <f>(Gender!BK45/'Total 1st Prof'!M45)*100</f>
        <v>23.184543637574951</v>
      </c>
      <c r="M44" s="103">
        <f>(Gender!BL45/'Total 1st Prof'!N45)*100</f>
        <v>25.709001233045626</v>
      </c>
      <c r="N44" s="103">
        <f>(Gender!BM45/'Total 1st Prof'!O45)*100</f>
        <v>29.6127562642369</v>
      </c>
      <c r="O44" s="103">
        <f>(Gender!BN45/'Total 1st Prof'!P45)*100</f>
        <v>29.579207920792079</v>
      </c>
      <c r="P44" s="103">
        <f>(Gender!BO45/'Total 1st Prof'!Q45)*100</f>
        <v>32.646490663232456</v>
      </c>
      <c r="Q44" s="103">
        <f>(Gender!BP45/'Total 1st Prof'!R45)*100</f>
        <v>31.992457573852924</v>
      </c>
      <c r="R44" s="103">
        <f>(Gender!BQ45/'Total 1st Prof'!S45)*100</f>
        <v>35.506329113924053</v>
      </c>
      <c r="S44" s="103">
        <f>(Gender!BR45/'Total 1st Prof'!T45)*100</f>
        <v>36.429038587311965</v>
      </c>
      <c r="T44" s="102">
        <f>(Gender!BS45/'Total 1st Prof'!U45)*100</f>
        <v>37.884615384615387</v>
      </c>
      <c r="U44" s="103">
        <f>(Gender!BT45/'Total 1st Prof'!V45)*100</f>
        <v>38.694481830417224</v>
      </c>
      <c r="V44" s="103">
        <f>(Gender!BU45/'Total 1st Prof'!W45)*100</f>
        <v>36.64317745035234</v>
      </c>
      <c r="W44" s="103">
        <f>(Gender!BV45/'Total 1st Prof'!X45)*100</f>
        <v>40.577716643741404</v>
      </c>
      <c r="X44" s="103">
        <f>(Gender!BW45/'Total 1st Prof'!Y45)*100</f>
        <v>37.506834335702571</v>
      </c>
      <c r="Y44" s="103">
        <f>(Gender!BX45/'Total 1st Prof'!Z45)*100</f>
        <v>38.834951456310677</v>
      </c>
      <c r="Z44" s="103">
        <f>(Gender!BY45/'Total 1st Prof'!AA45)*100</f>
        <v>42.447916666666671</v>
      </c>
      <c r="AA44" s="103">
        <f>(Gender!BZ45/'Total 1st Prof'!AB45)*100</f>
        <v>44.863459037711308</v>
      </c>
      <c r="AB44" s="103">
        <f>(Gender!CA45/'Total 1st Prof'!AC45)*100</f>
        <v>44.956579826319306</v>
      </c>
      <c r="AC44" s="103">
        <f>(Gender!CB45/'Total 1st Prof'!AD45)*100</f>
        <v>47.192429022082017</v>
      </c>
      <c r="AD44" s="103">
        <f>(Gender!CC45/'Total 1st Prof'!AE45)*100</f>
        <v>44.837935174069628</v>
      </c>
      <c r="AE44" s="103">
        <f>(Gender!CD45/'Total 1st Prof'!AF45)*100</f>
        <v>44.291338582677163</v>
      </c>
      <c r="AF44" s="103">
        <f>(Gender!CE45/'Total 1st Prof'!AG45)*100</f>
        <v>44.690553745928341</v>
      </c>
      <c r="AG44" s="103">
        <f>(Gender!CF45/'Total 1st Prof'!AH45)*100</f>
        <v>45.408163265306122</v>
      </c>
      <c r="AH44" s="103">
        <f>(Gender!CG45/'Total 1st Prof'!AI45)*100</f>
        <v>50.032873109796185</v>
      </c>
      <c r="AI44" s="103">
        <f>(Gender!CH45/'Total 1st Prof'!AJ45)*100</f>
        <v>49.310776942355886</v>
      </c>
      <c r="AJ44" s="103">
        <f>(Gender!CI45/'Total 1st Prof'!AK45)*100</f>
        <v>51.898734177215189</v>
      </c>
      <c r="AK44" s="103">
        <f>(Gender!CJ45/'Total 1st Prof'!AL45)*100</f>
        <v>49.061967026719728</v>
      </c>
      <c r="AL44" s="103">
        <f>(Gender!CK45/'Total 1st Prof'!AM45)*100</f>
        <v>51.443123938879452</v>
      </c>
      <c r="AM44" s="103">
        <f>(Gender!CL45/'Total 1st Prof'!AN45)*100</f>
        <v>51.589369463262116</v>
      </c>
      <c r="AN44" s="103">
        <f>(Gender!CM45/'Total 1st Prof'!AO45)*100</f>
        <v>53.478491768454596</v>
      </c>
      <c r="AO44" s="103">
        <f>(Gender!CN45/'Total 1st Prof'!AP45)*100</f>
        <v>55.271084337349393</v>
      </c>
      <c r="AP44" s="103">
        <f>(Gender!CO45/'Total 1st Prof'!AQ45)*100</f>
        <v>53.763987792472022</v>
      </c>
      <c r="AQ44" s="103">
        <f>(Gender!CP45/'Total 1st Prof'!AR45)*100</f>
        <v>53.946053946053951</v>
      </c>
      <c r="AR44" s="103">
        <f>(Gender!CQ45/'Total 1st Prof'!AS45)*100</f>
        <v>56.031904287138588</v>
      </c>
      <c r="AS44" s="103">
        <f>(Gender!CR45/'Total 1st Prof'!AT45)*100</f>
        <v>54.057835820895527</v>
      </c>
      <c r="AT44" s="103">
        <f>(Gender!CS45/'Total 1st Prof'!AU45)*100</f>
        <v>56.422454804947662</v>
      </c>
      <c r="AU44" s="103">
        <f>(Gender!CT45/'Total 1st Prof'!AV45)*100</f>
        <v>57.336683417085432</v>
      </c>
      <c r="AV44" s="103">
        <f>(Gender!CU45/'Total 1st Prof'!AW45)*100</f>
        <v>56.138509968520466</v>
      </c>
      <c r="AW44" s="103">
        <f>(Gender!CV45/'Total 1st Prof'!AX45)*100</f>
        <v>58.593336858804868</v>
      </c>
      <c r="AX44" s="103">
        <f>(Gender!CW45/'Total 1st Prof'!AY45)*100</f>
        <v>58.369098712446352</v>
      </c>
      <c r="AY44" s="103">
        <f>(Gender!CX45/'Total 1st Prof'!AZ45)*100</f>
        <v>58.643892339544514</v>
      </c>
      <c r="AZ44" s="103">
        <f>(Gender!CY45/'Total 1st Prof'!BA45)*100</f>
        <v>61.0062893081761</v>
      </c>
    </row>
    <row r="45" spans="1:52" ht="12.75">
      <c r="A45" s="77" t="s">
        <v>57</v>
      </c>
      <c r="B45" s="102">
        <f>(Gender!BA46/'Total 1st Prof'!C46)*100</f>
        <v>3.8102084831056793</v>
      </c>
      <c r="C45" s="103">
        <f>(Gender!BB46/'Total 1st Prof'!D46)*100</f>
        <v>3.4163701067615659</v>
      </c>
      <c r="D45" s="103">
        <f>(Gender!BC46/'Total 1st Prof'!E46)*100</f>
        <v>4.8964218455743875</v>
      </c>
      <c r="E45" s="103">
        <f>(Gender!BD46/'Total 1st Prof'!F46)*100</f>
        <v>4.3139293139293144</v>
      </c>
      <c r="F45" s="103">
        <f>(Gender!BE46/'Total 1st Prof'!G46)*100</f>
        <v>7.2340425531914887</v>
      </c>
      <c r="G45" s="103">
        <f>(Gender!BF46/'Total 1st Prof'!H46)*100</f>
        <v>9.1606960081883315</v>
      </c>
      <c r="H45" s="103">
        <f>(Gender!BG46/'Total 1st Prof'!I46)*100</f>
        <v>10.346464167062173</v>
      </c>
      <c r="I45" s="103">
        <f>(Gender!BH46/'Total 1st Prof'!J46)*100</f>
        <v>12.216981132075471</v>
      </c>
      <c r="J45" s="103">
        <f>(Gender!BI46/'Total 1st Prof'!K46)*100</f>
        <v>16.858061552595316</v>
      </c>
      <c r="K45" s="103">
        <f>(Gender!BJ46/'Total 1st Prof'!L46)*100</f>
        <v>17.135325131810195</v>
      </c>
      <c r="L45" s="103">
        <f>(Gender!BK46/'Total 1st Prof'!M46)*100</f>
        <v>17.059579939991426</v>
      </c>
      <c r="M45" s="103">
        <f>(Gender!BL46/'Total 1st Prof'!N46)*100</f>
        <v>18.655751831107281</v>
      </c>
      <c r="N45" s="103">
        <f>(Gender!BM46/'Total 1st Prof'!O46)*100</f>
        <v>21.019108280254777</v>
      </c>
      <c r="O45" s="103">
        <f>(Gender!BN46/'Total 1st Prof'!P46)*100</f>
        <v>23.631350925561247</v>
      </c>
      <c r="P45" s="103">
        <f>(Gender!BO46/'Total 1st Prof'!Q46)*100</f>
        <v>23.316912972085387</v>
      </c>
      <c r="Q45" s="103">
        <f>(Gender!BP46/'Total 1st Prof'!R46)*100</f>
        <v>25.155666251556664</v>
      </c>
      <c r="R45" s="103">
        <f>(Gender!BQ46/'Total 1st Prof'!S46)*100</f>
        <v>25.020242914979757</v>
      </c>
      <c r="S45" s="103">
        <f>(Gender!BR46/'Total 1st Prof'!T46)*100</f>
        <v>26.021978021978022</v>
      </c>
      <c r="T45" s="102">
        <f>(Gender!BS46/'Total 1st Prof'!U46)*100</f>
        <v>27.60600706713781</v>
      </c>
      <c r="U45" s="103">
        <f>(Gender!BT46/'Total 1st Prof'!V46)*100</f>
        <v>27.739130434782609</v>
      </c>
      <c r="V45" s="103">
        <f>(Gender!BU46/'Total 1st Prof'!W46)*100</f>
        <v>30.179588261060008</v>
      </c>
      <c r="W45" s="103">
        <f>(Gender!BV46/'Total 1st Prof'!X46)*100</f>
        <v>31.564501372369623</v>
      </c>
      <c r="X45" s="103">
        <f>(Gender!BW46/'Total 1st Prof'!Y46)*100</f>
        <v>32.035234121464995</v>
      </c>
      <c r="Y45" s="103">
        <f>(Gender!BX46/'Total 1st Prof'!Z46)*100</f>
        <v>33.026255181943803</v>
      </c>
      <c r="Z45" s="103">
        <f>(Gender!BY46/'Total 1st Prof'!AA46)*100</f>
        <v>33.454215775158659</v>
      </c>
      <c r="AA45" s="103">
        <f>(Gender!BZ46/'Total 1st Prof'!AB46)*100</f>
        <v>34.364111498257834</v>
      </c>
      <c r="AB45" s="103">
        <f>(Gender!CA46/'Total 1st Prof'!AC46)*100</f>
        <v>34.833824148085824</v>
      </c>
      <c r="AC45" s="103">
        <f>(Gender!CB46/'Total 1st Prof'!AD46)*100</f>
        <v>34.657650042265423</v>
      </c>
      <c r="AD45" s="103">
        <f>(Gender!CC46/'Total 1st Prof'!AE46)*100</f>
        <v>34.586466165413533</v>
      </c>
      <c r="AE45" s="103">
        <f>(Gender!CD46/'Total 1st Prof'!AF46)*100</f>
        <v>35.80343213728549</v>
      </c>
      <c r="AF45" s="103">
        <f>(Gender!CE46/'Total 1st Prof'!AG46)*100</f>
        <v>38.165565487757483</v>
      </c>
      <c r="AG45" s="103">
        <f>(Gender!CF46/'Total 1st Prof'!AH46)*100</f>
        <v>39.314516129032256</v>
      </c>
      <c r="AH45" s="103">
        <f>(Gender!CG46/'Total 1st Prof'!AI46)*100</f>
        <v>39.958677685950413</v>
      </c>
      <c r="AI45" s="103">
        <f>(Gender!CH46/'Total 1st Prof'!AJ46)*100</f>
        <v>39.638554216867469</v>
      </c>
      <c r="AJ45" s="103">
        <f>(Gender!CI46/'Total 1st Prof'!AK46)*100</f>
        <v>40.125146656237781</v>
      </c>
      <c r="AK45" s="103">
        <f>(Gender!CJ46/'Total 1st Prof'!AL46)*100</f>
        <v>42.323809523809523</v>
      </c>
      <c r="AL45" s="103">
        <f>(Gender!CK46/'Total 1st Prof'!AM46)*100</f>
        <v>43.041712809154667</v>
      </c>
      <c r="AM45" s="103">
        <f>(Gender!CL46/'Total 1st Prof'!AN46)*100</f>
        <v>42.326909350463957</v>
      </c>
      <c r="AN45" s="103">
        <f>(Gender!CM46/'Total 1st Prof'!AO46)*100</f>
        <v>46.710287168302436</v>
      </c>
      <c r="AO45" s="103">
        <f>(Gender!CN46/'Total 1st Prof'!AP46)*100</f>
        <v>49.161612557973598</v>
      </c>
      <c r="AP45" s="103">
        <f>(Gender!CO46/'Total 1st Prof'!AQ46)*100</f>
        <v>53.341114677560554</v>
      </c>
      <c r="AQ45" s="103">
        <f>(Gender!CP46/'Total 1st Prof'!AR46)*100</f>
        <v>51.533742331288344</v>
      </c>
      <c r="AR45" s="103">
        <f>(Gender!CQ46/'Total 1st Prof'!AS46)*100</f>
        <v>50.119904076738607</v>
      </c>
      <c r="AS45" s="103">
        <f>(Gender!CR46/'Total 1st Prof'!AT46)*100</f>
        <v>52.161042036708118</v>
      </c>
      <c r="AT45" s="103">
        <f>(Gender!CS46/'Total 1st Prof'!AU46)*100</f>
        <v>49.846248462484624</v>
      </c>
      <c r="AU45" s="103">
        <f>(Gender!CT46/'Total 1st Prof'!AV46)*100</f>
        <v>53.122058362096013</v>
      </c>
      <c r="AV45" s="103">
        <f>(Gender!CU46/'Total 1st Prof'!AW46)*100</f>
        <v>50.950692877860135</v>
      </c>
      <c r="AW45" s="103">
        <f>(Gender!CV46/'Total 1st Prof'!AX46)*100</f>
        <v>52.292176039119809</v>
      </c>
      <c r="AX45" s="103">
        <f>(Gender!CW46/'Total 1st Prof'!AY46)*100</f>
        <v>52.699784017278617</v>
      </c>
      <c r="AY45" s="103">
        <f>(Gender!CX46/'Total 1st Prof'!AZ46)*100</f>
        <v>51.937081270026219</v>
      </c>
      <c r="AZ45" s="103">
        <f>(Gender!CY46/'Total 1st Prof'!BA46)*100</f>
        <v>53.184910327767469</v>
      </c>
    </row>
    <row r="46" spans="1:52" ht="12.75">
      <c r="A46" s="77" t="s">
        <v>58</v>
      </c>
      <c r="B46" s="102">
        <f>(Gender!BA47/'Total 1st Prof'!C47)*100</f>
        <v>2.9484029484029484</v>
      </c>
      <c r="C46" s="103">
        <f>(Gender!BB47/'Total 1st Prof'!D47)*100</f>
        <v>3.9800995024875623</v>
      </c>
      <c r="D46" s="103">
        <f>(Gender!BC47/'Total 1st Prof'!E47)*100</f>
        <v>2.7079303675048356</v>
      </c>
      <c r="E46" s="103">
        <f>(Gender!BD47/'Total 1st Prof'!F47)*100</f>
        <v>2.0583190394511153</v>
      </c>
      <c r="F46" s="103">
        <f>(Gender!BE47/'Total 1st Prof'!G47)*100</f>
        <v>5.32724505327245</v>
      </c>
      <c r="G46" s="103">
        <f>(Gender!BF47/'Total 1st Prof'!H47)*100</f>
        <v>9.078212290502794</v>
      </c>
      <c r="H46" s="103">
        <f>(Gender!BG47/'Total 1st Prof'!I47)*100</f>
        <v>11.631016042780749</v>
      </c>
      <c r="I46" s="103">
        <f>(Gender!BH47/'Total 1st Prof'!J47)*100</f>
        <v>14.106145251396649</v>
      </c>
      <c r="J46" s="103">
        <f>(Gender!BI47/'Total 1st Prof'!K47)*100</f>
        <v>15.588235294117647</v>
      </c>
      <c r="K46" s="103">
        <f>(Gender!BJ47/'Total 1st Prof'!L47)*100</f>
        <v>18.665018541409147</v>
      </c>
      <c r="L46" s="103">
        <f>(Gender!BK47/'Total 1st Prof'!M47)*100</f>
        <v>23.195876288659793</v>
      </c>
      <c r="M46" s="103">
        <f>(Gender!BL47/'Total 1st Prof'!N47)*100</f>
        <v>23.300970873786408</v>
      </c>
      <c r="N46" s="103">
        <f>(Gender!BM47/'Total 1st Prof'!O47)*100</f>
        <v>24.876237623762375</v>
      </c>
      <c r="O46" s="103">
        <f>(Gender!BN47/'Total 1st Prof'!P47)*100</f>
        <v>26.143790849673206</v>
      </c>
      <c r="P46" s="103">
        <f>(Gender!BO47/'Total 1st Prof'!Q47)*100</f>
        <v>28.108808290155441</v>
      </c>
      <c r="Q46" s="103">
        <f>(Gender!BP47/'Total 1st Prof'!R47)*100</f>
        <v>28.032345013477091</v>
      </c>
      <c r="R46" s="103">
        <f>(Gender!BQ47/'Total 1st Prof'!S47)*100</f>
        <v>28.476821192052981</v>
      </c>
      <c r="S46" s="103">
        <f>(Gender!BR47/'Total 1st Prof'!T47)*100</f>
        <v>31.382978723404253</v>
      </c>
      <c r="T46" s="102">
        <f>(Gender!BS47/'Total 1st Prof'!U47)*100</f>
        <v>30.169971671388101</v>
      </c>
      <c r="U46" s="103">
        <f>(Gender!BT47/'Total 1st Prof'!V47)*100</f>
        <v>28.885832187070154</v>
      </c>
      <c r="V46" s="103">
        <f>(Gender!BU47/'Total 1st Prof'!W47)*100</f>
        <v>33.434650455927049</v>
      </c>
      <c r="W46" s="103">
        <f>(Gender!BV47/'Total 1st Prof'!X47)*100</f>
        <v>35.869565217391305</v>
      </c>
      <c r="X46" s="103">
        <f>(Gender!BW47/'Total 1st Prof'!Y47)*100</f>
        <v>34.42622950819672</v>
      </c>
      <c r="Y46" s="103">
        <f>(Gender!BX47/'Total 1st Prof'!Z47)*100</f>
        <v>38.95781637717122</v>
      </c>
      <c r="Z46" s="103">
        <f>(Gender!BY47/'Total 1st Prof'!AA47)*100</f>
        <v>36.744759556103574</v>
      </c>
      <c r="AA46" s="103">
        <f>(Gender!BZ47/'Total 1st Prof'!AB47)*100</f>
        <v>41.575757575757578</v>
      </c>
      <c r="AB46" s="103">
        <f>(Gender!CA47/'Total 1st Prof'!AC47)*100</f>
        <v>40.435835351089587</v>
      </c>
      <c r="AC46" s="103">
        <f>(Gender!CB47/'Total 1st Prof'!AD47)*100</f>
        <v>39.923954372623577</v>
      </c>
      <c r="AD46" s="103">
        <f>(Gender!CC47/'Total 1st Prof'!AE47)*100</f>
        <v>41.492146596858639</v>
      </c>
      <c r="AE46" s="103">
        <f>(Gender!CD47/'Total 1st Prof'!AF47)*100</f>
        <v>43.483870967741936</v>
      </c>
      <c r="AF46" s="103">
        <f>(Gender!CE47/'Total 1st Prof'!AG47)*100</f>
        <v>42.821158690176318</v>
      </c>
      <c r="AG46" s="103">
        <f>(Gender!CF47/'Total 1st Prof'!AH47)*100</f>
        <v>46.532156368221948</v>
      </c>
      <c r="AH46" s="103">
        <f>(Gender!CG47/'Total 1st Prof'!AI47)*100</f>
        <v>46.415094339622641</v>
      </c>
      <c r="AI46" s="103">
        <f>(Gender!CH47/'Total 1st Prof'!AJ47)*100</f>
        <v>46.229913473423977</v>
      </c>
      <c r="AJ46" s="103">
        <f>(Gender!CI47/'Total 1st Prof'!AK47)*100</f>
        <v>45.633456334563341</v>
      </c>
      <c r="AK46" s="103">
        <f>(Gender!CJ47/'Total 1st Prof'!AL47)*100</f>
        <v>50</v>
      </c>
      <c r="AL46" s="103">
        <f>(Gender!CK47/'Total 1st Prof'!AM47)*100</f>
        <v>50.11389521640092</v>
      </c>
      <c r="AM46" s="103">
        <f>(Gender!CL47/'Total 1st Prof'!AN47)*100</f>
        <v>49.195402298850574</v>
      </c>
      <c r="AN46" s="103">
        <f>(Gender!CM47/'Total 1st Prof'!AO47)*100</f>
        <v>54.769230769230774</v>
      </c>
      <c r="AO46" s="103">
        <f>(Gender!CN47/'Total 1st Prof'!AP47)*100</f>
        <v>50.854271356783919</v>
      </c>
      <c r="AP46" s="103">
        <f>(Gender!CO47/'Total 1st Prof'!AQ47)*100</f>
        <v>54.048780487804883</v>
      </c>
      <c r="AQ46" s="103">
        <f>(Gender!CP47/'Total 1st Prof'!AR47)*100</f>
        <v>51.748251748251747</v>
      </c>
      <c r="AR46" s="103">
        <f>(Gender!CQ47/'Total 1st Prof'!AS47)*100</f>
        <v>53.700189753320679</v>
      </c>
      <c r="AS46" s="103">
        <f>(Gender!CR47/'Total 1st Prof'!AT47)*100</f>
        <v>52.901998097050431</v>
      </c>
      <c r="AT46" s="103">
        <f>(Gender!CS47/'Total 1st Prof'!AU47)*100</f>
        <v>51.277372262773724</v>
      </c>
      <c r="AU46" s="103">
        <f>(Gender!CT47/'Total 1st Prof'!AV47)*100</f>
        <v>52.528837622005319</v>
      </c>
      <c r="AV46" s="103">
        <f>(Gender!CU47/'Total 1st Prof'!AW47)*100</f>
        <v>57.382282521947324</v>
      </c>
      <c r="AW46" s="103">
        <f>(Gender!CV47/'Total 1st Prof'!AX47)*100</f>
        <v>56.461405030355593</v>
      </c>
      <c r="AX46" s="103">
        <f>(Gender!CW47/'Total 1st Prof'!AY47)*100</f>
        <v>59.126637554585152</v>
      </c>
      <c r="AY46" s="103">
        <f>(Gender!CX47/'Total 1st Prof'!AZ47)*100</f>
        <v>55.139442231075698</v>
      </c>
      <c r="AZ46" s="103">
        <f>(Gender!CY47/'Total 1st Prof'!BA47)*100</f>
        <v>58.246527777777779</v>
      </c>
    </row>
    <row r="47" spans="1:52" ht="12.75">
      <c r="A47" s="77" t="s">
        <v>59</v>
      </c>
      <c r="B47" s="102">
        <f>(Gender!BA48/'Total 1st Prof'!C48)*100</f>
        <v>0</v>
      </c>
      <c r="C47" s="103">
        <f>(Gender!BB48/'Total 1st Prof'!D48)*100</f>
        <v>8.8235294117647065</v>
      </c>
      <c r="D47" s="103">
        <f>(Gender!BC48/'Total 1st Prof'!E48)*100</f>
        <v>0</v>
      </c>
      <c r="E47" s="103">
        <f>(Gender!BD48/'Total 1st Prof'!F48)*100</f>
        <v>0</v>
      </c>
      <c r="F47" s="103">
        <f>(Gender!BE48/'Total 1st Prof'!G48)*100</f>
        <v>8.1967213114754092</v>
      </c>
      <c r="G47" s="103">
        <f>(Gender!BF48/'Total 1st Prof'!H48)*100</f>
        <v>12.76595744680851</v>
      </c>
      <c r="H47" s="103">
        <f>(Gender!BG48/'Total 1st Prof'!I48)*100</f>
        <v>9.79020979020979</v>
      </c>
      <c r="I47" s="103">
        <f>(Gender!BH48/'Total 1st Prof'!J48)*100</f>
        <v>17.796610169491526</v>
      </c>
      <c r="J47" s="103">
        <f>(Gender!BI48/'Total 1st Prof'!K48)*100</f>
        <v>17.708333333333336</v>
      </c>
      <c r="K47" s="103">
        <f>(Gender!BJ48/'Total 1st Prof'!L48)*100</f>
        <v>17.518248175182482</v>
      </c>
      <c r="L47" s="103">
        <f>(Gender!BK48/'Total 1st Prof'!M48)*100</f>
        <v>21.621621621621621</v>
      </c>
      <c r="M47" s="103">
        <f>(Gender!BL48/'Total 1st Prof'!N48)*100</f>
        <v>20.33898305084746</v>
      </c>
      <c r="N47" s="103">
        <f>(Gender!BM48/'Total 1st Prof'!O48)*100</f>
        <v>19.841269841269842</v>
      </c>
      <c r="O47" s="103">
        <f>(Gender!BN48/'Total 1st Prof'!P48)*100</f>
        <v>25.757575757575758</v>
      </c>
      <c r="P47" s="103">
        <f>(Gender!BO48/'Total 1st Prof'!Q48)*100</f>
        <v>26.153846153846157</v>
      </c>
      <c r="Q47" s="103">
        <f>(Gender!BP48/'Total 1st Prof'!R48)*100</f>
        <v>31.847133757961782</v>
      </c>
      <c r="R47" s="103">
        <f>(Gender!BQ48/'Total 1st Prof'!S48)*100</f>
        <v>29.850746268656714</v>
      </c>
      <c r="S47" s="103">
        <f>(Gender!BR48/'Total 1st Prof'!T48)*100</f>
        <v>29.059829059829063</v>
      </c>
      <c r="T47" s="102">
        <f>(Gender!BS48/'Total 1st Prof'!U48)*100</f>
        <v>32.456140350877192</v>
      </c>
      <c r="U47" s="103">
        <f>(Gender!BT48/'Total 1st Prof'!V48)*100</f>
        <v>37.391304347826086</v>
      </c>
      <c r="V47" s="103">
        <f>(Gender!BU48/'Total 1st Prof'!W48)*100</f>
        <v>35.779816513761467</v>
      </c>
      <c r="W47" s="103">
        <f>(Gender!BV48/'Total 1st Prof'!X48)*100</f>
        <v>40.601503759398497</v>
      </c>
      <c r="X47" s="103">
        <f>(Gender!BW48/'Total 1st Prof'!Y48)*100</f>
        <v>32.283464566929133</v>
      </c>
      <c r="Y47" s="103">
        <f>(Gender!BX48/'Total 1st Prof'!Z48)*100</f>
        <v>35.91549295774648</v>
      </c>
      <c r="Z47" s="103">
        <f>(Gender!BY48/'Total 1st Prof'!AA48)*100</f>
        <v>42.857142857142854</v>
      </c>
      <c r="AA47" s="103">
        <f>(Gender!BZ48/'Total 1st Prof'!AB48)*100</f>
        <v>39.037433155080215</v>
      </c>
      <c r="AB47" s="103">
        <f>(Gender!CA48/'Total 1st Prof'!AC48)*100</f>
        <v>49.710982658959537</v>
      </c>
      <c r="AC47" s="103">
        <f>(Gender!CB48/'Total 1st Prof'!AD48)*100</f>
        <v>40.31413612565445</v>
      </c>
      <c r="AD47" s="103">
        <f>(Gender!CC48/'Total 1st Prof'!AE48)*100</f>
        <v>47.752808988764045</v>
      </c>
      <c r="AE47" s="103">
        <f>(Gender!CD48/'Total 1st Prof'!AF48)*100</f>
        <v>39.204545454545453</v>
      </c>
      <c r="AF47" s="103">
        <f>(Gender!CE48/'Total 1st Prof'!AG48)*100</f>
        <v>50.261780104712038</v>
      </c>
      <c r="AG47" s="103">
        <f>(Gender!CF48/'Total 1st Prof'!AH48)*100</f>
        <v>55.357142857142861</v>
      </c>
      <c r="AH47" s="103">
        <f>(Gender!CG48/'Total 1st Prof'!AI48)*100</f>
        <v>50.276243093922659</v>
      </c>
      <c r="AI47" s="103">
        <f>(Gender!CH48/'Total 1st Prof'!AJ48)*100</f>
        <v>57.777777777777771</v>
      </c>
      <c r="AJ47" s="103">
        <f>(Gender!CI48/'Total 1st Prof'!AK48)*100</f>
        <v>50.828729281767963</v>
      </c>
      <c r="AK47" s="103">
        <f>(Gender!CJ48/'Total 1st Prof'!AL48)*100</f>
        <v>57.865168539325836</v>
      </c>
      <c r="AL47" s="103">
        <f>(Gender!CK48/'Total 1st Prof'!AM48)*100</f>
        <v>62.621359223300978</v>
      </c>
      <c r="AM47" s="103">
        <f>(Gender!CL48/'Total 1st Prof'!AN48)*100</f>
        <v>51.442307692307686</v>
      </c>
      <c r="AN47" s="103">
        <f>(Gender!CM48/'Total 1st Prof'!AO48)*100</f>
        <v>54.651162790697668</v>
      </c>
      <c r="AO47" s="103">
        <f>(Gender!CN48/'Total 1st Prof'!AP48)*100</f>
        <v>53.174603174603178</v>
      </c>
      <c r="AP47" s="103">
        <f>(Gender!CO48/'Total 1st Prof'!AQ48)*100</f>
        <v>53.697749196141473</v>
      </c>
      <c r="AQ47" s="103">
        <f>(Gender!CP48/'Total 1st Prof'!AR48)*100</f>
        <v>54.889589905362776</v>
      </c>
      <c r="AR47" s="103">
        <f>(Gender!CQ48/'Total 1st Prof'!AS48)*100</f>
        <v>58.358662613981757</v>
      </c>
      <c r="AS47" s="103">
        <f>(Gender!CR48/'Total 1st Prof'!AT48)*100</f>
        <v>61.53846153846154</v>
      </c>
      <c r="AT47" s="103">
        <f>(Gender!CS48/'Total 1st Prof'!AU48)*100</f>
        <v>59.477124183006538</v>
      </c>
      <c r="AU47" s="103">
        <f>(Gender!CT48/'Total 1st Prof'!AV48)*100</f>
        <v>56.289308176100626</v>
      </c>
      <c r="AV47" s="103">
        <f>(Gender!CU48/'Total 1st Prof'!AW48)*100</f>
        <v>53.352769679300295</v>
      </c>
      <c r="AW47" s="103">
        <f>(Gender!CV48/'Total 1st Prof'!AX48)*100</f>
        <v>60.179640718562879</v>
      </c>
      <c r="AX47" s="103">
        <f>(Gender!CW48/'Total 1st Prof'!AY48)*100</f>
        <v>56.000000000000007</v>
      </c>
      <c r="AY47" s="103">
        <f>(Gender!CX48/'Total 1st Prof'!AZ48)*100</f>
        <v>60.7940446650124</v>
      </c>
      <c r="AZ47" s="103">
        <f>(Gender!CY48/'Total 1st Prof'!BA48)*100</f>
        <v>55.096418732782368</v>
      </c>
    </row>
    <row r="48" spans="1:52" ht="12.75">
      <c r="A48" s="77" t="s">
        <v>60</v>
      </c>
      <c r="B48" s="102">
        <f>(Gender!BA49/'Total 1st Prof'!C49)*100</f>
        <v>3.95703787450537</v>
      </c>
      <c r="C48" s="103">
        <f>(Gender!BB49/'Total 1st Prof'!D49)*100</f>
        <v>5.0867052023121389</v>
      </c>
      <c r="D48" s="103">
        <f>(Gender!BC49/'Total 1st Prof'!E49)*100</f>
        <v>4.2418332520721602</v>
      </c>
      <c r="E48" s="103">
        <f>(Gender!BD49/'Total 1st Prof'!F49)*100</f>
        <v>4.7397047397047398</v>
      </c>
      <c r="F48" s="103">
        <f>(Gender!BE49/'Total 1st Prof'!G49)*100</f>
        <v>7.6394194041252863</v>
      </c>
      <c r="G48" s="103">
        <f>(Gender!BF49/'Total 1st Prof'!H49)*100</f>
        <v>10.768659487560342</v>
      </c>
      <c r="H48" s="103">
        <f>(Gender!BG49/'Total 1st Prof'!I49)*100</f>
        <v>12.571428571428573</v>
      </c>
      <c r="I48" s="103">
        <f>(Gender!BH49/'Total 1st Prof'!J49)*100</f>
        <v>17.805186590765338</v>
      </c>
      <c r="J48" s="103">
        <f>(Gender!BI49/'Total 1st Prof'!K49)*100</f>
        <v>19.667260843731434</v>
      </c>
      <c r="K48" s="103">
        <f>(Gender!BJ49/'Total 1st Prof'!L49)*100</f>
        <v>23.149792776790999</v>
      </c>
      <c r="L48" s="103">
        <f>(Gender!BK49/'Total 1st Prof'!M49)*100</f>
        <v>23.582766439909296</v>
      </c>
      <c r="M48" s="103">
        <f>(Gender!BL49/'Total 1st Prof'!N49)*100</f>
        <v>25.838264299802759</v>
      </c>
      <c r="N48" s="103">
        <f>(Gender!BM49/'Total 1st Prof'!O49)*100</f>
        <v>29.20094007050529</v>
      </c>
      <c r="O48" s="103">
        <f>(Gender!BN49/'Total 1st Prof'!P49)*100</f>
        <v>28.177423940858688</v>
      </c>
      <c r="P48" s="103">
        <f>(Gender!BO49/'Total 1st Prof'!Q49)*100</f>
        <v>28.170968637246741</v>
      </c>
      <c r="Q48" s="103">
        <f>(Gender!BP49/'Total 1st Prof'!R49)*100</f>
        <v>30.824372759856633</v>
      </c>
      <c r="R48" s="103">
        <f>(Gender!BQ49/'Total 1st Prof'!S49)*100</f>
        <v>32.465326917633739</v>
      </c>
      <c r="S48" s="103">
        <f>(Gender!BR49/'Total 1st Prof'!T49)*100</f>
        <v>32.505237952708768</v>
      </c>
      <c r="T48" s="102">
        <f>(Gender!BS49/'Total 1st Prof'!U49)*100</f>
        <v>34.611786716557532</v>
      </c>
      <c r="U48" s="103">
        <f>(Gender!BT49/'Total 1st Prof'!V49)*100</f>
        <v>33.798449612403104</v>
      </c>
      <c r="V48" s="103">
        <f>(Gender!BU49/'Total 1st Prof'!W49)*100</f>
        <v>37.256176853055919</v>
      </c>
      <c r="W48" s="103">
        <f>(Gender!BV49/'Total 1st Prof'!X49)*100</f>
        <v>37.897077509529858</v>
      </c>
      <c r="X48" s="103">
        <f>(Gender!BW49/'Total 1st Prof'!Y49)*100</f>
        <v>39.294710327455917</v>
      </c>
      <c r="Y48" s="103">
        <f>(Gender!BX49/'Total 1st Prof'!Z49)*100</f>
        <v>39.782945736434108</v>
      </c>
      <c r="Z48" s="103">
        <f>(Gender!BY49/'Total 1st Prof'!AA49)*100</f>
        <v>40.972008612734548</v>
      </c>
      <c r="AA48" s="103">
        <f>(Gender!BZ49/'Total 1st Prof'!AB49)*100</f>
        <v>41.055718475073313</v>
      </c>
      <c r="AB48" s="103">
        <f>(Gender!CA49/'Total 1st Prof'!AC49)*100</f>
        <v>41.836424445120095</v>
      </c>
      <c r="AC48" s="103">
        <f>(Gender!CB49/'Total 1st Prof'!AD49)*100</f>
        <v>40.736158366841941</v>
      </c>
      <c r="AD48" s="103">
        <f>(Gender!CC49/'Total 1st Prof'!AE49)*100</f>
        <v>42.623447440169642</v>
      </c>
      <c r="AE48" s="103">
        <f>(Gender!CD49/'Total 1st Prof'!AF49)*100</f>
        <v>44.61160577218299</v>
      </c>
      <c r="AF48" s="103">
        <f>(Gender!CE49/'Total 1st Prof'!AG49)*100</f>
        <v>44.135126681263685</v>
      </c>
      <c r="AG48" s="103">
        <f>(Gender!CF49/'Total 1st Prof'!AH49)*100</f>
        <v>45.437616387337059</v>
      </c>
      <c r="AH48" s="103">
        <f>(Gender!CG49/'Total 1st Prof'!AI49)*100</f>
        <v>46.130408287629493</v>
      </c>
      <c r="AI48" s="103">
        <f>(Gender!CH49/'Total 1st Prof'!AJ49)*100</f>
        <v>46.422790547102622</v>
      </c>
      <c r="AJ48" s="103">
        <f>(Gender!CI49/'Total 1st Prof'!AK49)*100</f>
        <v>46.606475716064757</v>
      </c>
      <c r="AK48" s="103">
        <f>(Gender!CJ49/'Total 1st Prof'!AL49)*100</f>
        <v>47.792819305473813</v>
      </c>
      <c r="AL48" s="103">
        <f>(Gender!CK49/'Total 1st Prof'!AM49)*100</f>
        <v>48.210227272727273</v>
      </c>
      <c r="AM48" s="103">
        <f>(Gender!CL49/'Total 1st Prof'!AN49)*100</f>
        <v>47.895335608646192</v>
      </c>
      <c r="AN48" s="103">
        <f>(Gender!CM49/'Total 1st Prof'!AO49)*100</f>
        <v>48.426573426573427</v>
      </c>
      <c r="AO48" s="103">
        <f>(Gender!CN49/'Total 1st Prof'!AP49)*100</f>
        <v>50.249722530521645</v>
      </c>
      <c r="AP48" s="103">
        <f>(Gender!CO49/'Total 1st Prof'!AQ49)*100</f>
        <v>51.439864483342745</v>
      </c>
      <c r="AQ48" s="103">
        <f>(Gender!CP49/'Total 1st Prof'!AR49)*100</f>
        <v>50.111634830066976</v>
      </c>
      <c r="AR48" s="103">
        <f>(Gender!CQ49/'Total 1st Prof'!AS49)*100</f>
        <v>50.433920158690803</v>
      </c>
      <c r="AS48" s="103">
        <f>(Gender!CR49/'Total 1st Prof'!AT49)*100</f>
        <v>50.847041492757185</v>
      </c>
      <c r="AT48" s="103">
        <f>(Gender!CS49/'Total 1st Prof'!AU49)*100</f>
        <v>51.576073467361624</v>
      </c>
      <c r="AU48" s="103">
        <f>(Gender!CT49/'Total 1st Prof'!AV49)*100</f>
        <v>53.002280212819862</v>
      </c>
      <c r="AV48" s="103">
        <f>(Gender!CU49/'Total 1st Prof'!AW49)*100</f>
        <v>53.504856917826203</v>
      </c>
      <c r="AW48" s="103">
        <f>(Gender!CV49/'Total 1st Prof'!AX49)*100</f>
        <v>53.985317252228626</v>
      </c>
      <c r="AX48" s="103">
        <f>(Gender!CW49/'Total 1st Prof'!AY49)*100</f>
        <v>54.721422966256874</v>
      </c>
      <c r="AY48" s="103">
        <f>(Gender!CX49/'Total 1st Prof'!AZ49)*100</f>
        <v>54.77486392874814</v>
      </c>
      <c r="AZ48" s="103">
        <f>(Gender!CY49/'Total 1st Prof'!BA49)*100</f>
        <v>56.199951468090269</v>
      </c>
    </row>
    <row r="49" spans="1:52" ht="12.75">
      <c r="A49" s="77" t="s">
        <v>61</v>
      </c>
      <c r="B49" s="102">
        <f>(Gender!BA50/'Total 1st Prof'!C50)*100</f>
        <v>0</v>
      </c>
      <c r="C49" s="103">
        <f>(Gender!BB50/'Total 1st Prof'!D50)*100</f>
        <v>5.1724137931034484</v>
      </c>
      <c r="D49" s="103">
        <f>(Gender!BC50/'Total 1st Prof'!E50)*100</f>
        <v>3.0769230769230771</v>
      </c>
      <c r="E49" s="103">
        <f>(Gender!BD50/'Total 1st Prof'!F50)*100</f>
        <v>5.2631578947368416</v>
      </c>
      <c r="F49" s="103">
        <f>(Gender!BE50/'Total 1st Prof'!G50)*100</f>
        <v>0</v>
      </c>
      <c r="G49" s="103">
        <f>(Gender!BF50/'Total 1st Prof'!H50)*100</f>
        <v>13.23529411764706</v>
      </c>
      <c r="H49" s="103">
        <f>(Gender!BG50/'Total 1st Prof'!I50)*100</f>
        <v>10.465116279069768</v>
      </c>
      <c r="I49" s="103">
        <f>(Gender!BH50/'Total 1st Prof'!J50)*100</f>
        <v>16.260162601626014</v>
      </c>
      <c r="J49" s="103">
        <f>(Gender!BI50/'Total 1st Prof'!K50)*100</f>
        <v>20.161290322580644</v>
      </c>
      <c r="K49" s="103">
        <f>(Gender!BJ50/'Total 1st Prof'!L50)*100</f>
        <v>18.487394957983195</v>
      </c>
      <c r="L49" s="103">
        <f>(Gender!BK50/'Total 1st Prof'!M50)*100</f>
        <v>11.29032258064516</v>
      </c>
      <c r="M49" s="103">
        <f>(Gender!BL50/'Total 1st Prof'!N50)*100</f>
        <v>23.134328358208954</v>
      </c>
      <c r="N49" s="103">
        <f>(Gender!BM50/'Total 1st Prof'!O50)*100</f>
        <v>18.64406779661017</v>
      </c>
      <c r="O49" s="103">
        <f>(Gender!BN50/'Total 1st Prof'!P50)*100</f>
        <v>26.666666666666668</v>
      </c>
      <c r="P49" s="103">
        <f>(Gender!BO50/'Total 1st Prof'!Q50)*100</f>
        <v>20.382165605095544</v>
      </c>
      <c r="Q49" s="103">
        <f>(Gender!BP50/'Total 1st Prof'!R50)*100</f>
        <v>25.203252032520325</v>
      </c>
      <c r="R49" s="103">
        <f>(Gender!BQ50/'Total 1st Prof'!S50)*100</f>
        <v>24.626865671641792</v>
      </c>
      <c r="S49" s="103">
        <f>(Gender!BR50/'Total 1st Prof'!T50)*100</f>
        <v>35.714285714285715</v>
      </c>
      <c r="T49" s="102">
        <f>(Gender!BS50/'Total 1st Prof'!U50)*100</f>
        <v>28.925619834710741</v>
      </c>
      <c r="U49" s="103">
        <f>(Gender!BT50/'Total 1st Prof'!V50)*100</f>
        <v>29.230769230769234</v>
      </c>
      <c r="V49" s="103">
        <f>(Gender!BU50/'Total 1st Prof'!W50)*100</f>
        <v>30.392156862745097</v>
      </c>
      <c r="W49" s="103">
        <f>(Gender!BV50/'Total 1st Prof'!X50)*100</f>
        <v>29.20353982300885</v>
      </c>
      <c r="X49" s="103">
        <f>(Gender!BW50/'Total 1st Prof'!Y50)*100</f>
        <v>28.888888888888886</v>
      </c>
      <c r="Y49" s="103">
        <f>(Gender!BX50/'Total 1st Prof'!Z50)*100</f>
        <v>33.076923076923073</v>
      </c>
      <c r="Z49" s="103">
        <f>(Gender!BY50/'Total 1st Prof'!AA50)*100</f>
        <v>37.588652482269502</v>
      </c>
      <c r="AA49" s="103">
        <f>(Gender!BZ50/'Total 1st Prof'!AB50)*100</f>
        <v>43.79562043795621</v>
      </c>
      <c r="AB49" s="103">
        <f>(Gender!CA50/'Total 1st Prof'!AC50)*100</f>
        <v>40.425531914893611</v>
      </c>
      <c r="AC49" s="103">
        <f>(Gender!CB50/'Total 1st Prof'!AD50)*100</f>
        <v>42.307692307692307</v>
      </c>
      <c r="AD49" s="103">
        <f>(Gender!CC50/'Total 1st Prof'!AE50)*100</f>
        <v>43.386243386243386</v>
      </c>
      <c r="AE49" s="103">
        <f>(Gender!CD50/'Total 1st Prof'!AF50)*100</f>
        <v>39.361702127659576</v>
      </c>
      <c r="AF49" s="103">
        <f>(Gender!CE50/'Total 1st Prof'!AG50)*100</f>
        <v>47.179487179487175</v>
      </c>
      <c r="AG49" s="103">
        <f>(Gender!CF50/'Total 1st Prof'!AH50)*100</f>
        <v>55.625</v>
      </c>
      <c r="AH49" s="103">
        <f>(Gender!CG50/'Total 1st Prof'!AI50)*100</f>
        <v>50.920245398772998</v>
      </c>
      <c r="AI49" s="103">
        <f>(Gender!CH50/'Total 1st Prof'!AJ50)*100</f>
        <v>50.602409638554214</v>
      </c>
      <c r="AJ49" s="103">
        <f>(Gender!CI50/'Total 1st Prof'!AK50)*100</f>
        <v>50.980392156862742</v>
      </c>
      <c r="AK49" s="103">
        <f>(Gender!CJ50/'Total 1st Prof'!AL50)*100</f>
        <v>43.80952380952381</v>
      </c>
      <c r="AL49" s="103">
        <f>(Gender!CK50/'Total 1st Prof'!AM50)*100</f>
        <v>50</v>
      </c>
      <c r="AM49" s="103">
        <f>(Gender!CL50/'Total 1st Prof'!AN50)*100</f>
        <v>52.459016393442624</v>
      </c>
      <c r="AN49" s="103">
        <f>(Gender!CM50/'Total 1st Prof'!AO50)*100</f>
        <v>43.75</v>
      </c>
      <c r="AO49" s="103">
        <f>(Gender!CN50/'Total 1st Prof'!AP50)*100</f>
        <v>51.666666666666671</v>
      </c>
      <c r="AP49" s="103">
        <f>(Gender!CO50/'Total 1st Prof'!AQ50)*100</f>
        <v>55.28846153846154</v>
      </c>
      <c r="AQ49" s="103">
        <f>(Gender!CP50/'Total 1st Prof'!AR50)*100</f>
        <v>54.54545454545454</v>
      </c>
      <c r="AR49" s="103">
        <f>(Gender!CQ50/'Total 1st Prof'!AS50)*100</f>
        <v>59.583333333333336</v>
      </c>
      <c r="AS49" s="103">
        <f>(Gender!CR50/'Total 1st Prof'!AT50)*100</f>
        <v>54.260089686098652</v>
      </c>
      <c r="AT49" s="103">
        <f>(Gender!CS50/'Total 1st Prof'!AU50)*100</f>
        <v>53.07692307692308</v>
      </c>
      <c r="AU49" s="103">
        <f>(Gender!CT50/'Total 1st Prof'!AV50)*100</f>
        <v>60</v>
      </c>
      <c r="AV49" s="103">
        <f>(Gender!CU50/'Total 1st Prof'!AW50)*100</f>
        <v>59.230769230769234</v>
      </c>
      <c r="AW49" s="103">
        <f>(Gender!CV50/'Total 1st Prof'!AX50)*100</f>
        <v>55.762081784386616</v>
      </c>
      <c r="AX49" s="103">
        <f>(Gender!CW50/'Total 1st Prof'!AY50)*100</f>
        <v>64.590163934426229</v>
      </c>
      <c r="AY49" s="103">
        <f>(Gender!CX50/'Total 1st Prof'!AZ50)*100</f>
        <v>59</v>
      </c>
      <c r="AZ49" s="103">
        <f>(Gender!CY50/'Total 1st Prof'!BA50)*100</f>
        <v>59.64391691394659</v>
      </c>
    </row>
    <row r="50" spans="1:52" ht="12.75">
      <c r="A50" s="79" t="s">
        <v>62</v>
      </c>
      <c r="B50" s="104">
        <f>(Gender!BA51/'Total 1st Prof'!C51)*100</f>
        <v>5.3639846743295019</v>
      </c>
      <c r="C50" s="105">
        <f>(Gender!BB51/'Total 1st Prof'!D51)*100</f>
        <v>5.0488599348534207</v>
      </c>
      <c r="D50" s="105">
        <f>(Gender!BC51/'Total 1st Prof'!E51)*100</f>
        <v>4.9635036496350367</v>
      </c>
      <c r="E50" s="105">
        <f>(Gender!BD51/'Total 1st Prof'!F51)*100</f>
        <v>7.7027027027027035</v>
      </c>
      <c r="F50" s="105">
        <f>(Gender!BE51/'Total 1st Prof'!G51)*100</f>
        <v>8.8305489260143197</v>
      </c>
      <c r="G50" s="105">
        <f>(Gender!BF51/'Total 1st Prof'!H51)*100</f>
        <v>12.52927400468384</v>
      </c>
      <c r="H50" s="105">
        <f>(Gender!BG51/'Total 1st Prof'!I51)*100</f>
        <v>14.401858304297329</v>
      </c>
      <c r="I50" s="105">
        <f>(Gender!BH51/'Total 1st Prof'!J51)*100</f>
        <v>19.907407407407408</v>
      </c>
      <c r="J50" s="105">
        <f>(Gender!BI51/'Total 1st Prof'!K51)*100</f>
        <v>19.775280898876403</v>
      </c>
      <c r="K50" s="105">
        <f>(Gender!BJ51/'Total 1st Prof'!L51)*100</f>
        <v>19.888888888888889</v>
      </c>
      <c r="L50" s="105">
        <f>(Gender!BK51/'Total 1st Prof'!M51)*100</f>
        <v>26.980728051391861</v>
      </c>
      <c r="M50" s="105">
        <f>(Gender!BL51/'Total 1st Prof'!N51)*100</f>
        <v>26.409185803757829</v>
      </c>
      <c r="N50" s="105">
        <f>(Gender!BM51/'Total 1st Prof'!O51)*100</f>
        <v>25.025960539979231</v>
      </c>
      <c r="O50" s="105">
        <f>(Gender!BN51/'Total 1st Prof'!P51)*100</f>
        <v>31.368421052631579</v>
      </c>
      <c r="P50" s="105">
        <f>(Gender!BO51/'Total 1st Prof'!Q51)*100</f>
        <v>29.417989417989414</v>
      </c>
      <c r="Q50" s="105">
        <f>(Gender!BP51/'Total 1st Prof'!R51)*100</f>
        <v>32.088799192734612</v>
      </c>
      <c r="R50" s="105">
        <f>(Gender!BQ51/'Total 1st Prof'!S51)*100</f>
        <v>31.894736842105264</v>
      </c>
      <c r="S50" s="105">
        <f>(Gender!BR51/'Total 1st Prof'!T51)*100</f>
        <v>34.606205250596659</v>
      </c>
      <c r="T50" s="104">
        <f>(Gender!BS51/'Total 1st Prof'!U51)*100</f>
        <v>34.615384615384613</v>
      </c>
      <c r="U50" s="105">
        <f>(Gender!BT51/'Total 1st Prof'!V51)*100</f>
        <v>35.594886922320548</v>
      </c>
      <c r="V50" s="105">
        <f>(Gender!BU51/'Total 1st Prof'!W51)*100</f>
        <v>35.573940020682521</v>
      </c>
      <c r="W50" s="105">
        <f>(Gender!BV51/'Total 1st Prof'!X51)*100</f>
        <v>38.241106719367593</v>
      </c>
      <c r="X50" s="105">
        <f>(Gender!BW51/'Total 1st Prof'!Y51)*100</f>
        <v>39.006342494714588</v>
      </c>
      <c r="Y50" s="105">
        <f>(Gender!BX51/'Total 1st Prof'!Z51)*100</f>
        <v>44.696189495365601</v>
      </c>
      <c r="Z50" s="105">
        <f>(Gender!BY51/'Total 1st Prof'!AA51)*100</f>
        <v>40.476190476190474</v>
      </c>
      <c r="AA50" s="105">
        <f>(Gender!BZ51/'Total 1st Prof'!AB51)*100</f>
        <v>41.760491299897645</v>
      </c>
      <c r="AB50" s="105">
        <f>(Gender!CA51/'Total 1st Prof'!AC51)*100</f>
        <v>44.467860906217069</v>
      </c>
      <c r="AC50" s="105">
        <f>(Gender!CB51/'Total 1st Prof'!AD51)*100</f>
        <v>42.032085561497325</v>
      </c>
      <c r="AD50" s="105">
        <f>(Gender!CC51/'Total 1st Prof'!AE51)*100</f>
        <v>44.102564102564102</v>
      </c>
      <c r="AE50" s="105">
        <f>(Gender!CD51/'Total 1st Prof'!AF51)*100</f>
        <v>43.673469387755105</v>
      </c>
      <c r="AF50" s="105">
        <f>(Gender!CE51/'Total 1st Prof'!AG51)*100</f>
        <v>43.953732912723446</v>
      </c>
      <c r="AG50" s="105">
        <f>(Gender!CF51/'Total 1st Prof'!AH51)*100</f>
        <v>45.925925925925924</v>
      </c>
      <c r="AH50" s="105">
        <f>(Gender!CG51/'Total 1st Prof'!AI51)*100</f>
        <v>46.146616541353389</v>
      </c>
      <c r="AI50" s="105">
        <f>(Gender!CH51/'Total 1st Prof'!AJ51)*100</f>
        <v>48.614834673815906</v>
      </c>
      <c r="AJ50" s="105">
        <f>(Gender!CI51/'Total 1st Prof'!AK51)*100</f>
        <v>46.138996138996141</v>
      </c>
      <c r="AK50" s="105">
        <f>(Gender!CJ51/'Total 1st Prof'!AL51)*100</f>
        <v>48.890860692102926</v>
      </c>
      <c r="AL50" s="105">
        <f>(Gender!CK51/'Total 1st Prof'!AM51)*100</f>
        <v>50.43706293706294</v>
      </c>
      <c r="AM50" s="105">
        <f>(Gender!CL51/'Total 1st Prof'!AN51)*100</f>
        <v>51.251078515962035</v>
      </c>
      <c r="AN50" s="105">
        <f>(Gender!CM51/'Total 1st Prof'!AO51)*100</f>
        <v>53.083528493364561</v>
      </c>
      <c r="AO50" s="105">
        <f>(Gender!CN51/'Total 1st Prof'!AP51)*100</f>
        <v>52.199850857568975</v>
      </c>
      <c r="AP50" s="105">
        <f>(Gender!CO51/'Total 1st Prof'!AQ51)*100</f>
        <v>55.897435897435898</v>
      </c>
      <c r="AQ50" s="105">
        <f>(Gender!CP51/'Total 1st Prof'!AR51)*100</f>
        <v>54.591467823571946</v>
      </c>
      <c r="AR50" s="105">
        <f>(Gender!CQ51/'Total 1st Prof'!AS51)*100</f>
        <v>56.482758620689651</v>
      </c>
      <c r="AS50" s="105">
        <f>(Gender!CR51/'Total 1st Prof'!AT51)*100</f>
        <v>54.577714691270408</v>
      </c>
      <c r="AT50" s="105">
        <f>(Gender!CS51/'Total 1st Prof'!AU51)*100</f>
        <v>53.985264567983926</v>
      </c>
      <c r="AU50" s="105">
        <f>(Gender!CT51/'Total 1st Prof'!AV51)*100</f>
        <v>55.038265306122447</v>
      </c>
      <c r="AV50" s="105">
        <f>(Gender!CU51/'Total 1st Prof'!AW51)*100</f>
        <v>55.776892430278878</v>
      </c>
      <c r="AW50" s="105">
        <f>(Gender!CV51/'Total 1st Prof'!AX51)*100</f>
        <v>59.001314060446788</v>
      </c>
      <c r="AX50" s="105">
        <f>(Gender!CW51/'Total 1st Prof'!AY51)*100</f>
        <v>56.936936936936931</v>
      </c>
      <c r="AY50" s="105">
        <f>(Gender!CX51/'Total 1st Prof'!AZ51)*100</f>
        <v>57.683352735739234</v>
      </c>
      <c r="AZ50" s="105">
        <f>(Gender!CY51/'Total 1st Prof'!BA51)*100</f>
        <v>58.282582216808763</v>
      </c>
    </row>
    <row r="51" spans="1:52" ht="12.75">
      <c r="A51" s="77" t="s">
        <v>63</v>
      </c>
      <c r="B51" s="83">
        <f>(Gender!BA52/'Total 1st Prof'!C52)*100</f>
        <v>6.3239308462238393</v>
      </c>
      <c r="C51" s="84">
        <f>(Gender!BB52/'Total 1st Prof'!D52)*100</f>
        <v>8.0680902497985496</v>
      </c>
      <c r="D51" s="84">
        <f>(Gender!BC52/'Total 1st Prof'!E52)*100</f>
        <v>7.8544061302681989</v>
      </c>
      <c r="E51" s="84">
        <f>(Gender!BD52/'Total 1st Prof'!F52)*100</f>
        <v>9.2852054143908802</v>
      </c>
      <c r="F51" s="84">
        <f>(Gender!BE52/'Total 1st Prof'!G52)*100</f>
        <v>12.519391870927707</v>
      </c>
      <c r="G51" s="84">
        <f>(Gender!BF52/'Total 1st Prof'!H52)*100</f>
        <v>15.125426747810597</v>
      </c>
      <c r="H51" s="84">
        <f>(Gender!BG52/'Total 1st Prof'!I52)*100</f>
        <v>18.752598752598754</v>
      </c>
      <c r="I51" s="84">
        <f>(Gender!BH52/'Total 1st Prof'!J52)*100</f>
        <v>22.044128495741401</v>
      </c>
      <c r="J51" s="84">
        <f>(Gender!BI52/'Total 1st Prof'!K52)*100</f>
        <v>25.623084099693454</v>
      </c>
      <c r="K51" s="84">
        <f>(Gender!BJ52/'Total 1st Prof'!L52)*100</f>
        <v>27.408438231387183</v>
      </c>
      <c r="L51" s="84">
        <f>(Gender!BK52/'Total 1st Prof'!M52)*100</f>
        <v>28.81789916478693</v>
      </c>
      <c r="M51" s="84">
        <f>(Gender!BL52/'Total 1st Prof'!N52)*100</f>
        <v>30.659922928709054</v>
      </c>
      <c r="N51" s="84">
        <f>(Gender!BM52/'Total 1st Prof'!O52)*100</f>
        <v>30.202908960316034</v>
      </c>
      <c r="O51" s="84">
        <f>(Gender!BN52/'Total 1st Prof'!P52)*100</f>
        <v>33.564420421831855</v>
      </c>
      <c r="P51" s="84">
        <f>(Gender!BO52/'Total 1st Prof'!Q52)*100</f>
        <v>34.22407873655299</v>
      </c>
      <c r="Q51" s="84">
        <f>(Gender!BP52/'Total 1st Prof'!R52)*100</f>
        <v>35.736144168650121</v>
      </c>
      <c r="R51" s="84">
        <f>(Gender!BQ52/'Total 1st Prof'!S52)*100</f>
        <v>36.402569593147746</v>
      </c>
      <c r="S51" s="84">
        <f>(Gender!BR52/'Total 1st Prof'!T52)*100</f>
        <v>37.691127152844885</v>
      </c>
      <c r="T51" s="83">
        <f>(Gender!BS52/'Total 1st Prof'!U52)*100</f>
        <v>38.334127740705433</v>
      </c>
      <c r="U51" s="84">
        <f>(Gender!BT52/'Total 1st Prof'!V52)*100</f>
        <v>39.292559679386649</v>
      </c>
      <c r="V51" s="84">
        <f>(Gender!BU52/'Total 1st Prof'!W52)*100</f>
        <v>40.233884768967485</v>
      </c>
      <c r="W51" s="84">
        <f>(Gender!BV52/'Total 1st Prof'!X52)*100</f>
        <v>41.748989672204765</v>
      </c>
      <c r="X51" s="84">
        <f>(Gender!BW52/'Total 1st Prof'!Y52)*100</f>
        <v>41.77321199263023</v>
      </c>
      <c r="Y51" s="84">
        <f>(Gender!BX52/'Total 1st Prof'!Z52)*100</f>
        <v>42.485273492286112</v>
      </c>
      <c r="Z51" s="84">
        <f>(Gender!BY52/'Total 1st Prof'!AA52)*100</f>
        <v>42.151243670357793</v>
      </c>
      <c r="AA51" s="84">
        <f>(Gender!BZ52/'Total 1st Prof'!AB52)*100</f>
        <v>41.681642433153627</v>
      </c>
      <c r="AB51" s="84">
        <f>(Gender!CA52/'Total 1st Prof'!AC52)*100</f>
        <v>42.169785733658799</v>
      </c>
      <c r="AC51" s="84">
        <f>(Gender!CB52/'Total 1st Prof'!AD52)*100</f>
        <v>43.583072266765782</v>
      </c>
      <c r="AD51" s="84">
        <f>(Gender!CC52/'Total 1st Prof'!AE52)*100</f>
        <v>43.698680934470516</v>
      </c>
      <c r="AE51" s="84">
        <f>(Gender!CD52/'Total 1st Prof'!AF52)*100</f>
        <v>44.538666666666664</v>
      </c>
      <c r="AF51" s="84">
        <f>(Gender!CE52/'Total 1st Prof'!AG52)*100</f>
        <v>46.737536656891493</v>
      </c>
      <c r="AG51" s="84">
        <f>(Gender!CF52/'Total 1st Prof'!AH52)*100</f>
        <v>47.357043594626589</v>
      </c>
      <c r="AH51" s="84">
        <f>(Gender!CG52/'Total 1st Prof'!AI52)*100</f>
        <v>47.979623126761958</v>
      </c>
      <c r="AI51" s="84">
        <f>(Gender!CH52/'Total 1st Prof'!AJ52)*100</f>
        <v>49.614677074528913</v>
      </c>
      <c r="AJ51" s="84">
        <f>(Gender!CI52/'Total 1st Prof'!AK52)*100</f>
        <v>50.773395204949736</v>
      </c>
      <c r="AK51" s="84">
        <f>(Gender!CJ52/'Total 1st Prof'!AL52)*100</f>
        <v>50.646422820335872</v>
      </c>
      <c r="AL51" s="84">
        <f>(Gender!CK52/'Total 1st Prof'!AM52)*100</f>
        <v>50.5615370335994</v>
      </c>
      <c r="AM51" s="84">
        <f>(Gender!CL52/'Total 1st Prof'!AN52)*100</f>
        <v>51.254265424697962</v>
      </c>
      <c r="AN51" s="84">
        <f>(Gender!CM52/'Total 1st Prof'!AO52)*100</f>
        <v>52.058295964125556</v>
      </c>
      <c r="AO51" s="84">
        <f>(Gender!CN52/'Total 1st Prof'!AP52)*100</f>
        <v>52.164957301634985</v>
      </c>
      <c r="AP51" s="84">
        <f>(Gender!CO52/'Total 1st Prof'!AQ52)*100</f>
        <v>53.613205624617891</v>
      </c>
      <c r="AQ51" s="84">
        <f>(Gender!CP52/'Total 1st Prof'!AR52)*100</f>
        <v>53.617863199547763</v>
      </c>
      <c r="AR51" s="84">
        <f>(Gender!CQ52/'Total 1st Prof'!AS52)*100</f>
        <v>53.237940127190939</v>
      </c>
      <c r="AS51" s="84">
        <f>(Gender!CR52/'Total 1st Prof'!AT52)*100</f>
        <v>53.106028788515133</v>
      </c>
      <c r="AT51" s="84">
        <f>(Gender!CS52/'Total 1st Prof'!AU52)*100</f>
        <v>53.614894509938573</v>
      </c>
      <c r="AU51" s="84">
        <f>(Gender!CT52/'Total 1st Prof'!AV52)*100</f>
        <v>54.384809145514431</v>
      </c>
      <c r="AV51" s="84">
        <f>(Gender!CU52/'Total 1st Prof'!AW52)*100</f>
        <v>54.953754506976018</v>
      </c>
      <c r="AW51" s="84">
        <f>(Gender!CV52/'Total 1st Prof'!AX52)*100</f>
        <v>55.087259698732517</v>
      </c>
      <c r="AX51" s="84">
        <f>(Gender!CW52/'Total 1st Prof'!AY52)*100</f>
        <v>55.510793554271821</v>
      </c>
      <c r="AY51" s="84">
        <f>(Gender!CX52/'Total 1st Prof'!AZ52)*100</f>
        <v>56.796683625400412</v>
      </c>
      <c r="AZ51" s="84">
        <f>(Gender!CY52/'Total 1st Prof'!BA52)*100</f>
        <v>57.123408639340646</v>
      </c>
    </row>
    <row r="52" spans="1:52" ht="12.75">
      <c r="A52" s="78"/>
      <c r="B52" s="85"/>
      <c r="C52" s="86"/>
      <c r="D52" s="86"/>
      <c r="E52" s="86"/>
      <c r="F52" s="86"/>
      <c r="G52" s="86"/>
      <c r="H52" s="86"/>
      <c r="I52" s="86"/>
      <c r="J52" s="86"/>
      <c r="K52" s="86"/>
      <c r="L52" s="86"/>
      <c r="M52" s="86"/>
      <c r="N52" s="86"/>
      <c r="O52" s="86"/>
      <c r="P52" s="86"/>
      <c r="Q52" s="86"/>
      <c r="R52" s="86"/>
      <c r="S52" s="86"/>
      <c r="T52" s="85"/>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101"/>
      <c r="AS52" s="101"/>
      <c r="AT52" s="101"/>
      <c r="AU52" s="101"/>
      <c r="AV52" s="101"/>
      <c r="AW52" s="101"/>
      <c r="AX52" s="101"/>
      <c r="AY52" s="101"/>
      <c r="AZ52" s="101"/>
    </row>
    <row r="53" spans="1:52" ht="12.75">
      <c r="A53" s="77" t="s">
        <v>64</v>
      </c>
      <c r="B53" s="102">
        <f>(Gender!BA54/'Total 1st Prof'!C54)*100</f>
        <v>6.1363636363636367</v>
      </c>
      <c r="C53" s="103">
        <f>(Gender!BB54/'Total 1st Prof'!D54)*100</f>
        <v>9.3541202672605799</v>
      </c>
      <c r="D53" s="103">
        <f>(Gender!BC54/'Total 1st Prof'!E54)*100</f>
        <v>8.6003372681281629</v>
      </c>
      <c r="E53" s="103">
        <f>(Gender!BD54/'Total 1st Prof'!F54)*100</f>
        <v>12.479474548440066</v>
      </c>
      <c r="F53" s="103">
        <f>(Gender!BE54/'Total 1st Prof'!G54)*100</f>
        <v>14.111498257839722</v>
      </c>
      <c r="G53" s="103">
        <f>(Gender!BF54/'Total 1st Prof'!H54)*100</f>
        <v>20.145190562613429</v>
      </c>
      <c r="H53" s="103">
        <f>(Gender!BG54/'Total 1st Prof'!I54)*100</f>
        <v>21.962616822429908</v>
      </c>
      <c r="I53" s="103">
        <f>(Gender!BH54/'Total 1st Prof'!J54)*100</f>
        <v>28.105590062111801</v>
      </c>
      <c r="J53" s="103">
        <f>(Gender!BI54/'Total 1st Prof'!K54)*100</f>
        <v>30.239520958083833</v>
      </c>
      <c r="K53" s="103">
        <f>(Gender!BJ54/'Total 1st Prof'!L54)*100</f>
        <v>30.758620689655174</v>
      </c>
      <c r="L53" s="103">
        <f>(Gender!BK54/'Total 1st Prof'!M54)*100</f>
        <v>27.167019027484145</v>
      </c>
      <c r="M53" s="103">
        <f>(Gender!BL54/'Total 1st Prof'!N54)*100</f>
        <v>33.541927409261582</v>
      </c>
      <c r="N53" s="103">
        <f>(Gender!BM54/'Total 1st Prof'!O54)*100</f>
        <v>34.122042341220421</v>
      </c>
      <c r="O53" s="103">
        <f>(Gender!BN54/'Total 1st Prof'!P54)*100</f>
        <v>36.220472440944881</v>
      </c>
      <c r="P53" s="103">
        <f>(Gender!BO54/'Total 1st Prof'!Q54)*100</f>
        <v>36.063708759954494</v>
      </c>
      <c r="Q53" s="103">
        <f>(Gender!BP54/'Total 1st Prof'!R54)*100</f>
        <v>35.884177869700103</v>
      </c>
      <c r="R53" s="103">
        <f>(Gender!BQ54/'Total 1st Prof'!S54)*100</f>
        <v>38.345864661654133</v>
      </c>
      <c r="S53" s="103">
        <f>(Gender!BR54/'Total 1st Prof'!T54)*100</f>
        <v>36.958817317845828</v>
      </c>
      <c r="T53" s="102">
        <f>(Gender!BS54/'Total 1st Prof'!U54)*100</f>
        <v>45.315904139433549</v>
      </c>
      <c r="U53" s="103">
        <f>(Gender!BT54/'Total 1st Prof'!V54)*100</f>
        <v>43.04347826086957</v>
      </c>
      <c r="V53" s="103">
        <f>(Gender!BU54/'Total 1st Prof'!W54)*100</f>
        <v>41.31799163179916</v>
      </c>
      <c r="W53" s="103">
        <f>(Gender!BV54/'Total 1st Prof'!X54)*100</f>
        <v>41.734693877551024</v>
      </c>
      <c r="X53" s="103">
        <f>(Gender!BW54/'Total 1st Prof'!Y54)*100</f>
        <v>40.959821428571431</v>
      </c>
      <c r="Y53" s="103">
        <f>(Gender!BX54/'Total 1st Prof'!Z54)*100</f>
        <v>46.539027982326949</v>
      </c>
      <c r="Z53" s="103">
        <f>(Gender!BY54/'Total 1st Prof'!AA54)*100</f>
        <v>40.312093628088427</v>
      </c>
      <c r="AA53" s="103">
        <f>(Gender!BZ54/'Total 1st Prof'!AB54)*100</f>
        <v>43.152173913043477</v>
      </c>
      <c r="AB53" s="103">
        <f>(Gender!CA54/'Total 1st Prof'!AC54)*100</f>
        <v>40.825190010857767</v>
      </c>
      <c r="AC53" s="103">
        <f>(Gender!CB54/'Total 1st Prof'!AD54)*100</f>
        <v>43.350785340314133</v>
      </c>
      <c r="AD53" s="103">
        <f>(Gender!CC54/'Total 1st Prof'!AE54)*100</f>
        <v>43.552036199095021</v>
      </c>
      <c r="AE53" s="103">
        <f>(Gender!CD54/'Total 1st Prof'!AF54)*100</f>
        <v>43.67945823927765</v>
      </c>
      <c r="AF53" s="103">
        <f>(Gender!CE54/'Total 1st Prof'!AG54)*100</f>
        <v>46.477392218717142</v>
      </c>
      <c r="AG53" s="103">
        <f>(Gender!CF54/'Total 1st Prof'!AH54)*100</f>
        <v>48.128898128898129</v>
      </c>
      <c r="AH53" s="103">
        <f>(Gender!CG54/'Total 1st Prof'!AI54)*100</f>
        <v>47.479838709677416</v>
      </c>
      <c r="AI53" s="103">
        <f>(Gender!CH54/'Total 1st Prof'!AJ54)*100</f>
        <v>47.123015873015873</v>
      </c>
      <c r="AJ53" s="103">
        <f>(Gender!CI54/'Total 1st Prof'!AK54)*100</f>
        <v>49.420442571127502</v>
      </c>
      <c r="AK53" s="103">
        <f>(Gender!CJ54/'Total 1st Prof'!AL54)*100</f>
        <v>46.646942800788956</v>
      </c>
      <c r="AL53" s="103">
        <f>(Gender!CK54/'Total 1st Prof'!AM54)*100</f>
        <v>50.948766603415564</v>
      </c>
      <c r="AM53" s="103">
        <f>(Gender!CL54/'Total 1st Prof'!AN54)*100</f>
        <v>51.255230125523013</v>
      </c>
      <c r="AN53" s="103">
        <f>(Gender!CM54/'Total 1st Prof'!AO54)*100</f>
        <v>52.860169491525419</v>
      </c>
      <c r="AO53" s="103">
        <f>(Gender!CN54/'Total 1st Prof'!AP54)*100</f>
        <v>54.471544715447152</v>
      </c>
      <c r="AP53" s="103">
        <f>(Gender!CO54/'Total 1st Prof'!AQ54)*100</f>
        <v>56.185567010309278</v>
      </c>
      <c r="AQ53" s="103">
        <f>(Gender!CP54/'Total 1st Prof'!AR54)*100</f>
        <v>55.964912280701753</v>
      </c>
      <c r="AR53" s="103">
        <f>(Gender!CQ54/'Total 1st Prof'!AS54)*100</f>
        <v>52.111486486486491</v>
      </c>
      <c r="AS53" s="103">
        <f>(Gender!CR54/'Total 1st Prof'!AT54)*100</f>
        <v>56.9023569023569</v>
      </c>
      <c r="AT53" s="103">
        <f>(Gender!CS54/'Total 1st Prof'!AU54)*100</f>
        <v>57.744241461477365</v>
      </c>
      <c r="AU53" s="103">
        <f>(Gender!CT54/'Total 1st Prof'!AV54)*100</f>
        <v>60.077821011673151</v>
      </c>
      <c r="AV53" s="103">
        <f>(Gender!CU54/'Total 1st Prof'!AW54)*100</f>
        <v>60.391198044009776</v>
      </c>
      <c r="AW53" s="103">
        <f>(Gender!CV54/'Total 1st Prof'!AX54)*100</f>
        <v>58.815331010452965</v>
      </c>
      <c r="AX53" s="103">
        <f>(Gender!CW54/'Total 1st Prof'!AY54)*100</f>
        <v>59.491778774289983</v>
      </c>
      <c r="AY53" s="103">
        <f>(Gender!CX54/'Total 1st Prof'!AZ54)*100</f>
        <v>58.672699849170442</v>
      </c>
      <c r="AZ53" s="103">
        <f>(Gender!CY54/'Total 1st Prof'!BA54)*100</f>
        <v>59.259259259259252</v>
      </c>
    </row>
    <row r="54" spans="1:52" ht="12.75">
      <c r="A54" s="77" t="s">
        <v>65</v>
      </c>
      <c r="B54" s="102">
        <f>(Gender!BA55/'Total 1st Prof'!C55)*100</f>
        <v>4.4444444444444446</v>
      </c>
      <c r="C54" s="103">
        <f>(Gender!BB55/'Total 1st Prof'!D55)*100</f>
        <v>6.8965517241379306</v>
      </c>
      <c r="D54" s="103">
        <f>(Gender!BC55/'Total 1st Prof'!E55)*100</f>
        <v>5</v>
      </c>
      <c r="E54" s="103">
        <f>(Gender!BD55/'Total 1st Prof'!F55)*100</f>
        <v>5.9523809523809517</v>
      </c>
      <c r="F54" s="103">
        <f>(Gender!BE55/'Total 1st Prof'!G55)*100</f>
        <v>9.5238095238095237</v>
      </c>
      <c r="G54" s="103">
        <f>(Gender!BF55/'Total 1st Prof'!H55)*100</f>
        <v>13.043478260869565</v>
      </c>
      <c r="H54" s="103">
        <f>(Gender!BG55/'Total 1st Prof'!I55)*100</f>
        <v>21.59090909090909</v>
      </c>
      <c r="I54" s="103">
        <f>(Gender!BH55/'Total 1st Prof'!J55)*100</f>
        <v>29.473684210526311</v>
      </c>
      <c r="J54" s="103">
        <f>(Gender!BI55/'Total 1st Prof'!K55)*100</f>
        <v>22.018348623853214</v>
      </c>
      <c r="K54" s="103">
        <f>(Gender!BJ55/'Total 1st Prof'!L55)*100</f>
        <v>22</v>
      </c>
      <c r="L54" s="103">
        <f>(Gender!BK55/'Total 1st Prof'!M55)*100</f>
        <v>40.909090909090914</v>
      </c>
      <c r="M54" s="103">
        <f>(Gender!BL55/'Total 1st Prof'!N55)*100</f>
        <v>37.349397590361441</v>
      </c>
      <c r="N54" s="103">
        <f>(Gender!BM55/'Total 1st Prof'!O55)*100</f>
        <v>30.327868852459016</v>
      </c>
      <c r="O54" s="103">
        <f>(Gender!BN55/'Total 1st Prof'!P55)*100</f>
        <v>31.851851851851855</v>
      </c>
      <c r="P54" s="103">
        <f>(Gender!BO55/'Total 1st Prof'!Q55)*100</f>
        <v>24.137931034482758</v>
      </c>
      <c r="Q54" s="103">
        <f>(Gender!BP55/'Total 1st Prof'!R55)*100</f>
        <v>32.804232804232804</v>
      </c>
      <c r="R54" s="103">
        <f>(Gender!BQ55/'Total 1st Prof'!S55)*100</f>
        <v>39.411764705882355</v>
      </c>
      <c r="S54" s="103">
        <f>(Gender!BR55/'Total 1st Prof'!T55)*100</f>
        <v>30.674846625766872</v>
      </c>
      <c r="T54" s="102">
        <f>(Gender!BS55/'Total 1st Prof'!U55)*100</f>
        <v>38.216560509554142</v>
      </c>
      <c r="U54" s="103">
        <f>(Gender!BT55/'Total 1st Prof'!V55)*100</f>
        <v>37.410071942446045</v>
      </c>
      <c r="V54" s="103">
        <f>(Gender!BU55/'Total 1st Prof'!W55)*100</f>
        <v>45.679012345679013</v>
      </c>
      <c r="W54" s="103">
        <f>(Gender!BV55/'Total 1st Prof'!X55)*100</f>
        <v>36.994219653179186</v>
      </c>
      <c r="X54" s="103">
        <f>(Gender!BW55/'Total 1st Prof'!Y55)*100</f>
        <v>45.81005586592179</v>
      </c>
      <c r="Y54" s="103">
        <f>(Gender!BX55/'Total 1st Prof'!Z55)*100</f>
        <v>42.857142857142854</v>
      </c>
      <c r="Z54" s="103">
        <f>(Gender!BY55/'Total 1st Prof'!AA55)*100</f>
        <v>43.930635838150287</v>
      </c>
      <c r="AA54" s="103">
        <f>(Gender!BZ55/'Total 1st Prof'!AB55)*100</f>
        <v>37.777777777777779</v>
      </c>
      <c r="AB54" s="103">
        <f>(Gender!CA55/'Total 1st Prof'!AC55)*100</f>
        <v>48.066298342541437</v>
      </c>
      <c r="AC54" s="103">
        <f>(Gender!CB55/'Total 1st Prof'!AD55)*100</f>
        <v>40.74074074074074</v>
      </c>
      <c r="AD54" s="103">
        <f>(Gender!CC55/'Total 1st Prof'!AE55)*100</f>
        <v>46.448087431693992</v>
      </c>
      <c r="AE54" s="103">
        <f>(Gender!CD55/'Total 1st Prof'!AF55)*100</f>
        <v>41.968911917098445</v>
      </c>
      <c r="AF54" s="103">
        <f>(Gender!CE55/'Total 1st Prof'!AG55)*100</f>
        <v>42.790697674418603</v>
      </c>
      <c r="AG54" s="103">
        <f>(Gender!CF55/'Total 1st Prof'!AH55)*100</f>
        <v>44.339622641509436</v>
      </c>
      <c r="AH54" s="103">
        <f>(Gender!CG55/'Total 1st Prof'!AI55)*100</f>
        <v>43.478260869565219</v>
      </c>
      <c r="AI54" s="103">
        <f>(Gender!CH55/'Total 1st Prof'!AJ55)*100</f>
        <v>47.093023255813954</v>
      </c>
      <c r="AJ54" s="103">
        <f>(Gender!CI55/'Total 1st Prof'!AK55)*100</f>
        <v>57.920792079207914</v>
      </c>
      <c r="AK54" s="103">
        <f>(Gender!CJ55/'Total 1st Prof'!AL55)*100</f>
        <v>62.672811059907829</v>
      </c>
      <c r="AL54" s="103">
        <f>(Gender!CK55/'Total 1st Prof'!AM55)*100</f>
        <v>45.794392523364486</v>
      </c>
      <c r="AM54" s="103">
        <f>(Gender!CL55/'Total 1st Prof'!AN55)*100</f>
        <v>55.223880597014926</v>
      </c>
      <c r="AN54" s="103">
        <f>(Gender!CM55/'Total 1st Prof'!AO55)*100</f>
        <v>59.447004608294932</v>
      </c>
      <c r="AO54" s="103">
        <f>(Gender!CN55/'Total 1st Prof'!AP55)*100</f>
        <v>57.735849056603769</v>
      </c>
      <c r="AP54" s="103">
        <f>(Gender!CO55/'Total 1st Prof'!AQ55)*100</f>
        <v>55.052264808362374</v>
      </c>
      <c r="AQ54" s="103">
        <f>(Gender!CP55/'Total 1st Prof'!AR55)*100</f>
        <v>56.677524429967427</v>
      </c>
      <c r="AR54" s="103">
        <f>(Gender!CQ55/'Total 1st Prof'!AS55)*100</f>
        <v>55.900621118012417</v>
      </c>
      <c r="AS54" s="103">
        <f>(Gender!CR55/'Total 1st Prof'!AT55)*100</f>
        <v>55.348837209302324</v>
      </c>
      <c r="AT54" s="103">
        <f>(Gender!CS55/'Total 1st Prof'!AU55)*100</f>
        <v>57.918552036199102</v>
      </c>
      <c r="AU54" s="103">
        <f>(Gender!CT55/'Total 1st Prof'!AV55)*100</f>
        <v>59.560439560439562</v>
      </c>
      <c r="AV54" s="103">
        <f>(Gender!CU55/'Total 1st Prof'!AW55)*100</f>
        <v>61.111111111111114</v>
      </c>
      <c r="AW54" s="103">
        <f>(Gender!CV55/'Total 1st Prof'!AX55)*100</f>
        <v>53.308823529411761</v>
      </c>
      <c r="AX54" s="103">
        <f>(Gender!CW55/'Total 1st Prof'!AY55)*100</f>
        <v>52.042628774422738</v>
      </c>
      <c r="AY54" s="103">
        <f>(Gender!CX55/'Total 1st Prof'!AZ55)*100</f>
        <v>57.981651376146793</v>
      </c>
      <c r="AZ54" s="103">
        <f>(Gender!CY55/'Total 1st Prof'!BA55)*100</f>
        <v>55.854126679462567</v>
      </c>
    </row>
    <row r="55" spans="1:52" ht="12.75">
      <c r="A55" s="77" t="s">
        <v>66</v>
      </c>
      <c r="B55" s="102">
        <f>(Gender!BA56/'Total 1st Prof'!C56)*100</f>
        <v>5.1490514905149052</v>
      </c>
      <c r="C55" s="103">
        <f>(Gender!BB56/'Total 1st Prof'!D56)*100</f>
        <v>8.1951681667456189</v>
      </c>
      <c r="D55" s="103">
        <f>(Gender!BC56/'Total 1st Prof'!E56)*100</f>
        <v>9.1395636064223957</v>
      </c>
      <c r="E55" s="103">
        <f>(Gender!BD56/'Total 1st Prof'!F56)*100</f>
        <v>9.8555020377917746</v>
      </c>
      <c r="F55" s="103">
        <f>(Gender!BE56/'Total 1st Prof'!G56)*100</f>
        <v>13.61130254996554</v>
      </c>
      <c r="G55" s="103">
        <f>(Gender!BF56/'Total 1st Prof'!H56)*100</f>
        <v>14.925373134328357</v>
      </c>
      <c r="H55" s="103">
        <f>(Gender!BG56/'Total 1st Prof'!I56)*100</f>
        <v>20.451127819548873</v>
      </c>
      <c r="I55" s="103">
        <f>(Gender!BH56/'Total 1st Prof'!J56)*100</f>
        <v>24.791006053617757</v>
      </c>
      <c r="J55" s="103">
        <f>(Gender!BI56/'Total 1st Prof'!K56)*100</f>
        <v>27.19640179910045</v>
      </c>
      <c r="K55" s="103">
        <f>(Gender!BJ56/'Total 1st Prof'!L56)*100</f>
        <v>27.494456762749447</v>
      </c>
      <c r="L55" s="103">
        <f>(Gender!BK56/'Total 1st Prof'!M56)*100</f>
        <v>31.436781609195403</v>
      </c>
      <c r="M55" s="103">
        <f>(Gender!BL56/'Total 1st Prof'!N56)*100</f>
        <v>32.923340961098397</v>
      </c>
      <c r="N55" s="103">
        <f>(Gender!BM56/'Total 1st Prof'!O56)*100</f>
        <v>31.25</v>
      </c>
      <c r="O55" s="103">
        <f>(Gender!BN56/'Total 1st Prof'!P56)*100</f>
        <v>34.028540065861691</v>
      </c>
      <c r="P55" s="103">
        <f>(Gender!BO56/'Total 1st Prof'!Q56)*100</f>
        <v>37.346296825850729</v>
      </c>
      <c r="Q55" s="103">
        <f>(Gender!BP56/'Total 1st Prof'!R56)*100</f>
        <v>37.613168724279831</v>
      </c>
      <c r="R55" s="103">
        <f>(Gender!BQ56/'Total 1st Prof'!S56)*100</f>
        <v>37.053696935619904</v>
      </c>
      <c r="S55" s="103">
        <f>(Gender!BR56/'Total 1st Prof'!T56)*100</f>
        <v>40.273311897106105</v>
      </c>
      <c r="T55" s="102">
        <f>(Gender!BS56/'Total 1st Prof'!U56)*100</f>
        <v>40.016124697661922</v>
      </c>
      <c r="U55" s="103">
        <f>(Gender!BT56/'Total 1st Prof'!V56)*100</f>
        <v>41.803051317614425</v>
      </c>
      <c r="V55" s="103">
        <f>(Gender!BU56/'Total 1st Prof'!W56)*100</f>
        <v>43.279496304407338</v>
      </c>
      <c r="W55" s="103">
        <f>(Gender!BV56/'Total 1st Prof'!X56)*100</f>
        <v>44.71965160587915</v>
      </c>
      <c r="X55" s="103">
        <f>(Gender!BW56/'Total 1st Prof'!Y56)*100</f>
        <v>45.987400712133663</v>
      </c>
      <c r="Y55" s="103">
        <f>(Gender!BX56/'Total 1st Prof'!Z56)*100</f>
        <v>46.070165896110957</v>
      </c>
      <c r="Z55" s="103">
        <f>(Gender!BY56/'Total 1st Prof'!AA56)*100</f>
        <v>45.690798196764781</v>
      </c>
      <c r="AA55" s="103">
        <f>(Gender!BZ56/'Total 1st Prof'!AB56)*100</f>
        <v>44.283369803063458</v>
      </c>
      <c r="AB55" s="103">
        <f>(Gender!CA56/'Total 1st Prof'!AC56)*100</f>
        <v>45.965103598691385</v>
      </c>
      <c r="AC55" s="103">
        <f>(Gender!CB56/'Total 1st Prof'!AD56)*100</f>
        <v>46.41902725815072</v>
      </c>
      <c r="AD55" s="103">
        <f>(Gender!CC56/'Total 1st Prof'!AE56)*100</f>
        <v>47.315096251266468</v>
      </c>
      <c r="AE55" s="103">
        <f>(Gender!CD56/'Total 1st Prof'!AF56)*100</f>
        <v>46.566692975532753</v>
      </c>
      <c r="AF55" s="103">
        <f>(Gender!CE56/'Total 1st Prof'!AG56)*100</f>
        <v>48.353596757852074</v>
      </c>
      <c r="AG55" s="103">
        <f>(Gender!CF56/'Total 1st Prof'!AH56)*100</f>
        <v>47.742432016418675</v>
      </c>
      <c r="AH55" s="103">
        <f>(Gender!CG56/'Total 1st Prof'!AI56)*100</f>
        <v>49.130879345603276</v>
      </c>
      <c r="AI55" s="103">
        <f>(Gender!CH56/'Total 1st Prof'!AJ56)*100</f>
        <v>51.275760549558392</v>
      </c>
      <c r="AJ55" s="103">
        <f>(Gender!CI56/'Total 1st Prof'!AK56)*100</f>
        <v>52.034058656575212</v>
      </c>
      <c r="AK55" s="103">
        <f>(Gender!CJ56/'Total 1st Prof'!AL56)*100</f>
        <v>51.637630662020904</v>
      </c>
      <c r="AL55" s="103">
        <f>(Gender!CK56/'Total 1st Prof'!AM56)*100</f>
        <v>51.145568155519562</v>
      </c>
      <c r="AM55" s="103">
        <f>(Gender!CL56/'Total 1st Prof'!AN56)*100</f>
        <v>52.787030868310012</v>
      </c>
      <c r="AN55" s="103">
        <f>(Gender!CM56/'Total 1st Prof'!AO56)*100</f>
        <v>52.716763005780344</v>
      </c>
      <c r="AO55" s="103">
        <f>(Gender!CN56/'Total 1st Prof'!AP56)*100</f>
        <v>53.351511020222674</v>
      </c>
      <c r="AP55" s="103">
        <f>(Gender!CO56/'Total 1st Prof'!AQ56)*100</f>
        <v>54.861711322385474</v>
      </c>
      <c r="AQ55" s="103">
        <f>(Gender!CP56/'Total 1st Prof'!AR56)*100</f>
        <v>55.959552495697075</v>
      </c>
      <c r="AR55" s="103">
        <f>(Gender!CQ56/'Total 1st Prof'!AS56)*100</f>
        <v>55.729890764647472</v>
      </c>
      <c r="AS55" s="103">
        <f>(Gender!CR56/'Total 1st Prof'!AT56)*100</f>
        <v>56.507186454026382</v>
      </c>
      <c r="AT55" s="103">
        <f>(Gender!CS56/'Total 1st Prof'!AU56)*100</f>
        <v>55.900243309002427</v>
      </c>
      <c r="AU55" s="103">
        <f>(Gender!CT56/'Total 1st Prof'!AV56)*100</f>
        <v>57.386591730228822</v>
      </c>
      <c r="AV55" s="103">
        <f>(Gender!CU56/'Total 1st Prof'!AW56)*100</f>
        <v>58.262454434993927</v>
      </c>
      <c r="AW55" s="103">
        <f>(Gender!CV56/'Total 1st Prof'!AX56)*100</f>
        <v>58.545227177990832</v>
      </c>
      <c r="AX55" s="103">
        <f>(Gender!CW56/'Total 1st Prof'!AY56)*100</f>
        <v>59.686403961213117</v>
      </c>
      <c r="AY55" s="103">
        <f>(Gender!CX56/'Total 1st Prof'!AZ56)*100</f>
        <v>59.781036975831434</v>
      </c>
      <c r="AZ55" s="103">
        <f>(Gender!CY56/'Total 1st Prof'!BA56)*100</f>
        <v>60.595623987034031</v>
      </c>
    </row>
    <row r="56" spans="1:52" ht="12.75">
      <c r="A56" s="77" t="s">
        <v>67</v>
      </c>
      <c r="B56" s="102" t="e">
        <f>(Gender!BA57/'Total 1st Prof'!C57)*100</f>
        <v>#DIV/0!</v>
      </c>
      <c r="C56" s="103" t="e">
        <f>(Gender!BB57/'Total 1st Prof'!D57)*100</f>
        <v>#DIV/0!</v>
      </c>
      <c r="D56" s="103" t="e">
        <f>(Gender!BC57/'Total 1st Prof'!E57)*100</f>
        <v>#DIV/0!</v>
      </c>
      <c r="E56" s="103">
        <f>(Gender!BD57/'Total 1st Prof'!F57)*100</f>
        <v>20</v>
      </c>
      <c r="F56" s="103">
        <f>(Gender!BE57/'Total 1st Prof'!G57)*100</f>
        <v>20</v>
      </c>
      <c r="G56" s="103">
        <f>(Gender!BF57/'Total 1st Prof'!H57)*100</f>
        <v>19.298245614035086</v>
      </c>
      <c r="H56" s="103">
        <f>(Gender!BG57/'Total 1st Prof'!I57)*100</f>
        <v>11.38211382113821</v>
      </c>
      <c r="I56" s="103">
        <f>(Gender!BH57/'Total 1st Prof'!J57)*100</f>
        <v>28.8135593220339</v>
      </c>
      <c r="J56" s="103">
        <f>(Gender!BI57/'Total 1st Prof'!K57)*100</f>
        <v>29.310344827586203</v>
      </c>
      <c r="K56" s="103">
        <f>(Gender!BJ57/'Total 1st Prof'!L57)*100</f>
        <v>23.668639053254438</v>
      </c>
      <c r="L56" s="103">
        <f>(Gender!BK57/'Total 1st Prof'!M57)*100</f>
        <v>35.428571428571423</v>
      </c>
      <c r="M56" s="103">
        <f>(Gender!BL57/'Total 1st Prof'!N57)*100</f>
        <v>32.972972972972975</v>
      </c>
      <c r="N56" s="103">
        <f>(Gender!BM57/'Total 1st Prof'!O57)*100</f>
        <v>39.106145251396647</v>
      </c>
      <c r="O56" s="103">
        <f>(Gender!BN57/'Total 1st Prof'!P57)*100</f>
        <v>33.606557377049178</v>
      </c>
      <c r="P56" s="103">
        <f>(Gender!BO57/'Total 1st Prof'!Q57)*100</f>
        <v>37.078651685393261</v>
      </c>
      <c r="Q56" s="103">
        <f>(Gender!BP57/'Total 1st Prof'!R57)*100</f>
        <v>37.423312883435585</v>
      </c>
      <c r="R56" s="103">
        <f>(Gender!BQ57/'Total 1st Prof'!S57)*100</f>
        <v>40.119760479041915</v>
      </c>
      <c r="S56" s="103">
        <f>(Gender!BR57/'Total 1st Prof'!T57)*100</f>
        <v>38.150289017341038</v>
      </c>
      <c r="T56" s="102">
        <f>(Gender!BS57/'Total 1st Prof'!U57)*100</f>
        <v>44.767441860465119</v>
      </c>
      <c r="U56" s="103">
        <f>(Gender!BT57/'Total 1st Prof'!V57)*100</f>
        <v>50</v>
      </c>
      <c r="V56" s="103">
        <f>(Gender!BU57/'Total 1st Prof'!W57)*100</f>
        <v>45.454545454545453</v>
      </c>
      <c r="W56" s="103">
        <f>(Gender!BV57/'Total 1st Prof'!X57)*100</f>
        <v>41.304347826086953</v>
      </c>
      <c r="X56" s="103">
        <f>(Gender!BW57/'Total 1st Prof'!Y57)*100</f>
        <v>49.729729729729733</v>
      </c>
      <c r="Y56" s="103">
        <f>(Gender!BX57/'Total 1st Prof'!Z57)*100</f>
        <v>44.61538461538462</v>
      </c>
      <c r="Z56" s="103">
        <f>(Gender!BY57/'Total 1st Prof'!AA57)*100</f>
        <v>40.659340659340657</v>
      </c>
      <c r="AA56" s="103">
        <f>(Gender!BZ57/'Total 1st Prof'!AB57)*100</f>
        <v>37.305699481865283</v>
      </c>
      <c r="AB56" s="103">
        <f>(Gender!CA57/'Total 1st Prof'!AC57)*100</f>
        <v>40.760869565217391</v>
      </c>
      <c r="AC56" s="103">
        <f>(Gender!CB57/'Total 1st Prof'!AD57)*100</f>
        <v>34.408602150537639</v>
      </c>
      <c r="AD56" s="103">
        <f>(Gender!CC57/'Total 1st Prof'!AE57)*100</f>
        <v>37.037037037037038</v>
      </c>
      <c r="AE56" s="103">
        <f>(Gender!CD57/'Total 1st Prof'!AF57)*100</f>
        <v>37.019230769230774</v>
      </c>
      <c r="AF56" s="103">
        <f>(Gender!CE57/'Total 1st Prof'!AG57)*100</f>
        <v>39.89071038251366</v>
      </c>
      <c r="AG56" s="103">
        <f>(Gender!CF57/'Total 1st Prof'!AH57)*100</f>
        <v>48.087431693989068</v>
      </c>
      <c r="AH56" s="103">
        <f>(Gender!CG57/'Total 1st Prof'!AI57)*100</f>
        <v>43.975903614457827</v>
      </c>
      <c r="AI56" s="103">
        <f>(Gender!CH57/'Total 1st Prof'!AJ57)*100</f>
        <v>45.026178010471199</v>
      </c>
      <c r="AJ56" s="103">
        <f>(Gender!CI57/'Total 1st Prof'!AK57)*100</f>
        <v>43.037974683544306</v>
      </c>
      <c r="AK56" s="103">
        <f>(Gender!CJ57/'Total 1st Prof'!AL57)*100</f>
        <v>43.715846994535518</v>
      </c>
      <c r="AL56" s="103">
        <f>(Gender!CK57/'Total 1st Prof'!AM57)*100</f>
        <v>41.747572815533978</v>
      </c>
      <c r="AM56" s="103">
        <f>(Gender!CL57/'Total 1st Prof'!AN57)*100</f>
        <v>40.909090909090914</v>
      </c>
      <c r="AN56" s="103">
        <f>(Gender!CM57/'Total 1st Prof'!AO57)*100</f>
        <v>42.58373205741627</v>
      </c>
      <c r="AO56" s="103">
        <f>(Gender!CN57/'Total 1st Prof'!AP57)*100</f>
        <v>45.901639344262293</v>
      </c>
      <c r="AP56" s="103">
        <f>(Gender!CO57/'Total 1st Prof'!AQ57)*100</f>
        <v>44.60431654676259</v>
      </c>
      <c r="AQ56" s="103">
        <f>(Gender!CP57/'Total 1st Prof'!AR57)*100</f>
        <v>52.158273381294961</v>
      </c>
      <c r="AR56" s="103">
        <f>(Gender!CQ57/'Total 1st Prof'!AS57)*100</f>
        <v>48.056537102473499</v>
      </c>
      <c r="AS56" s="103">
        <f>(Gender!CR57/'Total 1st Prof'!AT57)*100</f>
        <v>48.844884488448848</v>
      </c>
      <c r="AT56" s="103">
        <f>(Gender!CS57/'Total 1st Prof'!AU57)*100</f>
        <v>48.717948717948715</v>
      </c>
      <c r="AU56" s="103">
        <f>(Gender!CT57/'Total 1st Prof'!AV57)*100</f>
        <v>52.452830188679243</v>
      </c>
      <c r="AV56" s="103">
        <f>(Gender!CU57/'Total 1st Prof'!AW57)*100</f>
        <v>55.805243445692888</v>
      </c>
      <c r="AW56" s="103">
        <f>(Gender!CV57/'Total 1st Prof'!AX57)*100</f>
        <v>56.378600823045268</v>
      </c>
      <c r="AX56" s="103">
        <f>(Gender!CW57/'Total 1st Prof'!AY57)*100</f>
        <v>57.553956834532372</v>
      </c>
      <c r="AY56" s="103">
        <f>(Gender!CX57/'Total 1st Prof'!AZ57)*100</f>
        <v>61.204013377926422</v>
      </c>
      <c r="AZ56" s="103">
        <f>(Gender!CY57/'Total 1st Prof'!BA57)*100</f>
        <v>62.5</v>
      </c>
    </row>
    <row r="57" spans="1:52" ht="12.75">
      <c r="A57" s="77" t="s">
        <v>68</v>
      </c>
      <c r="B57" s="102">
        <f>(Gender!BA58/'Total 1st Prof'!C58)*100</f>
        <v>5.3571428571428568</v>
      </c>
      <c r="C57" s="103">
        <f>(Gender!BB58/'Total 1st Prof'!D58)*100</f>
        <v>7.3206442166910692</v>
      </c>
      <c r="D57" s="103">
        <f>(Gender!BC58/'Total 1st Prof'!E58)*100</f>
        <v>5.3488372093023253</v>
      </c>
      <c r="E57" s="103">
        <f>(Gender!BD58/'Total 1st Prof'!F58)*100</f>
        <v>10.301507537688442</v>
      </c>
      <c r="F57" s="103">
        <f>(Gender!BE58/'Total 1st Prof'!G58)*100</f>
        <v>13.424437299035368</v>
      </c>
      <c r="G57" s="103">
        <f>(Gender!BF58/'Total 1st Prof'!H58)*100</f>
        <v>17.3841059602649</v>
      </c>
      <c r="H57" s="103">
        <f>(Gender!BG58/'Total 1st Prof'!I58)*100</f>
        <v>21.199671322925226</v>
      </c>
      <c r="I57" s="103">
        <f>(Gender!BH58/'Total 1st Prof'!J58)*100</f>
        <v>21.271763815291443</v>
      </c>
      <c r="J57" s="103">
        <f>(Gender!BI58/'Total 1st Prof'!K58)*100</f>
        <v>25.366568914956012</v>
      </c>
      <c r="K57" s="103">
        <f>(Gender!BJ58/'Total 1st Prof'!L58)*100</f>
        <v>27.235213204951858</v>
      </c>
      <c r="L57" s="103">
        <f>(Gender!BK58/'Total 1st Prof'!M58)*100</f>
        <v>24.382097528390116</v>
      </c>
      <c r="M57" s="103">
        <f>(Gender!BL58/'Total 1st Prof'!N58)*100</f>
        <v>27.213962508080154</v>
      </c>
      <c r="N57" s="103">
        <f>(Gender!BM58/'Total 1st Prof'!O58)*100</f>
        <v>28.014616321559071</v>
      </c>
      <c r="O57" s="103">
        <f>(Gender!BN58/'Total 1st Prof'!P58)*100</f>
        <v>32.229299363057322</v>
      </c>
      <c r="P57" s="103">
        <f>(Gender!BO58/'Total 1st Prof'!Q58)*100</f>
        <v>32.883147386964175</v>
      </c>
      <c r="Q57" s="103">
        <f>(Gender!BP58/'Total 1st Prof'!R58)*100</f>
        <v>32.185886402753873</v>
      </c>
      <c r="R57" s="103">
        <f>(Gender!BQ58/'Total 1st Prof'!S58)*100</f>
        <v>33.668639053254438</v>
      </c>
      <c r="S57" s="103">
        <f>(Gender!BR58/'Total 1st Prof'!T58)*100</f>
        <v>30.975470621791214</v>
      </c>
      <c r="T57" s="102">
        <f>(Gender!BS58/'Total 1st Prof'!U58)*100</f>
        <v>34.010446894950668</v>
      </c>
      <c r="U57" s="103">
        <f>(Gender!BT58/'Total 1st Prof'!V58)*100</f>
        <v>34.159950402975817</v>
      </c>
      <c r="V57" s="103">
        <f>(Gender!BU58/'Total 1st Prof'!W58)*100</f>
        <v>35.507657402155417</v>
      </c>
      <c r="W57" s="103">
        <f>(Gender!BV58/'Total 1st Prof'!X58)*100</f>
        <v>36.468446601941743</v>
      </c>
      <c r="X57" s="103">
        <f>(Gender!BW58/'Total 1st Prof'!Y58)*100</f>
        <v>33.449680046538688</v>
      </c>
      <c r="Y57" s="103">
        <f>(Gender!BX58/'Total 1st Prof'!Z58)*100</f>
        <v>38.773079213817745</v>
      </c>
      <c r="Z57" s="103">
        <f>(Gender!BY58/'Total 1st Prof'!AA58)*100</f>
        <v>39.672322995904032</v>
      </c>
      <c r="AA57" s="103">
        <f>(Gender!BZ58/'Total 1st Prof'!AB58)*100</f>
        <v>39.281437125748504</v>
      </c>
      <c r="AB57" s="103">
        <f>(Gender!CA58/'Total 1st Prof'!AC58)*100</f>
        <v>40.023612750885476</v>
      </c>
      <c r="AC57" s="103">
        <f>(Gender!CB58/'Total 1st Prof'!AD58)*100</f>
        <v>39.525462962962962</v>
      </c>
      <c r="AD57" s="103">
        <f>(Gender!CC58/'Total 1st Prof'!AE58)*100</f>
        <v>36.470588235294116</v>
      </c>
      <c r="AE57" s="103">
        <f>(Gender!CD58/'Total 1st Prof'!AF58)*100</f>
        <v>44.415584415584412</v>
      </c>
      <c r="AF57" s="103">
        <f>(Gender!CE58/'Total 1st Prof'!AG58)*100</f>
        <v>45.531088082901555</v>
      </c>
      <c r="AG57" s="103">
        <f>(Gender!CF58/'Total 1st Prof'!AH58)*100</f>
        <v>46.417445482866043</v>
      </c>
      <c r="AH57" s="103">
        <f>(Gender!CG58/'Total 1st Prof'!AI58)*100</f>
        <v>47.727272727272727</v>
      </c>
      <c r="AI57" s="103">
        <f>(Gender!CH58/'Total 1st Prof'!AJ58)*100</f>
        <v>48.850217526413921</v>
      </c>
      <c r="AJ57" s="103">
        <f>(Gender!CI58/'Total 1st Prof'!AK58)*100</f>
        <v>47.352587244283995</v>
      </c>
      <c r="AK57" s="103">
        <f>(Gender!CJ58/'Total 1st Prof'!AL58)*100</f>
        <v>47.605943863511278</v>
      </c>
      <c r="AL57" s="103">
        <f>(Gender!CK58/'Total 1st Prof'!AM58)*100</f>
        <v>47.877358490566039</v>
      </c>
      <c r="AM57" s="103">
        <f>(Gender!CL58/'Total 1st Prof'!AN58)*100</f>
        <v>46.617812852311161</v>
      </c>
      <c r="AN57" s="103">
        <f>(Gender!CM58/'Total 1st Prof'!AO58)*100</f>
        <v>50.588235294117645</v>
      </c>
      <c r="AO57" s="103">
        <f>(Gender!CN58/'Total 1st Prof'!AP58)*100</f>
        <v>49.913444893248702</v>
      </c>
      <c r="AP57" s="103">
        <f>(Gender!CO58/'Total 1st Prof'!AQ58)*100</f>
        <v>49.385605617320074</v>
      </c>
      <c r="AQ57" s="103">
        <f>(Gender!CP58/'Total 1st Prof'!AR58)*100</f>
        <v>51.356132075471692</v>
      </c>
      <c r="AR57" s="103">
        <f>(Gender!CQ58/'Total 1st Prof'!AS58)*100</f>
        <v>48.665893271461719</v>
      </c>
      <c r="AS57" s="103">
        <f>(Gender!CR58/'Total 1st Prof'!AT58)*100</f>
        <v>48.846787479406913</v>
      </c>
      <c r="AT57" s="103">
        <f>(Gender!CS58/'Total 1st Prof'!AU58)*100</f>
        <v>49.943438914027148</v>
      </c>
      <c r="AU57" s="103">
        <f>(Gender!CT58/'Total 1st Prof'!AV58)*100</f>
        <v>49.61636828644501</v>
      </c>
      <c r="AV57" s="103">
        <f>(Gender!CU58/'Total 1st Prof'!AW58)*100</f>
        <v>52.729693741677764</v>
      </c>
      <c r="AW57" s="103">
        <f>(Gender!CV58/'Total 1st Prof'!AX58)*100</f>
        <v>53.372781065088759</v>
      </c>
      <c r="AX57" s="103">
        <f>(Gender!CW58/'Total 1st Prof'!AY58)*100</f>
        <v>51.348039215686271</v>
      </c>
      <c r="AY57" s="103">
        <f>(Gender!CX58/'Total 1st Prof'!AZ58)*100</f>
        <v>54.04607206142942</v>
      </c>
      <c r="AZ57" s="103">
        <f>(Gender!CY58/'Total 1st Prof'!BA58)*100</f>
        <v>53.291356611333718</v>
      </c>
    </row>
    <row r="58" spans="1:52" ht="12.75">
      <c r="A58" s="77" t="s">
        <v>69</v>
      </c>
      <c r="B58" s="102">
        <f>(Gender!BA59/'Total 1st Prof'!C59)*100</f>
        <v>6.5396644867785039</v>
      </c>
      <c r="C58" s="103">
        <f>(Gender!BB59/'Total 1st Prof'!D59)*100</f>
        <v>7.7949940405244336</v>
      </c>
      <c r="D58" s="103">
        <f>(Gender!BC59/'Total 1st Prof'!E59)*100</f>
        <v>7.1397379912663759</v>
      </c>
      <c r="E58" s="103">
        <f>(Gender!BD59/'Total 1st Prof'!F59)*100</f>
        <v>9.0282131661441998</v>
      </c>
      <c r="F58" s="103">
        <f>(Gender!BE59/'Total 1st Prof'!G59)*100</f>
        <v>12.319296040226273</v>
      </c>
      <c r="G58" s="103">
        <f>(Gender!BF59/'Total 1st Prof'!H59)*100</f>
        <v>15.417726472314616</v>
      </c>
      <c r="H58" s="103">
        <f>(Gender!BG59/'Total 1st Prof'!I59)*100</f>
        <v>18.97034135422496</v>
      </c>
      <c r="I58" s="103">
        <f>(Gender!BH59/'Total 1st Prof'!J59)*100</f>
        <v>21.982370930023386</v>
      </c>
      <c r="J58" s="103">
        <f>(Gender!BI59/'Total 1st Prof'!K59)*100</f>
        <v>25.898389095415119</v>
      </c>
      <c r="K58" s="103">
        <f>(Gender!BJ59/'Total 1st Prof'!L59)*100</f>
        <v>28.99598393574297</v>
      </c>
      <c r="L58" s="103">
        <f>(Gender!BK59/'Total 1st Prof'!M59)*100</f>
        <v>30.322374720714969</v>
      </c>
      <c r="M58" s="103">
        <f>(Gender!BL59/'Total 1st Prof'!N59)*100</f>
        <v>31.83353808353808</v>
      </c>
      <c r="N58" s="103">
        <f>(Gender!BM59/'Total 1st Prof'!O59)*100</f>
        <v>31.065724815724817</v>
      </c>
      <c r="O58" s="103">
        <f>(Gender!BN59/'Total 1st Prof'!P59)*100</f>
        <v>34.982858846325833</v>
      </c>
      <c r="P58" s="103">
        <f>(Gender!BO59/'Total 1st Prof'!Q59)*100</f>
        <v>35.285834976063079</v>
      </c>
      <c r="Q58" s="103">
        <f>(Gender!BP59/'Total 1st Prof'!R59)*100</f>
        <v>36.862299275259339</v>
      </c>
      <c r="R58" s="103">
        <f>(Gender!BQ59/'Total 1st Prof'!S59)*100</f>
        <v>37.753141167775311</v>
      </c>
      <c r="S58" s="103">
        <f>(Gender!BR59/'Total 1st Prof'!T59)*100</f>
        <v>39.046521676508718</v>
      </c>
      <c r="T58" s="102">
        <f>(Gender!BS59/'Total 1st Prof'!U59)*100</f>
        <v>39.671660822441822</v>
      </c>
      <c r="U58" s="103">
        <f>(Gender!BT59/'Total 1st Prof'!V59)*100</f>
        <v>40.8174850979279</v>
      </c>
      <c r="V58" s="103">
        <f>(Gender!BU59/'Total 1st Prof'!W59)*100</f>
        <v>41.625</v>
      </c>
      <c r="W58" s="103">
        <f>(Gender!BV59/'Total 1st Prof'!X59)*100</f>
        <v>42.47455811462239</v>
      </c>
      <c r="X58" s="103">
        <f>(Gender!BW59/'Total 1st Prof'!Y59)*100</f>
        <v>42.145035131910383</v>
      </c>
      <c r="Y58" s="103">
        <f>(Gender!BX59/'Total 1st Prof'!Z59)*100</f>
        <v>41.760299625468164</v>
      </c>
      <c r="Z58" s="103">
        <f>(Gender!BY59/'Total 1st Prof'!AA59)*100</f>
        <v>41.346412254770222</v>
      </c>
      <c r="AA58" s="103">
        <f>(Gender!BZ59/'Total 1st Prof'!AB59)*100</f>
        <v>41.081718177056047</v>
      </c>
      <c r="AB58" s="103">
        <f>(Gender!CA59/'Total 1st Prof'!AC59)*100</f>
        <v>40.900759361089293</v>
      </c>
      <c r="AC58" s="103">
        <f>(Gender!CB59/'Total 1st Prof'!AD59)*100</f>
        <v>43.217789404839763</v>
      </c>
      <c r="AD58" s="103">
        <f>(Gender!CC59/'Total 1st Prof'!AE59)*100</f>
        <v>43.67908156454412</v>
      </c>
      <c r="AE58" s="103">
        <f>(Gender!CD59/'Total 1st Prof'!AF59)*100</f>
        <v>43.948202959830866</v>
      </c>
      <c r="AF58" s="103">
        <f>(Gender!CE59/'Total 1st Prof'!AG59)*100</f>
        <v>46.246844692440547</v>
      </c>
      <c r="AG58" s="103">
        <f>(Gender!CF59/'Total 1st Prof'!AH59)*100</f>
        <v>47.338647467215225</v>
      </c>
      <c r="AH58" s="103">
        <f>(Gender!CG59/'Total 1st Prof'!AI59)*100</f>
        <v>48.224607762180014</v>
      </c>
      <c r="AI58" s="103">
        <f>(Gender!CH59/'Total 1st Prof'!AJ59)*100</f>
        <v>49.735123814217076</v>
      </c>
      <c r="AJ58" s="103">
        <f>(Gender!CI59/'Total 1st Prof'!AK59)*100</f>
        <v>51.749671563358412</v>
      </c>
      <c r="AK58" s="103">
        <f>(Gender!CJ59/'Total 1st Prof'!AL59)*100</f>
        <v>50.961978928080619</v>
      </c>
      <c r="AL58" s="103">
        <f>(Gender!CK59/'Total 1st Prof'!AM59)*100</f>
        <v>51.024424123162404</v>
      </c>
      <c r="AM58" s="103">
        <f>(Gender!CL59/'Total 1st Prof'!AN59)*100</f>
        <v>50.478301446570228</v>
      </c>
      <c r="AN58" s="103">
        <f>(Gender!CM59/'Total 1st Prof'!AO59)*100</f>
        <v>51.902654867256636</v>
      </c>
      <c r="AO58" s="103">
        <f>(Gender!CN59/'Total 1st Prof'!AP59)*100</f>
        <v>51.45610278372591</v>
      </c>
      <c r="AP58" s="103">
        <f>(Gender!CO59/'Total 1st Prof'!AQ59)*100</f>
        <v>52.423587527014512</v>
      </c>
      <c r="AQ58" s="103">
        <f>(Gender!CP59/'Total 1st Prof'!AR59)*100</f>
        <v>51.336787564766837</v>
      </c>
      <c r="AR58" s="103">
        <f>(Gender!CQ59/'Total 1st Prof'!AS59)*100</f>
        <v>52.243935971717569</v>
      </c>
      <c r="AS58" s="103">
        <f>(Gender!CR59/'Total 1st Prof'!AT59)*100</f>
        <v>51.284745438914889</v>
      </c>
      <c r="AT58" s="103">
        <f>(Gender!CS59/'Total 1st Prof'!AU59)*100</f>
        <v>51.386266520918213</v>
      </c>
      <c r="AU58" s="103">
        <f>(Gender!CT59/'Total 1st Prof'!AV59)*100</f>
        <v>52.209040703620367</v>
      </c>
      <c r="AV58" s="103">
        <f>(Gender!CU59/'Total 1st Prof'!AW59)*100</f>
        <v>52.702007205352551</v>
      </c>
      <c r="AW58" s="103">
        <f>(Gender!CV59/'Total 1st Prof'!AX59)*100</f>
        <v>52.365501360686629</v>
      </c>
      <c r="AX58" s="103">
        <f>(Gender!CW59/'Total 1st Prof'!AY59)*100</f>
        <v>53.427029229045729</v>
      </c>
      <c r="AY58" s="103">
        <f>(Gender!CX59/'Total 1st Prof'!AZ59)*100</f>
        <v>54.685271949480537</v>
      </c>
      <c r="AZ58" s="103">
        <f>(Gender!CY59/'Total 1st Prof'!BA59)*100</f>
        <v>54.902743142144637</v>
      </c>
    </row>
    <row r="59" spans="1:52" ht="12.75">
      <c r="A59" s="77" t="s">
        <v>70</v>
      </c>
      <c r="B59" s="102">
        <f>(Gender!BA60/'Total 1st Prof'!C60)*100</f>
        <v>7.3589164785553054</v>
      </c>
      <c r="C59" s="103">
        <f>(Gender!BB60/'Total 1st Prof'!D60)*100</f>
        <v>8.5079631181894371</v>
      </c>
      <c r="D59" s="103">
        <f>(Gender!BC60/'Total 1st Prof'!E60)*100</f>
        <v>8.5980662983425411</v>
      </c>
      <c r="E59" s="103">
        <f>(Gender!BD60/'Total 1st Prof'!F60)*100</f>
        <v>8.2510353615801204</v>
      </c>
      <c r="F59" s="103">
        <f>(Gender!BE60/'Total 1st Prof'!G60)*100</f>
        <v>11.169554455445544</v>
      </c>
      <c r="G59" s="103">
        <f>(Gender!BF60/'Total 1st Prof'!H60)*100</f>
        <v>13.184460079535027</v>
      </c>
      <c r="H59" s="103">
        <f>(Gender!BG60/'Total 1st Prof'!I60)*100</f>
        <v>15.882183078255849</v>
      </c>
      <c r="I59" s="103">
        <f>(Gender!BH60/'Total 1st Prof'!J60)*100</f>
        <v>18.912732474964233</v>
      </c>
      <c r="J59" s="103">
        <f>(Gender!BI60/'Total 1st Prof'!K60)*100</f>
        <v>23.371540396980713</v>
      </c>
      <c r="K59" s="103">
        <f>(Gender!BJ60/'Total 1st Prof'!L60)*100</f>
        <v>24.487623103540059</v>
      </c>
      <c r="L59" s="103">
        <f>(Gender!BK60/'Total 1st Prof'!M60)*100</f>
        <v>25.331888377133566</v>
      </c>
      <c r="M59" s="103">
        <f>(Gender!BL60/'Total 1st Prof'!N60)*100</f>
        <v>27.531560569433257</v>
      </c>
      <c r="N59" s="103">
        <f>(Gender!BM60/'Total 1st Prof'!O60)*100</f>
        <v>27.478597072631871</v>
      </c>
      <c r="O59" s="103">
        <f>(Gender!BN60/'Total 1st Prof'!P60)*100</f>
        <v>31.005434782608692</v>
      </c>
      <c r="P59" s="103">
        <f>(Gender!BO60/'Total 1st Prof'!Q60)*100</f>
        <v>29.901960784313726</v>
      </c>
      <c r="Q59" s="103">
        <f>(Gender!BP60/'Total 1st Prof'!R60)*100</f>
        <v>33.591588267847264</v>
      </c>
      <c r="R59" s="103">
        <f>(Gender!BQ60/'Total 1st Prof'!S60)*100</f>
        <v>34.185733512786001</v>
      </c>
      <c r="S59" s="103">
        <f>(Gender!BR60/'Total 1st Prof'!T60)*100</f>
        <v>36.168500134156155</v>
      </c>
      <c r="T59" s="102">
        <f>(Gender!BS60/'Total 1st Prof'!U60)*100</f>
        <v>33.764091284025291</v>
      </c>
      <c r="U59" s="103">
        <f>(Gender!BT60/'Total 1st Prof'!V60)*100</f>
        <v>34.545454545454547</v>
      </c>
      <c r="V59" s="103">
        <f>(Gender!BU60/'Total 1st Prof'!W60)*100</f>
        <v>35.788561525129978</v>
      </c>
      <c r="W59" s="103">
        <f>(Gender!BV60/'Total 1st Prof'!X60)*100</f>
        <v>39.680662329982255</v>
      </c>
      <c r="X59" s="103">
        <f>(Gender!BW60/'Total 1st Prof'!Y60)*100</f>
        <v>40.129177197416453</v>
      </c>
      <c r="Y59" s="103">
        <f>(Gender!BX60/'Total 1st Prof'!Z60)*100</f>
        <v>41.255961844197138</v>
      </c>
      <c r="Z59" s="103">
        <f>(Gender!BY60/'Total 1st Prof'!AA60)*100</f>
        <v>41.468624833110809</v>
      </c>
      <c r="AA59" s="103">
        <f>(Gender!BZ60/'Total 1st Prof'!AB60)*100</f>
        <v>40.969051243023848</v>
      </c>
      <c r="AB59" s="103">
        <f>(Gender!CA60/'Total 1st Prof'!AC60)*100</f>
        <v>41.935483870967744</v>
      </c>
      <c r="AC59" s="103">
        <f>(Gender!CB60/'Total 1st Prof'!AD60)*100</f>
        <v>43.859649122807014</v>
      </c>
      <c r="AD59" s="103">
        <f>(Gender!CC60/'Total 1st Prof'!AE60)*100</f>
        <v>42.87531806615776</v>
      </c>
      <c r="AE59" s="103">
        <f>(Gender!CD60/'Total 1st Prof'!AF60)*100</f>
        <v>44.403534609720175</v>
      </c>
      <c r="AF59" s="103">
        <f>(Gender!CE60/'Total 1st Prof'!AG60)*100</f>
        <v>46.217494089834517</v>
      </c>
      <c r="AG59" s="103">
        <f>(Gender!CF60/'Total 1st Prof'!AH60)*100</f>
        <v>46.867695184665727</v>
      </c>
      <c r="AH59" s="103">
        <f>(Gender!CG60/'Total 1st Prof'!AI60)*100</f>
        <v>46.687697160883282</v>
      </c>
      <c r="AI59" s="103">
        <f>(Gender!CH60/'Total 1st Prof'!AJ60)*100</f>
        <v>48.581719945970285</v>
      </c>
      <c r="AJ59" s="103">
        <f>(Gender!CI60/'Total 1st Prof'!AK60)*100</f>
        <v>48.966578715919084</v>
      </c>
      <c r="AK59" s="103">
        <f>(Gender!CJ60/'Total 1st Prof'!AL60)*100</f>
        <v>50.224948875255627</v>
      </c>
      <c r="AL59" s="103">
        <f>(Gender!CK60/'Total 1st Prof'!AM60)*100</f>
        <v>50.250417362270447</v>
      </c>
      <c r="AM59" s="103">
        <f>(Gender!CL60/'Total 1st Prof'!AN60)*100</f>
        <v>52.321023313389723</v>
      </c>
      <c r="AN59" s="103">
        <f>(Gender!CM60/'Total 1st Prof'!AO60)*100</f>
        <v>51.656013945380593</v>
      </c>
      <c r="AO59" s="103">
        <f>(Gender!CN60/'Total 1st Prof'!AP60)*100</f>
        <v>52.776795189246549</v>
      </c>
      <c r="AP59" s="103">
        <f>(Gender!CO60/'Total 1st Prof'!AQ60)*100</f>
        <v>55.672823218997358</v>
      </c>
      <c r="AQ59" s="103">
        <f>(Gender!CP60/'Total 1st Prof'!AR60)*100</f>
        <v>55.174043156402583</v>
      </c>
      <c r="AR59" s="103">
        <f>(Gender!CQ60/'Total 1st Prof'!AS60)*100</f>
        <v>54.359543436905525</v>
      </c>
      <c r="AS59" s="103">
        <f>(Gender!CR60/'Total 1st Prof'!AT60)*100</f>
        <v>53.369871130202931</v>
      </c>
      <c r="AT59" s="103">
        <f>(Gender!CS60/'Total 1st Prof'!AU60)*100</f>
        <v>55.391214317408668</v>
      </c>
      <c r="AU59" s="103">
        <f>(Gender!CT60/'Total 1st Prof'!AV60)*100</f>
        <v>55.058997050147497</v>
      </c>
      <c r="AV59" s="103">
        <f>(Gender!CU60/'Total 1st Prof'!AW60)*100</f>
        <v>54.493307839388152</v>
      </c>
      <c r="AW59" s="103">
        <f>(Gender!CV60/'Total 1st Prof'!AX60)*100</f>
        <v>56.013599660008495</v>
      </c>
      <c r="AX59" s="103">
        <f>(Gender!CW60/'Total 1st Prof'!AY60)*100</f>
        <v>55.759015935141178</v>
      </c>
      <c r="AY59" s="103">
        <f>(Gender!CX60/'Total 1st Prof'!AZ60)*100</f>
        <v>57.861122435113465</v>
      </c>
      <c r="AZ59" s="103">
        <f>(Gender!CY60/'Total 1st Prof'!BA60)*100</f>
        <v>58.117014122394082</v>
      </c>
    </row>
    <row r="60" spans="1:52" ht="12.75">
      <c r="A60" s="77" t="s">
        <v>71</v>
      </c>
      <c r="B60" s="102" t="e">
        <f>(Gender!BA61/'Total 1st Prof'!C61)*100</f>
        <v>#DIV/0!</v>
      </c>
      <c r="C60" s="103" t="e">
        <f>(Gender!BB61/'Total 1st Prof'!D61)*100</f>
        <v>#DIV/0!</v>
      </c>
      <c r="D60" s="103" t="e">
        <f>(Gender!BC61/'Total 1st Prof'!E61)*100</f>
        <v>#DIV/0!</v>
      </c>
      <c r="E60" s="103" t="e">
        <f>(Gender!BD61/'Total 1st Prof'!F61)*100</f>
        <v>#DIV/0!</v>
      </c>
      <c r="F60" s="103" t="e">
        <f>(Gender!BE61/'Total 1st Prof'!G61)*100</f>
        <v>#DIV/0!</v>
      </c>
      <c r="G60" s="103">
        <f>(Gender!BF61/'Total 1st Prof'!H61)*100</f>
        <v>22.413793103448278</v>
      </c>
      <c r="H60" s="103">
        <f>(Gender!BG61/'Total 1st Prof'!I61)*100</f>
        <v>25</v>
      </c>
      <c r="I60" s="103">
        <f>(Gender!BH61/'Total 1st Prof'!J61)*100</f>
        <v>30</v>
      </c>
      <c r="J60" s="103">
        <f>(Gender!BI61/'Total 1st Prof'!K61)*100</f>
        <v>20.3125</v>
      </c>
      <c r="K60" s="103">
        <f>(Gender!BJ61/'Total 1st Prof'!L61)*100</f>
        <v>33.333333333333329</v>
      </c>
      <c r="L60" s="103">
        <f>(Gender!BK61/'Total 1st Prof'!M61)*100</f>
        <v>40.983606557377051</v>
      </c>
      <c r="M60" s="103">
        <f>(Gender!BL61/'Total 1st Prof'!N61)*100</f>
        <v>28.35820895522388</v>
      </c>
      <c r="N60" s="103">
        <f>(Gender!BM61/'Total 1st Prof'!O61)*100</f>
        <v>25</v>
      </c>
      <c r="O60" s="103">
        <f>(Gender!BN61/'Total 1st Prof'!P61)*100</f>
        <v>28.571428571428569</v>
      </c>
      <c r="P60" s="103">
        <f>(Gender!BO61/'Total 1st Prof'!Q61)*100</f>
        <v>35.714285714285715</v>
      </c>
      <c r="Q60" s="103">
        <f>(Gender!BP61/'Total 1st Prof'!R61)*100</f>
        <v>42.5</v>
      </c>
      <c r="R60" s="103">
        <f>(Gender!BQ61/'Total 1st Prof'!S61)*100</f>
        <v>39.743589743589745</v>
      </c>
      <c r="S60" s="103">
        <f>(Gender!BR61/'Total 1st Prof'!T61)*100</f>
        <v>38.461538461538467</v>
      </c>
      <c r="T60" s="102">
        <f>(Gender!BS61/'Total 1st Prof'!U61)*100</f>
        <v>51.19047619047619</v>
      </c>
      <c r="U60" s="103">
        <f>(Gender!BT61/'Total 1st Prof'!V61)*100</f>
        <v>38.75</v>
      </c>
      <c r="V60" s="103">
        <f>(Gender!BU61/'Total 1st Prof'!W61)*100</f>
        <v>43.902439024390247</v>
      </c>
      <c r="W60" s="103">
        <f>(Gender!BV61/'Total 1st Prof'!X61)*100</f>
        <v>48.75</v>
      </c>
      <c r="X60" s="103">
        <f>(Gender!BW61/'Total 1st Prof'!Y61)*100</f>
        <v>38.372093023255815</v>
      </c>
      <c r="Y60" s="103">
        <f>(Gender!BX61/'Total 1st Prof'!Z61)*100</f>
        <v>39.506172839506171</v>
      </c>
      <c r="Z60" s="103">
        <f>(Gender!BY61/'Total 1st Prof'!AA61)*100</f>
        <v>42.528735632183903</v>
      </c>
      <c r="AA60" s="103">
        <f>(Gender!BZ61/'Total 1st Prof'!AB61)*100</f>
        <v>51.315789473684212</v>
      </c>
      <c r="AB60" s="103">
        <f>(Gender!CA61/'Total 1st Prof'!AC61)*100</f>
        <v>41.666666666666671</v>
      </c>
      <c r="AC60" s="103">
        <f>(Gender!CB61/'Total 1st Prof'!AD61)*100</f>
        <v>43.426294820717132</v>
      </c>
      <c r="AD60" s="103">
        <f>(Gender!CC61/'Total 1st Prof'!AE61)*100</f>
        <v>50.216450216450212</v>
      </c>
      <c r="AE60" s="103">
        <f>(Gender!CD61/'Total 1st Prof'!AF61)*100</f>
        <v>44.888888888888886</v>
      </c>
      <c r="AF60" s="103">
        <f>(Gender!CE61/'Total 1st Prof'!AG61)*100</f>
        <v>53.20754716981132</v>
      </c>
      <c r="AG60" s="103">
        <f>(Gender!CF61/'Total 1st Prof'!AH61)*100</f>
        <v>56.000000000000007</v>
      </c>
      <c r="AH60" s="103">
        <f>(Gender!CG61/'Total 1st Prof'!AI61)*100</f>
        <v>55.823293172690761</v>
      </c>
      <c r="AI60" s="103">
        <f>(Gender!CH61/'Total 1st Prof'!AJ61)*100</f>
        <v>55.600000000000009</v>
      </c>
      <c r="AJ60" s="103">
        <f>(Gender!CI61/'Total 1st Prof'!AK61)*100</f>
        <v>55.763239875389402</v>
      </c>
      <c r="AK60" s="103">
        <f>(Gender!CJ61/'Total 1st Prof'!AL61)*100</f>
        <v>55.345911949685537</v>
      </c>
      <c r="AL60" s="103">
        <f>(Gender!CK61/'Total 1st Prof'!AM61)*100</f>
        <v>54.237288135593218</v>
      </c>
      <c r="AM60" s="103">
        <f>(Gender!CL61/'Total 1st Prof'!AN61)*100</f>
        <v>58.92351274787535</v>
      </c>
      <c r="AN60" s="103">
        <f>(Gender!CM61/'Total 1st Prof'!AO61)*100</f>
        <v>55.371900826446286</v>
      </c>
      <c r="AO60" s="103">
        <f>(Gender!CN61/'Total 1st Prof'!AP61)*100</f>
        <v>50.681198910081747</v>
      </c>
      <c r="AP60" s="103">
        <f>(Gender!CO61/'Total 1st Prof'!AQ61)*100</f>
        <v>54.521963824289408</v>
      </c>
      <c r="AQ60" s="103">
        <f>(Gender!CP61/'Total 1st Prof'!AR61)*100</f>
        <v>58.713136729222512</v>
      </c>
      <c r="AR60" s="103">
        <f>(Gender!CQ61/'Total 1st Prof'!AS61)*100</f>
        <v>52.010050251256281</v>
      </c>
      <c r="AS60" s="103">
        <f>(Gender!CR61/'Total 1st Prof'!AT61)*100</f>
        <v>53.658536585365859</v>
      </c>
      <c r="AT60" s="103">
        <f>(Gender!CS61/'Total 1st Prof'!AU61)*100</f>
        <v>55.583756345177662</v>
      </c>
      <c r="AU60" s="103">
        <f>(Gender!CT61/'Total 1st Prof'!AV61)*100</f>
        <v>55.927835051546396</v>
      </c>
      <c r="AV60" s="103">
        <f>(Gender!CU61/'Total 1st Prof'!AW61)*100</f>
        <v>60.504201680672267</v>
      </c>
      <c r="AW60" s="103">
        <f>(Gender!CV61/'Total 1st Prof'!AX61)*100</f>
        <v>58.379888268156421</v>
      </c>
      <c r="AX60" s="103">
        <f>(Gender!CW61/'Total 1st Prof'!AY61)*100</f>
        <v>56.11702127659575</v>
      </c>
      <c r="AY60" s="103">
        <f>(Gender!CX61/'Total 1st Prof'!AZ61)*100</f>
        <v>53.968253968253968</v>
      </c>
      <c r="AZ60" s="103">
        <f>(Gender!CY61/'Total 1st Prof'!BA61)*100</f>
        <v>57.627118644067799</v>
      </c>
    </row>
    <row r="61" spans="1:52" ht="12.75">
      <c r="A61" s="79" t="s">
        <v>72</v>
      </c>
      <c r="B61" s="104">
        <f>(Gender!BA62/'Total 1st Prof'!C62)*100</f>
        <v>5.1724137931034484</v>
      </c>
      <c r="C61" s="105">
        <f>(Gender!BB62/'Total 1st Prof'!D62)*100</f>
        <v>4.3478260869565215</v>
      </c>
      <c r="D61" s="105">
        <f>(Gender!BC62/'Total 1st Prof'!E62)*100</f>
        <v>6.0606060606060606</v>
      </c>
      <c r="E61" s="105">
        <f>(Gender!BD62/'Total 1st Prof'!F62)*100</f>
        <v>3.8461538461538463</v>
      </c>
      <c r="F61" s="105">
        <f>(Gender!BE62/'Total 1st Prof'!G62)*100</f>
        <v>15.873015873015872</v>
      </c>
      <c r="G61" s="105">
        <f>(Gender!BF62/'Total 1st Prof'!H62)*100</f>
        <v>7.2463768115942031</v>
      </c>
      <c r="H61" s="105">
        <f>(Gender!BG62/'Total 1st Prof'!I62)*100</f>
        <v>7.9470198675496695</v>
      </c>
      <c r="I61" s="105">
        <f>(Gender!BH62/'Total 1st Prof'!J62)*100</f>
        <v>9.0909090909090917</v>
      </c>
      <c r="J61" s="105">
        <f>(Gender!BI62/'Total 1st Prof'!K62)*100</f>
        <v>20.329670329670328</v>
      </c>
      <c r="K61" s="105">
        <f>(Gender!BJ62/'Total 1st Prof'!L62)*100</f>
        <v>24.074074074074073</v>
      </c>
      <c r="L61" s="105">
        <f>(Gender!BK62/'Total 1st Prof'!M62)*100</f>
        <v>24.858757062146893</v>
      </c>
      <c r="M61" s="105">
        <f>(Gender!BL62/'Total 1st Prof'!N62)*100</f>
        <v>21.938775510204081</v>
      </c>
      <c r="N61" s="105">
        <f>(Gender!BM62/'Total 1st Prof'!O62)*100</f>
        <v>28.571428571428569</v>
      </c>
      <c r="O61" s="105">
        <f>(Gender!BN62/'Total 1st Prof'!P62)*100</f>
        <v>26.315789473684209</v>
      </c>
      <c r="P61" s="105">
        <f>(Gender!BO62/'Total 1st Prof'!Q62)*100</f>
        <v>30.348258706467661</v>
      </c>
      <c r="Q61" s="105">
        <f>(Gender!BP62/'Total 1st Prof'!R62)*100</f>
        <v>29.807692307692307</v>
      </c>
      <c r="R61" s="105">
        <f>(Gender!BQ62/'Total 1st Prof'!S62)*100</f>
        <v>27.669902912621357</v>
      </c>
      <c r="S61" s="105">
        <f>(Gender!BR62/'Total 1st Prof'!T62)*100</f>
        <v>38.961038961038966</v>
      </c>
      <c r="T61" s="104">
        <f>(Gender!BS62/'Total 1st Prof'!U62)*100</f>
        <v>46.938775510204081</v>
      </c>
      <c r="U61" s="105">
        <f>(Gender!BT62/'Total 1st Prof'!V62)*100</f>
        <v>47.058823529411761</v>
      </c>
      <c r="V61" s="105">
        <f>(Gender!BU62/'Total 1st Prof'!W62)*100</f>
        <v>34.482758620689658</v>
      </c>
      <c r="W61" s="105">
        <f>(Gender!BV62/'Total 1st Prof'!X62)*100</f>
        <v>40.528634361233479</v>
      </c>
      <c r="X61" s="105">
        <f>(Gender!BW62/'Total 1st Prof'!Y62)*100</f>
        <v>50.549450549450547</v>
      </c>
      <c r="Y61" s="105">
        <f>(Gender!BX62/'Total 1st Prof'!Z62)*100</f>
        <v>43.75</v>
      </c>
      <c r="Z61" s="105">
        <f>(Gender!BY62/'Total 1st Prof'!AA62)*100</f>
        <v>50.537634408602152</v>
      </c>
      <c r="AA61" s="105">
        <f>(Gender!BZ62/'Total 1st Prof'!AB62)*100</f>
        <v>56.666666666666664</v>
      </c>
      <c r="AB61" s="105">
        <f>(Gender!CA62/'Total 1st Prof'!AC62)*100</f>
        <v>51.063829787234042</v>
      </c>
      <c r="AC61" s="105">
        <f>(Gender!CB62/'Total 1st Prof'!AD62)*100</f>
        <v>50</v>
      </c>
      <c r="AD61" s="105">
        <f>(Gender!CC62/'Total 1st Prof'!AE62)*100</f>
        <v>49.576271186440678</v>
      </c>
      <c r="AE61" s="105">
        <f>(Gender!CD62/'Total 1st Prof'!AF62)*100</f>
        <v>45.490196078431374</v>
      </c>
      <c r="AF61" s="105">
        <f>(Gender!CE62/'Total 1st Prof'!AG62)*100</f>
        <v>55.36480686695279</v>
      </c>
      <c r="AG61" s="105">
        <f>(Gender!CF62/'Total 1st Prof'!AH62)*100</f>
        <v>46.768060836501903</v>
      </c>
      <c r="AH61" s="105">
        <f>(Gender!CG62/'Total 1st Prof'!AI62)*100</f>
        <v>46.360153256704983</v>
      </c>
      <c r="AI61" s="105">
        <f>(Gender!CH62/'Total 1st Prof'!AJ62)*100</f>
        <v>51.20967741935484</v>
      </c>
      <c r="AJ61" s="105">
        <f>(Gender!CI62/'Total 1st Prof'!AK62)*100</f>
        <v>50.202429149797567</v>
      </c>
      <c r="AK61" s="105">
        <f>(Gender!CJ62/'Total 1st Prof'!AL62)*100</f>
        <v>57.528957528957527</v>
      </c>
      <c r="AL61" s="105">
        <f>(Gender!CK62/'Total 1st Prof'!AM62)*100</f>
        <v>52.941176470588239</v>
      </c>
      <c r="AM61" s="105">
        <f>(Gender!CL62/'Total 1st Prof'!AN62)*100</f>
        <v>56.028368794326241</v>
      </c>
      <c r="AN61" s="105">
        <f>(Gender!CM62/'Total 1st Prof'!AO62)*100</f>
        <v>58.661417322834644</v>
      </c>
      <c r="AO61" s="105">
        <f>(Gender!CN62/'Total 1st Prof'!AP62)*100</f>
        <v>52.698412698412703</v>
      </c>
      <c r="AP61" s="105">
        <f>(Gender!CO62/'Total 1st Prof'!AQ62)*100</f>
        <v>51.162790697674424</v>
      </c>
      <c r="AQ61" s="105">
        <f>(Gender!CP62/'Total 1st Prof'!AR62)*100</f>
        <v>53.538461538461533</v>
      </c>
      <c r="AR61" s="105">
        <f>(Gender!CQ62/'Total 1st Prof'!AS62)*100</f>
        <v>55.555555555555557</v>
      </c>
      <c r="AS61" s="105">
        <f>(Gender!CR62/'Total 1st Prof'!AT62)*100</f>
        <v>55.331412103746402</v>
      </c>
      <c r="AT61" s="105">
        <f>(Gender!CS62/'Total 1st Prof'!AU62)*100</f>
        <v>51.071428571428569</v>
      </c>
      <c r="AU61" s="105">
        <f>(Gender!CT62/'Total 1st Prof'!AV62)*100</f>
        <v>52.597402597402599</v>
      </c>
      <c r="AV61" s="105">
        <f>(Gender!CU62/'Total 1st Prof'!AW62)*100</f>
        <v>56.321839080459768</v>
      </c>
      <c r="AW61" s="105">
        <f>(Gender!CV62/'Total 1st Prof'!AX62)*100</f>
        <v>54.710144927536234</v>
      </c>
      <c r="AX61" s="105">
        <f>(Gender!CW62/'Total 1st Prof'!AY62)*100</f>
        <v>59.016393442622949</v>
      </c>
      <c r="AY61" s="105">
        <f>(Gender!CX62/'Total 1st Prof'!AZ62)*100</f>
        <v>55.797101449275367</v>
      </c>
      <c r="AZ61" s="105">
        <f>(Gender!CY62/'Total 1st Prof'!BA62)*100</f>
        <v>57.275541795665632</v>
      </c>
    </row>
    <row r="62" spans="1:52" ht="12.75">
      <c r="A62" s="80" t="s">
        <v>73</v>
      </c>
      <c r="B62" s="106">
        <f>(Gender!BA63/'Total 1st Prof'!C63)*100</f>
        <v>7.3640743289745361</v>
      </c>
      <c r="C62" s="107">
        <f>(Gender!BB63/'Total 1st Prof'!D63)*100</f>
        <v>8.6139896373056999</v>
      </c>
      <c r="D62" s="107">
        <f>(Gender!BC63/'Total 1st Prof'!E63)*100</f>
        <v>9.3636833936885662</v>
      </c>
      <c r="E62" s="107">
        <f>(Gender!BD63/'Total 1st Prof'!F63)*100</f>
        <v>11.095305832147938</v>
      </c>
      <c r="F62" s="107">
        <f>(Gender!BE63/'Total 1st Prof'!G63)*100</f>
        <v>17.387505460899959</v>
      </c>
      <c r="G62" s="107">
        <f>(Gender!BF63/'Total 1st Prof'!H63)*100</f>
        <v>17.953242170269078</v>
      </c>
      <c r="H62" s="107">
        <f>(Gender!BG63/'Total 1st Prof'!I63)*100</f>
        <v>22.684980062029243</v>
      </c>
      <c r="I62" s="107">
        <f>(Gender!BH63/'Total 1st Prof'!J63)*100</f>
        <v>25.745140388768899</v>
      </c>
      <c r="J62" s="107">
        <f>(Gender!BI63/'Total 1st Prof'!K63)*100</f>
        <v>29.601029601029598</v>
      </c>
      <c r="K62" s="107">
        <f>(Gender!BJ63/'Total 1st Prof'!L63)*100</f>
        <v>32.937685459940653</v>
      </c>
      <c r="L62" s="107">
        <f>(Gender!BK63/'Total 1st Prof'!M63)*100</f>
        <v>32.842105263157897</v>
      </c>
      <c r="M62" s="107">
        <f>(Gender!BL63/'Total 1st Prof'!N63)*100</f>
        <v>33.983739837398375</v>
      </c>
      <c r="N62" s="107">
        <f>(Gender!BM63/'Total 1st Prof'!O63)*100</f>
        <v>35.921568627450981</v>
      </c>
      <c r="O62" s="107">
        <f>(Gender!BN63/'Total 1st Prof'!P63)*100</f>
        <v>37.435077906512184</v>
      </c>
      <c r="P62" s="107">
        <f>(Gender!BO63/'Total 1st Prof'!Q63)*100</f>
        <v>38.013442867811797</v>
      </c>
      <c r="Q62" s="107">
        <f>(Gender!BP63/'Total 1st Prof'!R63)*100</f>
        <v>38.702111024237681</v>
      </c>
      <c r="R62" s="107">
        <f>(Gender!BQ63/'Total 1st Prof'!S63)*100</f>
        <v>39.841089670828609</v>
      </c>
      <c r="S62" s="107">
        <f>(Gender!BR63/'Total 1st Prof'!T63)*100</f>
        <v>42.297650130548305</v>
      </c>
      <c r="T62" s="106">
        <f>(Gender!BS63/'Total 1st Prof'!U63)*100</f>
        <v>42.675420599097251</v>
      </c>
      <c r="U62" s="107">
        <f>(Gender!BT63/'Total 1st Prof'!V63)*100</f>
        <v>42.926631536278883</v>
      </c>
      <c r="V62" s="107">
        <f>(Gender!BU63/'Total 1st Prof'!W63)*100</f>
        <v>45.436349079263408</v>
      </c>
      <c r="W62" s="107">
        <f>(Gender!BV63/'Total 1st Prof'!X63)*100</f>
        <v>45.324675324675326</v>
      </c>
      <c r="X62" s="107">
        <f>(Gender!BW63/'Total 1st Prof'!Y63)*100</f>
        <v>44.809228039041706</v>
      </c>
      <c r="Y62" s="107">
        <f>(Gender!BX63/'Total 1st Prof'!Z63)*100</f>
        <v>45.583800086169759</v>
      </c>
      <c r="Z62" s="107">
        <f>(Gender!BY63/'Total 1st Prof'!AA63)*100</f>
        <v>44.297520661157023</v>
      </c>
      <c r="AA62" s="107">
        <f>(Gender!BZ63/'Total 1st Prof'!AB63)*100</f>
        <v>44.183218483988654</v>
      </c>
      <c r="AB62" s="107">
        <f>(Gender!CA63/'Total 1st Prof'!AC63)*100</f>
        <v>47.454909819639276</v>
      </c>
      <c r="AC62" s="107">
        <f>(Gender!CB63/'Total 1st Prof'!AD63)*100</f>
        <v>47.847809377402001</v>
      </c>
      <c r="AD62" s="107">
        <f>(Gender!CC63/'Total 1st Prof'!AE63)*100</f>
        <v>48.243647234678626</v>
      </c>
      <c r="AE62" s="107">
        <f>(Gender!CD63/'Total 1st Prof'!AF63)*100</f>
        <v>46.920152091254749</v>
      </c>
      <c r="AF62" s="107">
        <f>(Gender!CE63/'Total 1st Prof'!AG63)*100</f>
        <v>49.500384319754041</v>
      </c>
      <c r="AG62" s="107">
        <f>(Gender!CF63/'Total 1st Prof'!AH63)*100</f>
        <v>51.092570520460868</v>
      </c>
      <c r="AH62" s="107">
        <f>(Gender!CG63/'Total 1st Prof'!AI63)*100</f>
        <v>53.077209996270049</v>
      </c>
      <c r="AI62" s="107">
        <f>(Gender!CH63/'Total 1st Prof'!AJ63)*100</f>
        <v>51.362763915547028</v>
      </c>
      <c r="AJ62" s="107">
        <f>(Gender!CI63/'Total 1st Prof'!AK63)*100</f>
        <v>52.956685499058374</v>
      </c>
      <c r="AK62" s="107">
        <f>(Gender!CJ63/'Total 1st Prof'!AL63)*100</f>
        <v>54.338983050847453</v>
      </c>
      <c r="AL62" s="107">
        <f>(Gender!CK63/'Total 1st Prof'!AM63)*100</f>
        <v>53.414096916299556</v>
      </c>
      <c r="AM62" s="107">
        <f>(Gender!CL63/'Total 1st Prof'!AN63)*100</f>
        <v>50.928196147110327</v>
      </c>
      <c r="AN62" s="107">
        <f>(Gender!CM63/'Total 1st Prof'!AO63)*100</f>
        <v>49.453648219950651</v>
      </c>
      <c r="AO62" s="107">
        <f>(Gender!CN63/'Total 1st Prof'!AP63)*100</f>
        <v>49.545454545454547</v>
      </c>
      <c r="AP62" s="107">
        <f>(Gender!CO63/'Total 1st Prof'!AQ63)*100</f>
        <v>49.755415793151641</v>
      </c>
      <c r="AQ62" s="107">
        <f>(Gender!CP63/'Total 1st Prof'!AR63)*100</f>
        <v>52.387543252595158</v>
      </c>
      <c r="AR62" s="107">
        <f>(Gender!CQ63/'Total 1st Prof'!AS63)*100</f>
        <v>52.295137708262494</v>
      </c>
      <c r="AS62" s="107">
        <f>(Gender!CR63/'Total 1st Prof'!AT63)*100</f>
        <v>52.456258411843883</v>
      </c>
      <c r="AT62" s="107">
        <f>(Gender!CS63/'Total 1st Prof'!AU63)*100</f>
        <v>51.364590622813154</v>
      </c>
      <c r="AU62" s="107">
        <f>(Gender!CT63/'Total 1st Prof'!AV63)*100</f>
        <v>52.883211678832119</v>
      </c>
      <c r="AV62" s="107">
        <f>(Gender!CU63/'Total 1st Prof'!AW63)*100</f>
        <v>51.909476661951913</v>
      </c>
      <c r="AW62" s="107">
        <f>(Gender!CV63/'Total 1st Prof'!AX63)*100</f>
        <v>54.924935920908091</v>
      </c>
      <c r="AX62" s="107">
        <f>(Gender!CW63/'Total 1st Prof'!AY63)*100</f>
        <v>55.060728744939269</v>
      </c>
      <c r="AY62" s="107">
        <f>(Gender!CX63/'Total 1st Prof'!AZ63)*100</f>
        <v>55.555555555555557</v>
      </c>
      <c r="AZ62" s="107">
        <f>(Gender!CY63/'Total 1st Prof'!BA63)*100</f>
        <v>58.355337608449645</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10F6994-3627-4A50-B6FE-2C12A4337015}"/>
</file>

<file path=customXml/itemProps2.xml><?xml version="1.0" encoding="utf-8"?>
<ds:datastoreItem xmlns:ds="http://schemas.openxmlformats.org/officeDocument/2006/customXml" ds:itemID="{7366F980-3F06-4BF9-BA0D-AD14146BF00A}"/>
</file>

<file path=customXml/itemProps3.xml><?xml version="1.0" encoding="utf-8"?>
<ds:datastoreItem xmlns:ds="http://schemas.openxmlformats.org/officeDocument/2006/customXml" ds:itemID="{850ED1E7-93D8-40B3-940C-DBF20BB19DC6}"/>
</file>

<file path=docMetadata/LabelInfo.xml><?xml version="1.0" encoding="utf-8"?>
<clbl:labelList xmlns:clbl="http://schemas.microsoft.com/office/2020/mipLabelMetadata">
  <clbl:label id="{00260771-a9fd-4aa8-a138-a40ac53a5467}" enabled="1" method="Privileged" siteId="{eb20950b-168c-497a-9845-2b099844f3ef}"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MJ Kim</cp:lastModifiedBy>
  <cp:revision/>
  <dcterms:created xsi:type="dcterms:W3CDTF">2000-08-15T15:54:31Z</dcterms:created>
  <dcterms:modified xsi:type="dcterms:W3CDTF">2024-09-13T20:17:15Z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2019-04-11T22:12:23.1123854Z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